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o\Google Drive\COMPRAS - DOCUMENTOS DO SETOR\2021\Licitações - Irati\Licitação - Operador de Máquina Costal\7.Anexos PE 04-2021\PDFs prontos SEI\Anexo II - Planilha de Custos da Administração\"/>
    </mc:Choice>
  </mc:AlternateContent>
  <xr:revisionPtr revIDLastSave="0" documentId="13_ncr:1_{4071610B-57B1-49A5-B71A-FA4A4E7CA5C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ÃO DE OBRA" sheetId="1" r:id="rId1"/>
    <sheet name="UNIFORMES e EPI's" sheetId="2" r:id="rId2"/>
    <sheet name="INSUMOS e MATERIAIS" sheetId="3" r:id="rId3"/>
    <sheet name="EQUIPAMENTOS" sheetId="4" r:id="rId4"/>
  </sheets>
  <definedNames>
    <definedName name="Z_6D24B9B6_1DB4_467A_A52B_82FB90AE40F0_.wvu.FilterData" localSheetId="3" hidden="1">EQUIPAMENTOS!$A$4:$L$11</definedName>
  </definedNames>
  <calcPr calcId="191029"/>
  <customWorkbookViews>
    <customWorkbookView name="Filtro 1" guid="{6D24B9B6-1DB4-467A-A52B-82FB90AE40F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I9" i="4" s="1"/>
  <c r="L9" i="4" s="1"/>
  <c r="H8" i="4"/>
  <c r="I8" i="4" s="1"/>
  <c r="L8" i="4" s="1"/>
  <c r="I7" i="4"/>
  <c r="L7" i="4" s="1"/>
  <c r="H7" i="4"/>
  <c r="H6" i="4"/>
  <c r="I6" i="4" s="1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I38" i="3" s="1"/>
  <c r="I40" i="3" s="1"/>
  <c r="I114" i="1" s="1"/>
  <c r="H22" i="3"/>
  <c r="I16" i="3"/>
  <c r="H16" i="3"/>
  <c r="I15" i="3"/>
  <c r="H15" i="3"/>
  <c r="I14" i="3"/>
  <c r="H14" i="3"/>
  <c r="I13" i="3"/>
  <c r="H13" i="3"/>
  <c r="I12" i="3"/>
  <c r="I17" i="3" s="1"/>
  <c r="I18" i="3" s="1"/>
  <c r="I113" i="1" s="1"/>
  <c r="H12" i="3"/>
  <c r="H7" i="3"/>
  <c r="I7" i="3" s="1"/>
  <c r="H6" i="3"/>
  <c r="I6" i="3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3" i="2"/>
  <c r="I13" i="2" s="1"/>
  <c r="H12" i="2"/>
  <c r="I12" i="2" s="1"/>
  <c r="H11" i="2"/>
  <c r="I11" i="2" s="1"/>
  <c r="H9" i="2"/>
  <c r="I9" i="2" s="1"/>
  <c r="H8" i="2"/>
  <c r="I8" i="2" s="1"/>
  <c r="H7" i="2"/>
  <c r="I7" i="2" s="1"/>
  <c r="H6" i="2"/>
  <c r="I6" i="2" s="1"/>
  <c r="I14" i="2" s="1"/>
  <c r="I15" i="2" s="1"/>
  <c r="I109" i="1" s="1"/>
  <c r="H127" i="1"/>
  <c r="H126" i="1"/>
  <c r="I104" i="1"/>
  <c r="H94" i="1"/>
  <c r="G91" i="1"/>
  <c r="H90" i="1"/>
  <c r="H84" i="1"/>
  <c r="E82" i="1"/>
  <c r="H81" i="1"/>
  <c r="E80" i="1"/>
  <c r="G77" i="1"/>
  <c r="G61" i="1"/>
  <c r="H61" i="1" s="1"/>
  <c r="I61" i="1" s="1"/>
  <c r="H60" i="1"/>
  <c r="I60" i="1" s="1"/>
  <c r="H48" i="1"/>
  <c r="H56" i="1" s="1"/>
  <c r="E83" i="1" s="1"/>
  <c r="H43" i="1"/>
  <c r="H42" i="1"/>
  <c r="H41" i="1"/>
  <c r="I32" i="1"/>
  <c r="I30" i="1"/>
  <c r="G31" i="1" s="1"/>
  <c r="I31" i="2" l="1"/>
  <c r="I32" i="2" s="1"/>
  <c r="I110" i="1" s="1"/>
  <c r="I8" i="3"/>
  <c r="I10" i="4"/>
  <c r="L6" i="4"/>
  <c r="L10" i="4" s="1"/>
  <c r="I111" i="1" s="1"/>
  <c r="I36" i="1"/>
  <c r="H59" i="1"/>
  <c r="I59" i="1" s="1"/>
  <c r="I66" i="1" s="1"/>
  <c r="I72" i="1" s="1"/>
  <c r="I116" i="1" l="1"/>
  <c r="I42" i="3"/>
  <c r="I112" i="1"/>
  <c r="I132" i="1"/>
  <c r="F77" i="1"/>
  <c r="G41" i="1"/>
  <c r="F81" i="1"/>
  <c r="I83" i="1" l="1"/>
  <c r="I81" i="1"/>
  <c r="I82" i="1"/>
  <c r="I42" i="1"/>
  <c r="I43" i="1"/>
  <c r="I41" i="1"/>
  <c r="F79" i="1"/>
  <c r="I79" i="1" s="1"/>
  <c r="F78" i="1"/>
  <c r="I78" i="1" s="1"/>
  <c r="I77" i="1"/>
  <c r="I136" i="1"/>
  <c r="G127" i="1"/>
  <c r="I127" i="1" s="1"/>
  <c r="I44" i="1" l="1"/>
  <c r="F80" i="1"/>
  <c r="I80" i="1" s="1"/>
  <c r="I70" i="1" l="1"/>
  <c r="G47" i="1"/>
  <c r="I55" i="1" l="1"/>
  <c r="I51" i="1"/>
  <c r="I47" i="1"/>
  <c r="I54" i="1"/>
  <c r="I50" i="1"/>
  <c r="I53" i="1"/>
  <c r="I48" i="1"/>
  <c r="I52" i="1"/>
  <c r="I56" i="1" l="1"/>
  <c r="F84" i="1"/>
  <c r="I84" i="1" s="1"/>
  <c r="I85" i="1" s="1"/>
  <c r="F94" i="1" s="1"/>
  <c r="I94" i="1" s="1"/>
  <c r="I134" i="1" l="1"/>
  <c r="F90" i="1"/>
  <c r="I90" i="1" s="1"/>
  <c r="I71" i="1"/>
  <c r="I73" i="1" s="1"/>
  <c r="F91" i="1"/>
  <c r="I93" i="1" l="1"/>
  <c r="I91" i="1"/>
  <c r="I96" i="1" s="1"/>
  <c r="I103" i="1" s="1"/>
  <c r="I105" i="1" s="1"/>
  <c r="I92" i="1"/>
  <c r="I133" i="1"/>
  <c r="I135" i="1" l="1"/>
  <c r="G120" i="1"/>
  <c r="I137" i="1"/>
  <c r="I120" i="1" l="1"/>
  <c r="G121" i="1" l="1"/>
  <c r="I121" i="1" s="1"/>
  <c r="G122" i="1" s="1"/>
  <c r="I123" i="1" l="1"/>
  <c r="I122" i="1"/>
  <c r="I128" i="1" s="1"/>
  <c r="I138" i="1" s="1"/>
  <c r="I139" i="1" s="1"/>
  <c r="I141" i="1" s="1"/>
  <c r="I124" i="1"/>
  <c r="I125" i="1"/>
</calcChain>
</file>

<file path=xl/sharedStrings.xml><?xml version="1.0" encoding="utf-8"?>
<sst xmlns="http://schemas.openxmlformats.org/spreadsheetml/2006/main" count="529" uniqueCount="303">
  <si>
    <t>ANEXO Nº II - PLANILHA DE CUSTOS E FORMAÇÃO DE PREÇOS DA ADMINISTRAÇÃO</t>
  </si>
  <si>
    <t>MÃO DE OBRA - OPERADOR DE MÁQUINA COSTAL</t>
  </si>
  <si>
    <t>DISCRIMINAÇÃO DOS SERVIÇOS (DADOS REFERENTES À CONTRATAÇÃO)</t>
  </si>
  <si>
    <t>Informações Complementares</t>
  </si>
  <si>
    <t>A</t>
  </si>
  <si>
    <t>Data de apresentação da proposta (dia/mês/ano):</t>
  </si>
  <si>
    <t>xx/xx/2021</t>
  </si>
  <si>
    <t>Data prevista para a abertura da licitação.</t>
  </si>
  <si>
    <t>B</t>
  </si>
  <si>
    <t>Município/UF:</t>
  </si>
  <si>
    <t>Irati/PR</t>
  </si>
  <si>
    <t>-</t>
  </si>
  <si>
    <t>C</t>
  </si>
  <si>
    <t>Acordo, Convenção ou Dissídio Coletivo/Sigla da Federação/Sindicato/Nº de Registro/Ano</t>
  </si>
  <si>
    <t>PR000326/2021</t>
  </si>
  <si>
    <t>FEACONSPAR/SIEMACO 2021/2023.</t>
  </si>
  <si>
    <t>D</t>
  </si>
  <si>
    <t>Regime de Tributação da empresa</t>
  </si>
  <si>
    <t>Lucro Real</t>
  </si>
  <si>
    <t>Preencher conforme Regime Tributário da licitante.</t>
  </si>
  <si>
    <t>E</t>
  </si>
  <si>
    <t>Número de meses de execução contratual:</t>
  </si>
  <si>
    <t>IDENTIFICAÇÃO DO SERVIÇO</t>
  </si>
  <si>
    <t>Tipo de Serviço</t>
  </si>
  <si>
    <t>Unidade de Medida</t>
  </si>
  <si>
    <t>Quantidade a contratar</t>
  </si>
  <si>
    <t>Serviços de Operador de Máquina Costal</t>
  </si>
  <si>
    <t>Posto de trabalho/mês</t>
  </si>
  <si>
    <t>Mão de obra</t>
  </si>
  <si>
    <t>Mão de obra vinculada à execução contratual</t>
  </si>
  <si>
    <t>Dados para composição dos custos referentes a mão de obra</t>
  </si>
  <si>
    <t>Tipo de Serviço (mesmo serviço com características distintas)</t>
  </si>
  <si>
    <t>Classificação Brasileira de Ocupações (CBO)</t>
  </si>
  <si>
    <t>9922-15</t>
  </si>
  <si>
    <t>CBO para a categoria Operador de Máquina Costal.</t>
  </si>
  <si>
    <t>Salário Normativo da Categoria Profissional</t>
  </si>
  <si>
    <t>Valor do Salário base, conforme cláusula 3ª, item 10 da CCT Feaconspar 2021.</t>
  </si>
  <si>
    <t>Categoria Profissional (vinculada à execução contratual)</t>
  </si>
  <si>
    <t>Operador de Máquina Costal</t>
  </si>
  <si>
    <t>Data-Base da Categoria (dia/mês/ano)</t>
  </si>
  <si>
    <t>1º de fevereiro</t>
  </si>
  <si>
    <t>Conforme cláusula 1ª  da CCT Feaconspar 2021.</t>
  </si>
  <si>
    <t>Módulo 1 - Composição da Remuneração</t>
  </si>
  <si>
    <t>Composição da Remuneração</t>
  </si>
  <si>
    <t>Valor (R$)</t>
  </si>
  <si>
    <t>Salário-Base para jornada de 40 horas</t>
  </si>
  <si>
    <t>Valor do Salário base, conforme cláusula 3ª CCT Feaconspar 2021.</t>
  </si>
  <si>
    <t>Adicional de Periculosidade</t>
  </si>
  <si>
    <t>Não se aplica.</t>
  </si>
  <si>
    <t>Adicional de Insalubridade</t>
  </si>
  <si>
    <t>Adicional Noturno</t>
  </si>
  <si>
    <t>Adicional de Hora Noturna Reduzida</t>
  </si>
  <si>
    <t>F</t>
  </si>
  <si>
    <t>Outros (especificar)</t>
  </si>
  <si>
    <t>Total</t>
  </si>
  <si>
    <t>Soma de A a F.</t>
  </si>
  <si>
    <t>Módulo 2 - Encargos e Benefícios Anuais, Mensais e Diários</t>
  </si>
  <si>
    <t xml:space="preserve"> Submódulo 2.1 - 13º (décimo terceiro) Salário, Férias e Adicional de Férias</t>
  </si>
  <si>
    <t>2.1</t>
  </si>
  <si>
    <t>13º (décimo terceiro) Salário, Férias e Adicional de Férias</t>
  </si>
  <si>
    <t>Base de Cálculo</t>
  </si>
  <si>
    <t>Provisão Mensal</t>
  </si>
  <si>
    <t>Valor (R$)</t>
  </si>
  <si>
    <t>13º (décimo terceiro) Salário</t>
  </si>
  <si>
    <t>Base de cálculo: módulo 1; Percentual de 8,33% equivale à provisão mensal (1/12) para o pagamento da Gratificação de Natal (13º salário), estabelecida pela Lei nº 4.090/1962.</t>
  </si>
  <si>
    <t>Férias</t>
  </si>
  <si>
    <t>Base de cálculo: módulo 1; Percentual de 8,33% equivale à provisão mensal (1/12) para o pagamento das férias, conforme previsão na Constituição Federal, art. 7º, inciso XVII.</t>
  </si>
  <si>
    <t>Adicional de Férias</t>
  </si>
  <si>
    <t>Base de cálculo: módulo 1; Percentual de 2,78% equivale a custo do terço adicional de férias (=1/12/3) estabelecido na Constituição Federal, em seu art. 7º, inciso XVII.</t>
  </si>
  <si>
    <t>Soma A a C.</t>
  </si>
  <si>
    <t>Submódulo 2.2 - Encargos Previdenciários (GPS), Fundo de Garantia por Tempo de Serviço (FGTS) e outras contribuições</t>
  </si>
  <si>
    <t>2.2</t>
  </si>
  <si>
    <t>GPS, FGTS e outras contribuições</t>
  </si>
  <si>
    <t>Percentual (%)</t>
  </si>
  <si>
    <t>INSS</t>
  </si>
  <si>
    <t>Base de cálculo: Remuneração (módulo 1) + Provisão para 13º/Férias/Adicional de Férias (submódulo 2.1). Alíquota de 20% equivale à contribuição previdenciária patronal estabelecida no inciso I do caput do art. 22 da Lei nº 8.212/1991.</t>
  </si>
  <si>
    <t>RAT Ajustado (FAP* GIIL-RAT)</t>
  </si>
  <si>
    <t>FAP</t>
  </si>
  <si>
    <t>GILL-RAT</t>
  </si>
  <si>
    <t>Base de cálculo: Remuneração (módulo 1) + Provisão para 13º/Férias/Adicional de Férias (submódulo 2.1). Alíquota será o FAP (a ser informado na coluna D, com 4 casas decimais) multiplicado pelo percentual de GIIL-RAT (coluna E, 3% para o GIIL-RAT conforme anexo I da IN RFB 971/2009, para o CNAE 81.29-0-00 - Atividades de limpeza não especificadas anteriormente</t>
  </si>
  <si>
    <t>Salário Educação</t>
  </si>
  <si>
    <t>Base de cálculo: Remuneração (módulo 1) + Provisão para 13º/Férias/Adicional de Férias (submódulo 2.1). Alíquota de 2,5% para o salário-educação conforme Lei nº 9.424, art. 15. Alíquotas das demais contribuições conforme anexo II da IN RFB 971/2009, para o código FPAS 515.</t>
  </si>
  <si>
    <t>SESC ou SESI</t>
  </si>
  <si>
    <t>SENAI - SENAC</t>
  </si>
  <si>
    <t>SEBRAE</t>
  </si>
  <si>
    <t>G</t>
  </si>
  <si>
    <t>INCRA</t>
  </si>
  <si>
    <t>H</t>
  </si>
  <si>
    <t>FGTS</t>
  </si>
  <si>
    <t>Base de cálculo: Remuneração (módulo 1) + Provisão para 13º/Férias/Adicional de Férias (submódulo 2.1). Alíquota de 8% conforme Lei nº 8.036/1990, art. 15.</t>
  </si>
  <si>
    <t>Soma de A a H.</t>
  </si>
  <si>
    <t>Submódulo 2.3 - Benefícios Mensais e Diários</t>
  </si>
  <si>
    <t>2.3</t>
  </si>
  <si>
    <t>Benefícios Mensais e Diários</t>
  </si>
  <si>
    <t>Multiplicador</t>
  </si>
  <si>
    <t>Custo Unit (R$)</t>
  </si>
  <si>
    <t>Contrapartida funcionário</t>
  </si>
  <si>
    <t>Custo Efetivo(R$)</t>
  </si>
  <si>
    <t>Transporte</t>
  </si>
  <si>
    <t>Multiplicador considera a previsão de fornecimento de 44 vales mensais (22 dias úteis x 2 vales). Custo unitário é o valor da tarifa de passagem municipal, conforme Decreto Municipal 478/2019. Contrapartida do funcionário é o desconto legal de 6% (parte do trabalhador) aplicado sobre o salário base (item A do módulo 1).</t>
  </si>
  <si>
    <t>Vale Alimentação</t>
  </si>
  <si>
    <t>Valor do benefício conforme cláusula 13ª da CCT Feaconspar 2021. Contrapartida do funcionário é o desconto legal de 20% (parte do funcionário) conforme previsão no §1º da cláusula 13ª da CCT.</t>
  </si>
  <si>
    <t>Vale Alimentação pago durante as férias</t>
  </si>
  <si>
    <t>Custo unitário é a provisão mensal (1/12) do valor do benefício pago na ocasião das férias do funcionário, conforme previsão no §8º da cláusula 13ª da CCT Feaconspar 2021. Contrapartida do funcionário é o desconto legal de 20% (parte do funcionário) conforme previsão no §1º da cláusula 13ª da CCT.</t>
  </si>
  <si>
    <t>Assistência Médica</t>
  </si>
  <si>
    <t>Valor pago pelo empregador conforme cláusula 15ª da CCT Feaconspar 2021.</t>
  </si>
  <si>
    <t>Benefício Social Familiar</t>
  </si>
  <si>
    <t>Valor pago pelo empregador conforme cláusula 16ª da CCT Feaconspar 2021.</t>
  </si>
  <si>
    <t>Fundo de Formação Profissional</t>
  </si>
  <si>
    <t>Não cotar. Vide item 10 do Termo de Referência.</t>
  </si>
  <si>
    <t>Especificar.</t>
  </si>
  <si>
    <t>Soma de A a G.</t>
  </si>
  <si>
    <t>Quadro-Resumo do Módulo 2 - Encargos e Benefícios anuais, mensais e diários</t>
  </si>
  <si>
    <t>Encargos e Benefícios Anuais, Mensais e Diários</t>
  </si>
  <si>
    <t>13º (décimo terceiro) salário, Férias e Adicional de Férias</t>
  </si>
  <si>
    <t>Valor transferido do quadro acima para o submódulo 2.1.</t>
  </si>
  <si>
    <t>GPS, FGTS e outras contribuições</t>
  </si>
  <si>
    <t>Valor transferido do quadro acima para o submódulo 2.2.</t>
  </si>
  <si>
    <t>Valor transferido do quadro acima para o submódulo 2.3.</t>
  </si>
  <si>
    <t>Soma de 2.1 a 2.3.</t>
  </si>
  <si>
    <t>Módulo 3 - Provisão para Rescisão</t>
  </si>
  <si>
    <t>Provisão para Rescisão</t>
  </si>
  <si>
    <t>Alíquota</t>
  </si>
  <si>
    <t>Provisão mensal</t>
  </si>
  <si>
    <t>Estatísticas de ocorrência</t>
  </si>
  <si>
    <t>API - Aviso prévio indenizado (36 dias - considera duração de 30 meses de contrato)</t>
  </si>
  <si>
    <t>Base de cálculo é o direito do empregado a 30 dias de aviso prévio, acrescido de 3 dias a cada ano trabalhado, corforme art. 1º da Lei 12.506/2011, em uma rescisão contratual sem justa causa com Aviso Prévio Indenizado (que equivalem aos valores previstos no módulo 1). A provisão de 3,3333% corresponde ao provisionamento mensal para a despesa (1/30), tendo em vista a previsão de duração de 30 meses de contrato. A estatística de ocorrência deve ser informada conforme dados históricos da licitante. Aqui, foi considerado como ocorrência em 5% dos casos.
Considerando a estimativa de duração de 30 meses de contrato, estão sendo provisionados 36 dias de aviso prévio.</t>
  </si>
  <si>
    <t>Reflexos do 13º salário sobre o Aviso Prévio Indenizado</t>
  </si>
  <si>
    <t>Corresponde aos valores devidos de 13º salário (1/12), férias (1/12) e adicional de férias (1/12/3) como reflexo sobre o Aviso Prévio Indenizado. Valores são calculados considerando o item A do Módulo 3.</t>
  </si>
  <si>
    <t>Reflexos das Férias e Adicional de Férias sobre o Aviso Prévio Indenizado</t>
  </si>
  <si>
    <t>FGTS sobre Aviso Prévio Indenizado e seus reflexos</t>
  </si>
  <si>
    <t>Base de cálculo são os valores devidos no API sobre os quais há incidência de FGTS (API + 13º salário, itens A e B deste módulo). Alíquota de 8% conforme Lei nº 8.036/1990, art. 15.</t>
  </si>
  <si>
    <t>APT - Aviso Prévio Trabalhado (7 dias)</t>
  </si>
  <si>
    <t>Base de cálculo é a remuneração dos últimos 7 dias indenizados ao empregado durante o aviso prévio em uma rescisão contratual sem justa causa com o Aviso Prévio Trabalhado (que equivalem a 7/30 do módulo 1).  O valor dos 23 dias trabalhados não consistem em custos extras à contratada, uma vez que este está previsto na remuneração normal contida no módulo 1. A estatística de ocorrência deve ser informada conforme dados históricos da licitante. Aqui, foi considerado como ocorrência em 95% dos casos.  A soma das estatísticas dos item A (API) e E (APT) não devem ultrapassar 100% (podendo ser inferior aos 100%, uma vez que essas não são as 2 únicas formas de desligamento).</t>
  </si>
  <si>
    <t>FGTS sobre Aviso Prévio Trabalhado</t>
  </si>
  <si>
    <t>Base de cálculo são os valores devidos no APT (item E deste módulo). Alíquotas consideram a incidência de todos os encargos constantes no submódulo 2.2 (encargos sociais e trabalhistas). FGTS está calculado à parte dos demais encargos sociais, uma vez que este será usado como parâmetro para o cálculo da multa indenizatória de 40% de FGTS no item seguinte.</t>
  </si>
  <si>
    <t>Demais encargos sociais e trabalhistas sobre Aviso Prévio Trabalhado</t>
  </si>
  <si>
    <t>Multa sobre FGTS</t>
  </si>
  <si>
    <t>Base de cálculo são as provisões para depósitos de FGTS, a saber: o valor mensal do depósito do FGTS e dos valores provisionados para 13º/Férias/Adicional de Férias (item H do submódulo 2.2); o FGTS incidente sobre o API (apurado no item D) e o FGTS incidente sobre o APT (apurado no item F). Alíquota de 40% equivale à multa do FGTS conforme art. 18 da Lei 8.036/90. A estatística de ocorrências será obtida pelo somatório dos percentuais informados pela licitante nos itens A e E, que são os casos em que resultam em necessidade de pagamento da multa do FGTS.</t>
  </si>
  <si>
    <t>Módulo 4 - Custo de Reposição do Profissional Ausente</t>
  </si>
  <si>
    <t>Submódulo 4.1 - Substituto nas Ausências Legais</t>
  </si>
  <si>
    <t>Ausências Legais</t>
  </si>
  <si>
    <t>Alíquota / Estatísticas de ocorrência</t>
  </si>
  <si>
    <t>Substituto na cobertura de Férias</t>
  </si>
  <si>
    <t>Base de cálculo são os 1/12 devidos ao substituto de 13º (décimo terceiro) Salário, Férias e Adicional de Férias (submódulo 2.1); acrescido dos encargos (submódulo 2.2) incidentes sobre estes itens;  acrescido dos Benefícios Mensais e Diários (submódulo 2.3, à exceção do Vale Transporte, que não é devido ao titular durante as férias deste, e do Vale Alimentação, que é devido por dia trabalhado por posto de trabalho); acrescido da Provisão para Rescisão (módulo 3). Percentual de 8,33% equivale à provisão mensal para a despesas.</t>
  </si>
  <si>
    <t>Substituto na cobertura de ausência justificada</t>
  </si>
  <si>
    <t>Base de cálculo é o somatório da remuneração (módulo 1), das provisões para 13º salário, férias e adicional de férias (submódulo 2.1), dos encargos trabalhistas e previdenciários (submódulo 2.2), dos Benefícios Mensais e Diários (submódulo 2.3) constantes na CCT, à exceção daqueles que não são pagos ao titular na decorrência de suas ausências (ex: VT, VA), e da provisão para rescisão (módulo 3). Percentual de 0,4% considera a estatítica de ocorrência de 1 falta justificada por ano (1 falta / aproximadamente 250 dias trabalhados no ano). Não ocorreram situações deste tipo no contrato anterior.</t>
  </si>
  <si>
    <t>Substituto na cobertura de Licença-Paternidade</t>
  </si>
  <si>
    <t>Mesma base de cálculo do item anterior. Valor é multiplicado pela fração de 5/250 (considerando a licença de 5 dias e aproximadamente 250 dias trabalhados/ano). Como não ocorreram situações deste tipo no contrato anterior, foi considerada alíquota de incidência em 2% dos casos.</t>
  </si>
  <si>
    <t>Substituto na cobertura de Ausência por acidente de trabalho</t>
  </si>
  <si>
    <t>Mesma base de cálculo do item B. Valor é multiplicado pela fração de 15/365 (considerando a licença de 15 dias corridos). Como não ocorreram situações deste tipo no contrato anterior, foi considerada alíquota de incidência em 1% dos casos.</t>
  </si>
  <si>
    <t>Substituto na cobertura de Afastamento Maternidade</t>
  </si>
  <si>
    <t>Considerando que durante o afastamento de Licença Maternidade, as despesas com o salário e os proporcionais de 13º salário apesar de pagas pela contratada, são compensadas junto à Previdência Social (Art. 86 da IN RFB 971/2009), as mesmas despesas em relação ao substituto do posto já estarão previstas no módulo 1, e item A do submódulo 2.1, uma vez que estes custos se equivalem. Os custos extras a serem provisionados são aqueles que serão devidos durante o período de licença maternidade tanto ao titular do posto quanto ao seu substituto, a saber: 1/12 de Férias + adicional de 1/3 constituicional (itens B e C do submódulo 2.1); FGTS (submódulo 2.2, item H); Benefícios Mensais e Diários previstos na CCT (submódulo 2.3) à exceção do Vale Transporte, que é devido por dia trabalhado e do Vale Alimentação, por não haver previsão na CCT para pagamento durante o afastamento. Provisão para rescisão (módulo 3). Provisão de 13,33% considera a duração de 120 dias do benefício e divididos pelo tempo total de contratação de 30 meses (aproximadamente 900 dias) (=120/900). Como não ocorreram situações deste tipo no contrato anterior, foi considerada alíquota de incidência em 1% dos casos.</t>
  </si>
  <si>
    <t>Substituto na cobertura de Outras ausências (especificar)</t>
  </si>
  <si>
    <t>4.2</t>
  </si>
  <si>
    <t>Submódulo 4.2 - Substituto na Intrajornada</t>
  </si>
  <si>
    <t>A. </t>
  </si>
  <si>
    <t>Substituto na cobertura de Intervalo para repouso ou alimentação</t>
  </si>
  <si>
    <t>Quadro-Resumo do Módulo 4 - Custo de Reposição do Profissional Ausente</t>
  </si>
  <si>
    <t>Custo de Reposição do Profissional Ausente</t>
  </si>
  <si>
    <t>4.1</t>
  </si>
  <si>
    <t>Substituto nas Ausências Legais</t>
  </si>
  <si>
    <t>Valor transportado do submódulo 4.1.</t>
  </si>
  <si>
    <t>Substituto na Intrajornada</t>
  </si>
  <si>
    <t>Valor transportado do submódulo 4.2.</t>
  </si>
  <si>
    <t>Soma de 4.1 a 4.2.</t>
  </si>
  <si>
    <t>Módulo 5 - Insumos Diversos</t>
  </si>
  <si>
    <t>Insumos Diversos</t>
  </si>
  <si>
    <t>Provisão mensal (R$)</t>
  </si>
  <si>
    <t>Uniformes</t>
  </si>
  <si>
    <t>Valor do rateio mensal dos custos com uniformes elencados na planilha específica "UNIFORMES e EPI's".</t>
  </si>
  <si>
    <t>Equipamentos de Proteção Individual</t>
  </si>
  <si>
    <t>Valor do rateio mensal dos custos com Equipamentos de Proteção Individual elencados na planilha específica "UNIFORMES e EPI's".</t>
  </si>
  <si>
    <t>Equipamentos (depreciação)</t>
  </si>
  <si>
    <t>Considerando que a propriedade dos equipamentos ao final do período contratual permanecerá com a licitante contratada, o único custo a ser repassado ao IFPR é o da depreciação dos equipamentos. Considerou-se a depreciação dos equipamentos em 60 (sessenta) meses, que é o período de duração máxima do contrato, e valor residual de 20%. Estes estão calculados na planilha "EQUIPAMENTOS".</t>
  </si>
  <si>
    <t>Insumos inflamáveis</t>
  </si>
  <si>
    <t>Refere-se ao custo dos insumos mensais elencados na planilha específica "MATERIAIS e INSUMOS".</t>
  </si>
  <si>
    <t>Materiais de entrega anual</t>
  </si>
  <si>
    <t>Valor do rateio mensal dos custos com materiais anuais, elencados na planilha específica "MATERIAIS e INSUMOS".</t>
  </si>
  <si>
    <t>Outros materiais duráveis</t>
  </si>
  <si>
    <t>Valor do rateio mensal dos custos com materiais duráveis, cujo fornecimento não precisa se repetir a cada período pré-estabelecido ou renovação contratual, elencados na planilha específica "MATERIAIS e INSUMOS".</t>
  </si>
  <si>
    <t>Módulo 6 - Custos Indiretos, Tributos e Lucro</t>
  </si>
  <si>
    <t>Custos Indiretos, Tributos e Lucro</t>
  </si>
  <si>
    <t>Custos Indiretos</t>
  </si>
  <si>
    <r>
      <rPr>
        <sz val="11"/>
        <rFont val="Calibri"/>
      </rPr>
      <t xml:space="preserve">Base de cálculo para os Custos Indiretos é o somatório dos módulos 1, 2, 3, 4 e 5. Percentual de custos indiretos é definida pela licitante. Custos indiretos estimados pela administração em </t>
    </r>
    <r>
      <rPr>
        <sz val="11"/>
        <rFont val="Calibri"/>
      </rPr>
      <t>6,39% conforme pesquisas de mercado e em contratos de outros órgãos.</t>
    </r>
  </si>
  <si>
    <t>Lucro</t>
  </si>
  <si>
    <r>
      <rPr>
        <sz val="11"/>
        <rFont val="Calibri"/>
      </rPr>
      <t xml:space="preserve">Base de cálculo para o Lucro é o somatório dos módulos 1, 2, 3, 4 e 5, com os custos indiretos (item A). Percentual de lucro esperado é definida pela licitante. Lucro estimados pela administração em </t>
    </r>
    <r>
      <rPr>
        <sz val="11"/>
        <rFont val="Calibri"/>
      </rPr>
      <t>5,71% conforme pesquisas de mercado e em contratos de outros órgãos.</t>
    </r>
  </si>
  <si>
    <t>PIS</t>
  </si>
  <si>
    <r>
      <rPr>
        <sz val="11"/>
        <rFont val="Calibri"/>
      </rPr>
      <t xml:space="preserve">Base de cálculo é o somatório dos módulos 1, 2, 3, 4 e 5, com os custos indiretos (item A) e o lucro (item B). A alíquota é o percentual de tributo devido, conforme o regime de tributação da licitante. Para o ISSQN a alíquota no município de Irati é 5%, conforme Lei Municipal nº 4.430/2017. Para os licitantes, as alíquotas deverão ser preenchidas com a "alíquota média dos efetivos recolhimentos da empresa nos últimos doze meses", conforme previsão no </t>
    </r>
    <r>
      <rPr>
        <sz val="11"/>
        <rFont val="Calibri"/>
      </rPr>
      <t xml:space="preserve">item 6.6 </t>
    </r>
    <r>
      <rPr>
        <sz val="11"/>
        <rFont val="Calibri"/>
      </rPr>
      <t>do Edital. O resultado da apuração "base de cálculo x alíquota" é dividido pela diferença entre o percentual de 100% e o total dos tributos (PIS + COFINS + ISS) a fim de que o valor destacado corresponda exatamente ao valor dos tributos na apuração mensal (metodologia de cálculo "por dentro”).</t>
    </r>
  </si>
  <si>
    <t>COFINS</t>
  </si>
  <si>
    <t>ISSQN</t>
  </si>
  <si>
    <t>Total de Tributos</t>
  </si>
  <si>
    <t>Soma dos tributos devidos (coluna G). Não prencher a coluna I para não duplicar a somatória do módulo.</t>
  </si>
  <si>
    <t>Créditos de PIS e COFINS sobre insumos (EXCLUSIVO PARA LUCRO REAL)</t>
  </si>
  <si>
    <t>Em relação ao PIS e COFINS, exclusivamente para empresas tributadas pelo Lucro Real, sobre os valores de Uniformes, EPIs, materiais e equipamentos (módulo 5), vale transporte (submódulo 2.3, item A) e vale alimentação (submódulo 2.3, itens B e C), há o direito a créditos de PIS e COFINS, conforme regime de incidência "Não Cumulativa", de acordo com os Arts. 3º da Lei 10.637/2002 e 3º da Lei 10.833/2003. Desta forma os valores correspondentes a estes itens estão compondo (na planilha) uma dedução de base de cálculo dos tributos apurados nos itens C e D. A alíquota de 9,25% equivale ao somatório das alíquotas de PIS e COFINS.</t>
  </si>
  <si>
    <t>Soma de A a I.</t>
  </si>
  <si>
    <t>QUADRO-RESUMO DO CUSTO POR EMPREGADO</t>
  </si>
  <si>
    <t>MÓDULO</t>
  </si>
  <si>
    <t>Módulo 1 - Composição da Remuneração</t>
  </si>
  <si>
    <t>Valor transferido do quadro acima para o módulo.</t>
  </si>
  <si>
    <t>Módulo 2 - Encargos e Benefícios Anuais, Mensais e Diários</t>
  </si>
  <si>
    <t>Módulo 3 - Provisão para Rescisão</t>
  </si>
  <si>
    <t>Módulo 4 - Custo de Reposição do Profissional Ausente</t>
  </si>
  <si>
    <t>Módulo 5 - Insumos Diversos</t>
  </si>
  <si>
    <t>Subtotal (A + B +C+ D+E)</t>
  </si>
  <si>
    <t>Soma de A a E.</t>
  </si>
  <si>
    <t>Módulo 6 – Custos Indiretos, Tributos e Lucro</t>
  </si>
  <si>
    <t>Valor Total por Empregado</t>
  </si>
  <si>
    <t>Soma de F a G.</t>
  </si>
  <si>
    <t>Total de empregados por posto de trabalho</t>
  </si>
  <si>
    <t>I</t>
  </si>
  <si>
    <t>Valor Total Estimado para 30 meses de execução contratual</t>
  </si>
  <si>
    <t>Multiplicação de H x I x 30</t>
  </si>
  <si>
    <t>UNIFORMES E EPI'S UTILIZADOS NA PRESTAÇÃO DOS SERVIÇOS</t>
  </si>
  <si>
    <t>UNIFORMES A SEREM FORNECIDOS PARA CADA FUNCIONÁRIO</t>
  </si>
  <si>
    <t>Item</t>
  </si>
  <si>
    <t>Descrição</t>
  </si>
  <si>
    <t>Quantidade semestral</t>
  </si>
  <si>
    <t>Apresentação</t>
  </si>
  <si>
    <t>Cotação de Preços 1 (R$)</t>
  </si>
  <si>
    <t>Cotação de Preços 2 (R$)</t>
  </si>
  <si>
    <t>Cotação de Preços 3 (R$)</t>
  </si>
  <si>
    <t>Valor Unitário (R$)</t>
  </si>
  <si>
    <t>Valor Total Anual (R$)</t>
  </si>
  <si>
    <t>Calça confeccionada em tecido brim/jeans, na cor padrão da empresa.</t>
  </si>
  <si>
    <t>Unidade</t>
  </si>
  <si>
    <t>Camiseta de manga curta, em algodão, tamanho sob medida, cor padrão da empresa e com emblema.</t>
  </si>
  <si>
    <t>Camiseta de manga longa, em algodão, tamanho sob medida, cor padrão da empresa e com emblema.</t>
  </si>
  <si>
    <t>Meias de algodão, cano alto, de boa qualidade na cor preta.</t>
  </si>
  <si>
    <t>Par</t>
  </si>
  <si>
    <t>Quantidade anual</t>
  </si>
  <si>
    <t>Camiseta manga longa com proteção solar UV 50+, tecido em poliéster com elastano, cor padrão da empresa.</t>
  </si>
  <si>
    <t>Jaqueta em tecido tipo microfibra, cor padrão da empresa ou preta, forrada, com dois bolsos laterais, com emblema da empresa.</t>
  </si>
  <si>
    <t>Crachá de presilha, contendo o nome e informação “A serviço do IFPR”.</t>
  </si>
  <si>
    <t>Valor anual, por funcionário</t>
  </si>
  <si>
    <t>Provisão mensal dos custos com uniformes</t>
  </si>
  <si>
    <t>EPI'S A SEREM FORNECIDOS PARA CADA FUNCIONÁRIO</t>
  </si>
  <si>
    <t>Capa de chuva em PVC, forrada, com capuz.</t>
  </si>
  <si>
    <t>Luva para limpeza em geral (par), material látex, palma antiderrapante.</t>
  </si>
  <si>
    <t>Luva raspa couro (par).</t>
  </si>
  <si>
    <t>Óculos de proteção, cor transparente.</t>
  </si>
  <si>
    <t>Óculos de proteção, cor fumê (proteção solar).</t>
  </si>
  <si>
    <t>Protetor auricular, tipo plug.</t>
  </si>
  <si>
    <t>Par de botas de borracha, cano longo (tipo galocha): na cor preta, de boa qualidade, com solado de borracha.</t>
  </si>
  <si>
    <t>Botina de segurança na cor preta, de boa qualidade, couro curtido, com solado de borracha.</t>
  </si>
  <si>
    <t>Perneiras, material couro sintético, fechamento em velcro, para proteção das pernas.</t>
  </si>
  <si>
    <t>Avental, material raspa de couro.</t>
  </si>
  <si>
    <t>Boné/chapéu, em tecido de algodão, com protetor de pescoço e protetor facial com viseira de tela.</t>
  </si>
  <si>
    <t>Máscara de tecido, em algodão firme, modelo 3D, para prevenção de contágio de vírus em geral (kit com 10 un).</t>
  </si>
  <si>
    <t>Kit</t>
  </si>
  <si>
    <t>Provisão mensal dos custos com EPIs</t>
  </si>
  <si>
    <t>INSUMOS E MATERIAIS UTILIZADOS NA PRESTAÇÃO DOS SERVIÇOS</t>
  </si>
  <si>
    <t>INSUMOS INFLAMÁVEIS - QUANTIDADE MÁXIMA MENSAL (entrega sob demanda)</t>
  </si>
  <si>
    <t>Quantidade</t>
  </si>
  <si>
    <t>Valor Total (R$)</t>
  </si>
  <si>
    <t>Gasolina comum.</t>
  </si>
  <si>
    <t>Litro</t>
  </si>
  <si>
    <t>Óleo lubrificante para motores 2 tempos, embalagem 500 ml</t>
  </si>
  <si>
    <t>500ml</t>
  </si>
  <si>
    <t>Valor total mensal</t>
  </si>
  <si>
    <t>MATERIAIS - ENTREGA ANUAL</t>
  </si>
  <si>
    <t>Valor Unitário R$ (R$)</t>
  </si>
  <si>
    <t>Lâminas para roçadeira, compatível com o modelo de roçadeira a ser entregue.</t>
  </si>
  <si>
    <t>Graxa lubrificante (para roçadeira), 1kg.</t>
  </si>
  <si>
    <t>Kg</t>
  </si>
  <si>
    <t>Vassoura fixa para folhagem em PVC (rastelo) com cabo 120 cm 20 dentes.</t>
  </si>
  <si>
    <t>Fio de nylon redondo resistente para roçadeira.</t>
  </si>
  <si>
    <t>Metro</t>
  </si>
  <si>
    <t>Fio de nylon quadrado resistente para roçadeira.</t>
  </si>
  <si>
    <t>Valor total anual</t>
  </si>
  <si>
    <t>Rateio do valor anual para 1 mês</t>
  </si>
  <si>
    <t>OUTROS MATERIAIS DURÁVEIS - ENTREGA ÚNICA</t>
  </si>
  <si>
    <t>Adaptadores para mangueira ¾.</t>
  </si>
  <si>
    <t>Cones de sinalização.</t>
  </si>
  <si>
    <t>Engraxadeira manual com capacidade para 500g.</t>
  </si>
  <si>
    <t>Enxada com cabo, tamanho médio.</t>
  </si>
  <si>
    <t xml:space="preserve">Enxadão com cabo, tamanho médio. </t>
  </si>
  <si>
    <t>Enxadeco (enxadinha), com cabo.</t>
  </si>
  <si>
    <t>Facão (médio).</t>
  </si>
  <si>
    <t>Foice com cabo.</t>
  </si>
  <si>
    <t>Mangueira reforçada de borracha ou silicone, com 50 metros, ¾”, com adaptador e esguicho.</t>
  </si>
  <si>
    <t>Pá cortadeira 34cm, com cabo de madeira.</t>
  </si>
  <si>
    <t>Pá de bico - nº 3, com cabo de madeira.</t>
  </si>
  <si>
    <t>Picareta, com cabo.</t>
  </si>
  <si>
    <t>Serrote para poda, com cabo.</t>
  </si>
  <si>
    <t>Tela de proteção para roçagem 6 x 1,5 metro com estrutura.</t>
  </si>
  <si>
    <t>Tesoura para corte de grama 12".</t>
  </si>
  <si>
    <t>Tesoura para poda, 22 x 5,6 x 1,6 cm.</t>
  </si>
  <si>
    <t>Valor total</t>
  </si>
  <si>
    <t>Vida útil de ferramentas e outros insumos (em meses)</t>
  </si>
  <si>
    <t>Rateio do custo total pela vida útil</t>
  </si>
  <si>
    <t>Valor total mensal com insumos e ferramentas</t>
  </si>
  <si>
    <t>EQUIPAMENTOS UTILIZADOS NA PRESTAÇÃO DOS SERVIÇOS</t>
  </si>
  <si>
    <t>EQUIPAMENTOS</t>
  </si>
  <si>
    <t>Vida útil
(meses)</t>
  </si>
  <si>
    <t>Valor residual (%)</t>
  </si>
  <si>
    <t>Depreciação mensal (R$)</t>
  </si>
  <si>
    <t>Roçadeira, indicada para serviços pesados e poda de grandes áreas, por longos períodos, com potência mínima de 2,3CV, sistema anti-vibratório e cinto para suporte da roçadeira. Modelo de referência: Stihl FS 220.</t>
  </si>
  <si>
    <t>Carrinho de mão, estrutura metálica, pneu com câmara, capacidade entre 45 e 60 litros.</t>
  </si>
  <si>
    <t>Motopoda/podador de galhos, a gasolina, potência mínima de 750w, com extensor, possibilitando poda de galhos em lugares altos.</t>
  </si>
  <si>
    <t>Soprador ou aspirador de folhas de uso profissional, a gasolina.</t>
  </si>
  <si>
    <t>Licitação Nº:  Pregão Eletrônico 04/2021 - UASG 158009</t>
  </si>
  <si>
    <t>Nº do Processo: 23411.000955/2021-63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</si>
</sst>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[$R$ -416]* #,##0.00_);_([$R$ -416]* \(#,##0.00\);_([$R$ -416]* &quot;-&quot;??_);_(@_)"/>
    <numFmt numFmtId="165" formatCode="_-&quot;R$&quot;\ * #,##0.00_-;\-&quot;R$&quot;\ * #,##0.00_-;_-&quot;R$&quot;\ * &quot;-&quot;??_-;_-@"/>
    <numFmt numFmtId="166" formatCode="0.0000%"/>
    <numFmt numFmtId="167" formatCode="0.0000"/>
    <numFmt numFmtId="168" formatCode="d\.m"/>
    <numFmt numFmtId="169" formatCode="0_ "/>
    <numFmt numFmtId="170" formatCode="0.00_ "/>
    <numFmt numFmtId="171" formatCode="&quot;R$&quot;#,##0.00"/>
    <numFmt numFmtId="172" formatCode="0.00000%"/>
    <numFmt numFmtId="173" formatCode="[$R$ -416]#,##0.00"/>
  </numFmts>
  <fonts count="9">
    <font>
      <sz val="10"/>
      <color rgb="FF000000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1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quotePrefix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0" fontId="1" fillId="0" borderId="40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5" fontId="2" fillId="4" borderId="39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0" fontId="1" fillId="0" borderId="42" xfId="0" applyNumberFormat="1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0" fontId="1" fillId="0" borderId="48" xfId="0" applyNumberFormat="1" applyFont="1" applyBorder="1" applyAlignment="1">
      <alignment horizontal="center" vertical="center" wrapText="1"/>
    </xf>
    <xf numFmtId="165" fontId="1" fillId="0" borderId="49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5" fontId="2" fillId="4" borderId="27" xfId="0" applyNumberFormat="1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10" fontId="1" fillId="0" borderId="42" xfId="0" applyNumberFormat="1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 wrapText="1"/>
    </xf>
    <xf numFmtId="167" fontId="1" fillId="0" borderId="40" xfId="0" applyNumberFormat="1" applyFont="1" applyBorder="1" applyAlignment="1">
      <alignment horizontal="center" vertical="center" wrapText="1"/>
    </xf>
    <xf numFmtId="9" fontId="1" fillId="0" borderId="40" xfId="0" applyNumberFormat="1" applyFont="1" applyBorder="1" applyAlignment="1">
      <alignment horizontal="center" vertical="center" wrapText="1"/>
    </xf>
    <xf numFmtId="10" fontId="1" fillId="0" borderId="40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0" fontId="1" fillId="0" borderId="48" xfId="0" applyNumberFormat="1" applyFont="1" applyBorder="1" applyAlignment="1">
      <alignment horizontal="center" vertical="center" wrapText="1"/>
    </xf>
    <xf numFmtId="166" fontId="2" fillId="4" borderId="26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166" fontId="1" fillId="0" borderId="40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8" fontId="2" fillId="3" borderId="38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 wrapText="1"/>
    </xf>
    <xf numFmtId="10" fontId="3" fillId="0" borderId="40" xfId="0" applyNumberFormat="1" applyFont="1" applyBorder="1" applyAlignment="1">
      <alignment horizontal="center" vertical="center"/>
    </xf>
    <xf numFmtId="165" fontId="1" fillId="0" borderId="55" xfId="0" applyNumberFormat="1" applyFont="1" applyBorder="1" applyAlignment="1">
      <alignment horizontal="center" vertical="center" wrapText="1"/>
    </xf>
    <xf numFmtId="10" fontId="3" fillId="0" borderId="4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0" xfId="0" applyFont="1" applyBorder="1" applyAlignment="1">
      <alignment vertical="center" wrapText="1"/>
    </xf>
    <xf numFmtId="10" fontId="3" fillId="0" borderId="48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2" fillId="3" borderId="27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9" fontId="2" fillId="3" borderId="38" xfId="0" applyNumberFormat="1" applyFont="1" applyFill="1" applyBorder="1" applyAlignment="1">
      <alignment horizontal="center" vertical="center" wrapText="1"/>
    </xf>
    <xf numFmtId="170" fontId="2" fillId="3" borderId="26" xfId="0" applyNumberFormat="1" applyFont="1" applyFill="1" applyBorder="1" applyAlignment="1">
      <alignment horizontal="center" vertical="center" wrapText="1"/>
    </xf>
    <xf numFmtId="170" fontId="2" fillId="3" borderId="26" xfId="0" applyNumberFormat="1" applyFont="1" applyFill="1" applyBorder="1" applyAlignment="1">
      <alignment horizontal="center" vertical="center" wrapText="1"/>
    </xf>
    <xf numFmtId="170" fontId="2" fillId="3" borderId="27" xfId="0" applyNumberFormat="1" applyFont="1" applyFill="1" applyBorder="1" applyAlignment="1">
      <alignment horizontal="center" vertical="center" wrapText="1"/>
    </xf>
    <xf numFmtId="170" fontId="1" fillId="0" borderId="34" xfId="0" applyNumberFormat="1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vertical="center" wrapText="1"/>
    </xf>
    <xf numFmtId="165" fontId="1" fillId="0" borderId="43" xfId="0" applyNumberFormat="1" applyFont="1" applyBorder="1" applyAlignment="1">
      <alignment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vertical="center" wrapText="1"/>
    </xf>
    <xf numFmtId="171" fontId="1" fillId="0" borderId="16" xfId="0" applyNumberFormat="1" applyFont="1" applyBorder="1" applyAlignment="1">
      <alignment horizontal="center" vertical="center" wrapText="1"/>
    </xf>
    <xf numFmtId="171" fontId="1" fillId="4" borderId="5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5" fontId="2" fillId="2" borderId="27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173" fontId="1" fillId="5" borderId="42" xfId="0" applyNumberFormat="1" applyFont="1" applyFill="1" applyBorder="1" applyAlignment="1">
      <alignment horizontal="center" vertical="center"/>
    </xf>
    <xf numFmtId="173" fontId="1" fillId="5" borderId="42" xfId="0" applyNumberFormat="1" applyFont="1" applyFill="1" applyBorder="1" applyAlignment="1">
      <alignment horizontal="center" vertical="center" wrapText="1"/>
    </xf>
    <xf numFmtId="173" fontId="1" fillId="5" borderId="40" xfId="0" applyNumberFormat="1" applyFont="1" applyFill="1" applyBorder="1" applyAlignment="1">
      <alignment horizontal="center" vertical="center"/>
    </xf>
    <xf numFmtId="173" fontId="1" fillId="5" borderId="43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73" fontId="1" fillId="5" borderId="40" xfId="0" applyNumberFormat="1" applyFont="1" applyFill="1" applyBorder="1" applyAlignment="1">
      <alignment horizontal="center" vertical="center"/>
    </xf>
    <xf numFmtId="173" fontId="1" fillId="5" borderId="40" xfId="0" applyNumberFormat="1" applyFont="1" applyFill="1" applyBorder="1" applyAlignment="1">
      <alignment horizontal="center" vertical="center" wrapText="1"/>
    </xf>
    <xf numFmtId="173" fontId="1" fillId="5" borderId="16" xfId="0" applyNumberFormat="1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/>
    </xf>
    <xf numFmtId="173" fontId="7" fillId="5" borderId="42" xfId="0" applyNumberFormat="1" applyFont="1" applyFill="1" applyBorder="1" applyAlignment="1">
      <alignment horizontal="center" vertical="center"/>
    </xf>
    <xf numFmtId="173" fontId="7" fillId="5" borderId="42" xfId="0" applyNumberFormat="1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5" borderId="30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49" fontId="1" fillId="5" borderId="42" xfId="0" applyNumberFormat="1" applyFont="1" applyFill="1" applyBorder="1" applyAlignment="1">
      <alignment horizontal="center" vertical="center"/>
    </xf>
    <xf numFmtId="3" fontId="1" fillId="5" borderId="42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 wrapText="1"/>
    </xf>
    <xf numFmtId="164" fontId="1" fillId="5" borderId="43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9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4" fontId="1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6" fontId="1" fillId="0" borderId="48" xfId="0" applyNumberFormat="1" applyFont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10" fontId="1" fillId="0" borderId="41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left" vertical="center" wrapText="1"/>
    </xf>
    <xf numFmtId="10" fontId="1" fillId="0" borderId="48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0" fontId="1" fillId="0" borderId="13" xfId="0" applyNumberFormat="1" applyFont="1" applyBorder="1" applyAlignment="1">
      <alignment vertical="center" wrapText="1"/>
    </xf>
    <xf numFmtId="170" fontId="2" fillId="3" borderId="39" xfId="0" applyNumberFormat="1" applyFont="1" applyFill="1" applyBorder="1" applyAlignment="1">
      <alignment horizontal="center" vertical="center" wrapText="1"/>
    </xf>
    <xf numFmtId="170" fontId="1" fillId="0" borderId="35" xfId="0" applyNumberFormat="1" applyFont="1" applyBorder="1" applyAlignment="1">
      <alignment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171" fontId="1" fillId="0" borderId="5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1" fillId="0" borderId="48" xfId="0" applyNumberFormat="1" applyFont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74E13"/>
    <pageSetUpPr fitToPage="1"/>
  </sheetPr>
  <dimension ref="A1:K142"/>
  <sheetViews>
    <sheetView showGridLines="0" tabSelected="1" workbookViewId="0">
      <selection activeCell="C11" sqref="C11:H11"/>
    </sheetView>
  </sheetViews>
  <sheetFormatPr defaultColWidth="14.42578125" defaultRowHeight="15" customHeight="1" outlineLevelRow="1"/>
  <cols>
    <col min="1" max="1" width="3.140625" customWidth="1"/>
    <col min="2" max="2" width="8.7109375" customWidth="1"/>
    <col min="3" max="3" width="34.85546875" customWidth="1"/>
    <col min="4" max="4" width="13.28515625" customWidth="1"/>
    <col min="5" max="5" width="13.5703125" customWidth="1"/>
    <col min="6" max="6" width="13.7109375" customWidth="1"/>
    <col min="7" max="7" width="13.5703125" customWidth="1"/>
    <col min="8" max="8" width="13.42578125" customWidth="1"/>
    <col min="9" max="9" width="15.5703125" customWidth="1"/>
    <col min="10" max="10" width="85.5703125" customWidth="1"/>
    <col min="11" max="11" width="22.5703125" customWidth="1"/>
  </cols>
  <sheetData>
    <row r="1" spans="1:11" outlineLevel="1">
      <c r="A1" s="1"/>
      <c r="B1" s="2"/>
      <c r="C1" s="2"/>
      <c r="D1" s="2"/>
      <c r="E1" s="2"/>
      <c r="F1" s="2"/>
      <c r="G1" s="2"/>
      <c r="H1" s="2"/>
      <c r="I1" s="2"/>
      <c r="J1" s="1"/>
      <c r="K1" s="2"/>
    </row>
    <row r="2" spans="1:11" ht="21" customHeight="1" outlineLevel="1">
      <c r="A2" s="1"/>
      <c r="B2" s="211" t="s">
        <v>0</v>
      </c>
      <c r="C2" s="212"/>
      <c r="D2" s="212"/>
      <c r="E2" s="212"/>
      <c r="F2" s="212"/>
      <c r="G2" s="212"/>
      <c r="H2" s="212"/>
      <c r="I2" s="212"/>
      <c r="J2" s="213"/>
      <c r="K2" s="2"/>
    </row>
    <row r="3" spans="1:11" outlineLevel="1">
      <c r="A3" s="1"/>
      <c r="B3" s="235"/>
      <c r="C3" s="236"/>
      <c r="D3" s="236"/>
      <c r="E3" s="236"/>
      <c r="F3" s="236"/>
      <c r="G3" s="236"/>
      <c r="H3" s="236"/>
      <c r="I3" s="236"/>
      <c r="J3" s="3"/>
      <c r="K3" s="2"/>
    </row>
    <row r="4" spans="1:11" outlineLevel="1">
      <c r="A4" s="1"/>
      <c r="B4" s="237" t="s">
        <v>302</v>
      </c>
      <c r="C4" s="238"/>
      <c r="D4" s="238"/>
      <c r="E4" s="238"/>
      <c r="F4" s="238"/>
      <c r="G4" s="238"/>
      <c r="H4" s="238"/>
      <c r="I4" s="238"/>
      <c r="J4" s="1"/>
      <c r="K4" s="2"/>
    </row>
    <row r="5" spans="1:11" outlineLevel="1">
      <c r="A5" s="1"/>
      <c r="B5" s="237" t="s">
        <v>301</v>
      </c>
      <c r="C5" s="238"/>
      <c r="D5" s="238"/>
      <c r="E5" s="238"/>
      <c r="F5" s="238"/>
      <c r="G5" s="238"/>
      <c r="H5" s="238"/>
      <c r="I5" s="238"/>
      <c r="J5" s="1"/>
      <c r="K5" s="2"/>
    </row>
    <row r="6" spans="1:11" outlineLevel="1">
      <c r="A6" s="1"/>
      <c r="B6" s="239"/>
      <c r="C6" s="238"/>
      <c r="D6" s="2"/>
      <c r="E6" s="2"/>
      <c r="F6" s="2"/>
      <c r="G6" s="2"/>
      <c r="H6" s="2"/>
      <c r="I6" s="2"/>
      <c r="J6" s="1"/>
      <c r="K6" s="2"/>
    </row>
    <row r="7" spans="1:11" outlineLevel="1">
      <c r="A7" s="1"/>
      <c r="B7" s="211" t="s">
        <v>1</v>
      </c>
      <c r="C7" s="212"/>
      <c r="D7" s="212"/>
      <c r="E7" s="212"/>
      <c r="F7" s="212"/>
      <c r="G7" s="212"/>
      <c r="H7" s="212"/>
      <c r="I7" s="213"/>
      <c r="J7" s="1"/>
      <c r="K7" s="2"/>
    </row>
    <row r="8" spans="1:11" outlineLevel="1">
      <c r="A8" s="1"/>
      <c r="B8" s="214" t="s">
        <v>2</v>
      </c>
      <c r="C8" s="212"/>
      <c r="D8" s="212"/>
      <c r="E8" s="212"/>
      <c r="F8" s="212"/>
      <c r="G8" s="212"/>
      <c r="H8" s="212"/>
      <c r="I8" s="213"/>
      <c r="J8" s="4" t="s">
        <v>3</v>
      </c>
      <c r="K8" s="2"/>
    </row>
    <row r="9" spans="1:11" outlineLevel="1">
      <c r="A9" s="1"/>
      <c r="B9" s="5" t="s">
        <v>4</v>
      </c>
      <c r="C9" s="240" t="s">
        <v>5</v>
      </c>
      <c r="D9" s="241"/>
      <c r="E9" s="241"/>
      <c r="F9" s="241"/>
      <c r="G9" s="241"/>
      <c r="H9" s="242"/>
      <c r="I9" s="6" t="s">
        <v>6</v>
      </c>
      <c r="J9" s="7" t="s">
        <v>7</v>
      </c>
      <c r="K9" s="2"/>
    </row>
    <row r="10" spans="1:11" outlineLevel="1">
      <c r="A10" s="1"/>
      <c r="B10" s="8" t="s">
        <v>8</v>
      </c>
      <c r="C10" s="234" t="s">
        <v>9</v>
      </c>
      <c r="D10" s="223"/>
      <c r="E10" s="223"/>
      <c r="F10" s="223"/>
      <c r="G10" s="223"/>
      <c r="H10" s="224"/>
      <c r="I10" s="10" t="s">
        <v>10</v>
      </c>
      <c r="J10" s="11" t="s">
        <v>11</v>
      </c>
      <c r="K10" s="2"/>
    </row>
    <row r="11" spans="1:11" outlineLevel="1">
      <c r="A11" s="1"/>
      <c r="B11" s="8" t="s">
        <v>12</v>
      </c>
      <c r="C11" s="234" t="s">
        <v>13</v>
      </c>
      <c r="D11" s="223"/>
      <c r="E11" s="223"/>
      <c r="F11" s="223"/>
      <c r="G11" s="223"/>
      <c r="H11" s="224"/>
      <c r="I11" s="10" t="s">
        <v>14</v>
      </c>
      <c r="J11" s="11" t="s">
        <v>15</v>
      </c>
      <c r="K11" s="2"/>
    </row>
    <row r="12" spans="1:11" outlineLevel="1">
      <c r="A12" s="1"/>
      <c r="B12" s="12" t="s">
        <v>16</v>
      </c>
      <c r="C12" s="234" t="s">
        <v>17</v>
      </c>
      <c r="D12" s="223"/>
      <c r="E12" s="223"/>
      <c r="F12" s="223"/>
      <c r="G12" s="223"/>
      <c r="H12" s="224"/>
      <c r="I12" s="10" t="s">
        <v>18</v>
      </c>
      <c r="J12" s="11" t="s">
        <v>19</v>
      </c>
      <c r="K12" s="2"/>
    </row>
    <row r="13" spans="1:11" outlineLevel="1">
      <c r="A13" s="1"/>
      <c r="B13" s="13" t="s">
        <v>20</v>
      </c>
      <c r="C13" s="243" t="s">
        <v>21</v>
      </c>
      <c r="D13" s="244"/>
      <c r="E13" s="244"/>
      <c r="F13" s="244"/>
      <c r="G13" s="244"/>
      <c r="H13" s="245"/>
      <c r="I13" s="14">
        <v>30</v>
      </c>
      <c r="J13" s="15" t="s">
        <v>11</v>
      </c>
      <c r="K13" s="2"/>
    </row>
    <row r="14" spans="1:11" outlineLevel="1">
      <c r="A14" s="1"/>
      <c r="B14" s="246"/>
      <c r="C14" s="247"/>
      <c r="D14" s="247"/>
      <c r="E14" s="247"/>
      <c r="F14" s="247"/>
      <c r="G14" s="247"/>
      <c r="H14" s="247"/>
      <c r="I14" s="247"/>
      <c r="J14" s="1"/>
      <c r="K14" s="2"/>
    </row>
    <row r="15" spans="1:11" outlineLevel="1">
      <c r="A15" s="1"/>
      <c r="B15" s="211" t="s">
        <v>22</v>
      </c>
      <c r="C15" s="212"/>
      <c r="D15" s="212"/>
      <c r="E15" s="212"/>
      <c r="F15" s="212"/>
      <c r="G15" s="212"/>
      <c r="H15" s="212"/>
      <c r="I15" s="213"/>
      <c r="J15" s="3"/>
      <c r="K15" s="2"/>
    </row>
    <row r="16" spans="1:11" ht="30" outlineLevel="1">
      <c r="A16" s="1"/>
      <c r="B16" s="214" t="s">
        <v>23</v>
      </c>
      <c r="C16" s="212"/>
      <c r="D16" s="212"/>
      <c r="E16" s="212"/>
      <c r="F16" s="212"/>
      <c r="G16" s="229"/>
      <c r="H16" s="16" t="s">
        <v>24</v>
      </c>
      <c r="I16" s="17" t="s">
        <v>25</v>
      </c>
      <c r="J16" s="4" t="s">
        <v>3</v>
      </c>
      <c r="K16" s="2"/>
    </row>
    <row r="17" spans="1:11" ht="30" outlineLevel="1">
      <c r="A17" s="1"/>
      <c r="B17" s="248" t="s">
        <v>26</v>
      </c>
      <c r="C17" s="247"/>
      <c r="D17" s="247"/>
      <c r="E17" s="247"/>
      <c r="F17" s="247"/>
      <c r="G17" s="249"/>
      <c r="H17" s="18" t="s">
        <v>27</v>
      </c>
      <c r="I17" s="19">
        <v>30</v>
      </c>
      <c r="J17" s="20" t="s">
        <v>11</v>
      </c>
      <c r="K17" s="2"/>
    </row>
    <row r="18" spans="1:11">
      <c r="A18" s="1"/>
      <c r="B18" s="250"/>
      <c r="C18" s="212"/>
      <c r="D18" s="212"/>
      <c r="E18" s="212"/>
      <c r="F18" s="212"/>
      <c r="G18" s="212"/>
      <c r="H18" s="212"/>
      <c r="I18" s="212"/>
      <c r="J18" s="3"/>
      <c r="K18" s="1"/>
    </row>
    <row r="19" spans="1:11">
      <c r="A19" s="1"/>
      <c r="B19" s="211" t="s">
        <v>28</v>
      </c>
      <c r="C19" s="212"/>
      <c r="D19" s="212"/>
      <c r="E19" s="212"/>
      <c r="F19" s="212"/>
      <c r="G19" s="212"/>
      <c r="H19" s="212"/>
      <c r="I19" s="213"/>
      <c r="J19" s="3"/>
      <c r="K19" s="1"/>
    </row>
    <row r="20" spans="1:11" outlineLevel="1">
      <c r="A20" s="1"/>
      <c r="B20" s="251" t="s">
        <v>29</v>
      </c>
      <c r="C20" s="247"/>
      <c r="D20" s="247"/>
      <c r="E20" s="247"/>
      <c r="F20" s="247"/>
      <c r="G20" s="247"/>
      <c r="H20" s="247"/>
      <c r="I20" s="252"/>
      <c r="J20" s="3"/>
      <c r="K20" s="2"/>
    </row>
    <row r="21" spans="1:11" outlineLevel="1">
      <c r="A21" s="1"/>
      <c r="B21" s="214" t="s">
        <v>30</v>
      </c>
      <c r="C21" s="212"/>
      <c r="D21" s="212"/>
      <c r="E21" s="212"/>
      <c r="F21" s="212"/>
      <c r="G21" s="212"/>
      <c r="H21" s="212"/>
      <c r="I21" s="229"/>
      <c r="J21" s="4" t="s">
        <v>3</v>
      </c>
      <c r="K21" s="2"/>
    </row>
    <row r="22" spans="1:11" ht="45" outlineLevel="1">
      <c r="A22" s="1"/>
      <c r="B22" s="21">
        <v>1</v>
      </c>
      <c r="C22" s="230" t="s">
        <v>31</v>
      </c>
      <c r="D22" s="217"/>
      <c r="E22" s="217"/>
      <c r="F22" s="217"/>
      <c r="G22" s="217"/>
      <c r="H22" s="218"/>
      <c r="I22" s="22" t="s">
        <v>26</v>
      </c>
      <c r="J22" s="7" t="s">
        <v>11</v>
      </c>
      <c r="K22" s="2"/>
    </row>
    <row r="23" spans="1:11" outlineLevel="1">
      <c r="A23" s="1"/>
      <c r="B23" s="12">
        <v>2</v>
      </c>
      <c r="C23" s="234" t="s">
        <v>32</v>
      </c>
      <c r="D23" s="223"/>
      <c r="E23" s="223"/>
      <c r="F23" s="223"/>
      <c r="G23" s="223"/>
      <c r="H23" s="224"/>
      <c r="I23" s="23" t="s">
        <v>33</v>
      </c>
      <c r="J23" s="11" t="s">
        <v>34</v>
      </c>
      <c r="K23" s="2"/>
    </row>
    <row r="24" spans="1:11" outlineLevel="1">
      <c r="A24" s="1"/>
      <c r="B24" s="12">
        <v>3</v>
      </c>
      <c r="C24" s="234" t="s">
        <v>35</v>
      </c>
      <c r="D24" s="223"/>
      <c r="E24" s="223"/>
      <c r="F24" s="223"/>
      <c r="G24" s="223"/>
      <c r="H24" s="224"/>
      <c r="I24" s="24">
        <v>1692.22</v>
      </c>
      <c r="J24" s="11" t="s">
        <v>36</v>
      </c>
      <c r="K24" s="2"/>
    </row>
    <row r="25" spans="1:11" ht="30" outlineLevel="1">
      <c r="A25" s="1"/>
      <c r="B25" s="12">
        <v>4</v>
      </c>
      <c r="C25" s="234" t="s">
        <v>37</v>
      </c>
      <c r="D25" s="223"/>
      <c r="E25" s="223"/>
      <c r="F25" s="223"/>
      <c r="G25" s="223"/>
      <c r="H25" s="224"/>
      <c r="I25" s="22" t="s">
        <v>38</v>
      </c>
      <c r="J25" s="11" t="s">
        <v>11</v>
      </c>
      <c r="K25" s="2"/>
    </row>
    <row r="26" spans="1:11" outlineLevel="1">
      <c r="A26" s="1"/>
      <c r="B26" s="13">
        <v>5</v>
      </c>
      <c r="C26" s="243" t="s">
        <v>39</v>
      </c>
      <c r="D26" s="244"/>
      <c r="E26" s="244"/>
      <c r="F26" s="244"/>
      <c r="G26" s="244"/>
      <c r="H26" s="245"/>
      <c r="I26" s="25" t="s">
        <v>40</v>
      </c>
      <c r="J26" s="15" t="s">
        <v>41</v>
      </c>
      <c r="K26" s="2"/>
    </row>
    <row r="27" spans="1:11">
      <c r="A27" s="1"/>
      <c r="B27" s="246"/>
      <c r="C27" s="247"/>
      <c r="D27" s="247"/>
      <c r="E27" s="247"/>
      <c r="F27" s="247"/>
      <c r="G27" s="247"/>
      <c r="H27" s="247"/>
      <c r="I27" s="247"/>
      <c r="J27" s="1"/>
      <c r="K27" s="2"/>
    </row>
    <row r="28" spans="1:11">
      <c r="A28" s="1"/>
      <c r="B28" s="211" t="s">
        <v>42</v>
      </c>
      <c r="C28" s="212"/>
      <c r="D28" s="212"/>
      <c r="E28" s="212"/>
      <c r="F28" s="212"/>
      <c r="G28" s="212"/>
      <c r="H28" s="212"/>
      <c r="I28" s="213"/>
      <c r="J28" s="3"/>
      <c r="K28" s="2"/>
    </row>
    <row r="29" spans="1:11">
      <c r="A29" s="1"/>
      <c r="B29" s="26">
        <v>1</v>
      </c>
      <c r="C29" s="215" t="s">
        <v>43</v>
      </c>
      <c r="D29" s="212"/>
      <c r="E29" s="212"/>
      <c r="F29" s="212"/>
      <c r="G29" s="212"/>
      <c r="H29" s="229"/>
      <c r="I29" s="27" t="s">
        <v>44</v>
      </c>
      <c r="J29" s="4" t="s">
        <v>3</v>
      </c>
      <c r="K29" s="2"/>
    </row>
    <row r="30" spans="1:11" outlineLevel="1">
      <c r="A30" s="1"/>
      <c r="B30" s="21" t="s">
        <v>4</v>
      </c>
      <c r="C30" s="230" t="s">
        <v>45</v>
      </c>
      <c r="D30" s="217"/>
      <c r="E30" s="217"/>
      <c r="F30" s="217"/>
      <c r="G30" s="217"/>
      <c r="H30" s="218"/>
      <c r="I30" s="28">
        <f>ROUND(I24/44*40,2)</f>
        <v>1538.38</v>
      </c>
      <c r="J30" s="7" t="s">
        <v>46</v>
      </c>
      <c r="K30" s="2"/>
    </row>
    <row r="31" spans="1:11" outlineLevel="1">
      <c r="A31" s="1"/>
      <c r="B31" s="12" t="s">
        <v>8</v>
      </c>
      <c r="C31" s="9" t="s">
        <v>47</v>
      </c>
      <c r="D31" s="29"/>
      <c r="E31" s="29"/>
      <c r="F31" s="29"/>
      <c r="G31" s="30">
        <f>I30</f>
        <v>1538.38</v>
      </c>
      <c r="H31" s="31">
        <v>0</v>
      </c>
      <c r="I31" s="28">
        <v>0</v>
      </c>
      <c r="J31" s="11" t="s">
        <v>48</v>
      </c>
      <c r="K31" s="2"/>
    </row>
    <row r="32" spans="1:11" outlineLevel="1">
      <c r="A32" s="1"/>
      <c r="B32" s="12" t="s">
        <v>12</v>
      </c>
      <c r="C32" s="222" t="s">
        <v>49</v>
      </c>
      <c r="D32" s="223"/>
      <c r="E32" s="223"/>
      <c r="F32" s="224"/>
      <c r="G32" s="30">
        <v>1100</v>
      </c>
      <c r="H32" s="31">
        <v>0</v>
      </c>
      <c r="I32" s="24">
        <f>ROUND(G32*H32,2)</f>
        <v>0</v>
      </c>
      <c r="J32" s="11" t="s">
        <v>48</v>
      </c>
      <c r="K32" s="2"/>
    </row>
    <row r="33" spans="1:11" outlineLevel="1">
      <c r="A33" s="1"/>
      <c r="B33" s="12" t="s">
        <v>16</v>
      </c>
      <c r="C33" s="234" t="s">
        <v>50</v>
      </c>
      <c r="D33" s="223"/>
      <c r="E33" s="223"/>
      <c r="F33" s="223"/>
      <c r="G33" s="223"/>
      <c r="H33" s="224"/>
      <c r="I33" s="24">
        <v>0</v>
      </c>
      <c r="J33" s="11" t="s">
        <v>48</v>
      </c>
      <c r="K33" s="2"/>
    </row>
    <row r="34" spans="1:11" outlineLevel="1">
      <c r="A34" s="1"/>
      <c r="B34" s="12" t="s">
        <v>20</v>
      </c>
      <c r="C34" s="234" t="s">
        <v>51</v>
      </c>
      <c r="D34" s="223"/>
      <c r="E34" s="223"/>
      <c r="F34" s="223"/>
      <c r="G34" s="223"/>
      <c r="H34" s="224"/>
      <c r="I34" s="24">
        <v>0</v>
      </c>
      <c r="J34" s="11" t="s">
        <v>48</v>
      </c>
      <c r="K34" s="2"/>
    </row>
    <row r="35" spans="1:11" outlineLevel="1">
      <c r="A35" s="1"/>
      <c r="B35" s="13" t="s">
        <v>52</v>
      </c>
      <c r="C35" s="243" t="s">
        <v>53</v>
      </c>
      <c r="D35" s="244"/>
      <c r="E35" s="244"/>
      <c r="F35" s="244"/>
      <c r="G35" s="244"/>
      <c r="H35" s="245"/>
      <c r="I35" s="32">
        <v>0</v>
      </c>
      <c r="J35" s="15" t="s">
        <v>48</v>
      </c>
      <c r="K35" s="2"/>
    </row>
    <row r="36" spans="1:11">
      <c r="A36" s="1"/>
      <c r="B36" s="228" t="s">
        <v>54</v>
      </c>
      <c r="C36" s="212"/>
      <c r="D36" s="212"/>
      <c r="E36" s="212"/>
      <c r="F36" s="212"/>
      <c r="G36" s="212"/>
      <c r="H36" s="229"/>
      <c r="I36" s="33">
        <f>ROUND(SUM(I30:I35),2)</f>
        <v>1538.38</v>
      </c>
      <c r="J36" s="34" t="s">
        <v>55</v>
      </c>
      <c r="K36" s="2"/>
    </row>
    <row r="37" spans="1:11">
      <c r="A37" s="1"/>
      <c r="B37" s="246"/>
      <c r="C37" s="247"/>
      <c r="D37" s="247"/>
      <c r="E37" s="247"/>
      <c r="F37" s="247"/>
      <c r="G37" s="247"/>
      <c r="H37" s="247"/>
      <c r="I37" s="247"/>
      <c r="J37" s="1"/>
      <c r="K37" s="2"/>
    </row>
    <row r="38" spans="1:11">
      <c r="A38" s="1"/>
      <c r="B38" s="211" t="s">
        <v>56</v>
      </c>
      <c r="C38" s="212"/>
      <c r="D38" s="212"/>
      <c r="E38" s="212"/>
      <c r="F38" s="212"/>
      <c r="G38" s="212"/>
      <c r="H38" s="212"/>
      <c r="I38" s="213"/>
      <c r="J38" s="3"/>
      <c r="K38" s="2"/>
    </row>
    <row r="39" spans="1:11">
      <c r="A39" s="1"/>
      <c r="B39" s="214" t="s">
        <v>57</v>
      </c>
      <c r="C39" s="212"/>
      <c r="D39" s="212"/>
      <c r="E39" s="212"/>
      <c r="F39" s="212"/>
      <c r="G39" s="212"/>
      <c r="H39" s="212"/>
      <c r="I39" s="213"/>
      <c r="J39" s="3"/>
      <c r="K39" s="2"/>
    </row>
    <row r="40" spans="1:11" ht="30">
      <c r="A40" s="1"/>
      <c r="B40" s="26" t="s">
        <v>58</v>
      </c>
      <c r="C40" s="215" t="s">
        <v>59</v>
      </c>
      <c r="D40" s="212"/>
      <c r="E40" s="212"/>
      <c r="F40" s="212"/>
      <c r="G40" s="35" t="s">
        <v>60</v>
      </c>
      <c r="H40" s="36" t="s">
        <v>61</v>
      </c>
      <c r="I40" s="37" t="s">
        <v>62</v>
      </c>
      <c r="J40" s="17" t="s">
        <v>3</v>
      </c>
      <c r="K40" s="2"/>
    </row>
    <row r="41" spans="1:11" ht="30" outlineLevel="1">
      <c r="A41" s="1"/>
      <c r="B41" s="21" t="s">
        <v>4</v>
      </c>
      <c r="C41" s="216" t="s">
        <v>63</v>
      </c>
      <c r="D41" s="217"/>
      <c r="E41" s="217"/>
      <c r="F41" s="218"/>
      <c r="G41" s="219">
        <f>I36</f>
        <v>1538.38</v>
      </c>
      <c r="H41" s="38">
        <f t="shared" ref="H41:H42" si="0">1/12</f>
        <v>8.3333333333333329E-2</v>
      </c>
      <c r="I41" s="39">
        <f t="shared" ref="I41:I43" si="1">ROUND($G$41*H41,2)</f>
        <v>128.19999999999999</v>
      </c>
      <c r="J41" s="40" t="s">
        <v>64</v>
      </c>
      <c r="K41" s="2"/>
    </row>
    <row r="42" spans="1:11" ht="30" outlineLevel="1">
      <c r="A42" s="1"/>
      <c r="B42" s="12" t="s">
        <v>8</v>
      </c>
      <c r="C42" s="222" t="s">
        <v>65</v>
      </c>
      <c r="D42" s="223"/>
      <c r="E42" s="223"/>
      <c r="F42" s="224"/>
      <c r="G42" s="220"/>
      <c r="H42" s="31">
        <f t="shared" si="0"/>
        <v>8.3333333333333329E-2</v>
      </c>
      <c r="I42" s="41">
        <f t="shared" si="1"/>
        <v>128.19999999999999</v>
      </c>
      <c r="J42" s="10" t="s">
        <v>66</v>
      </c>
      <c r="K42" s="2"/>
    </row>
    <row r="43" spans="1:11" ht="30" outlineLevel="1">
      <c r="A43" s="1"/>
      <c r="B43" s="42" t="s">
        <v>12</v>
      </c>
      <c r="C43" s="225" t="s">
        <v>67</v>
      </c>
      <c r="D43" s="226"/>
      <c r="E43" s="226"/>
      <c r="F43" s="227"/>
      <c r="G43" s="221"/>
      <c r="H43" s="43">
        <f>1/12/3</f>
        <v>2.7777777777777776E-2</v>
      </c>
      <c r="I43" s="44">
        <f t="shared" si="1"/>
        <v>42.73</v>
      </c>
      <c r="J43" s="45" t="s">
        <v>68</v>
      </c>
      <c r="K43" s="2"/>
    </row>
    <row r="44" spans="1:11">
      <c r="A44" s="1"/>
      <c r="B44" s="228" t="s">
        <v>54</v>
      </c>
      <c r="C44" s="212"/>
      <c r="D44" s="212"/>
      <c r="E44" s="212"/>
      <c r="F44" s="212"/>
      <c r="G44" s="212"/>
      <c r="H44" s="229"/>
      <c r="I44" s="46">
        <f>ROUND(SUM(I41:I43),2)</f>
        <v>299.13</v>
      </c>
      <c r="J44" s="47" t="s">
        <v>69</v>
      </c>
      <c r="K44" s="2"/>
    </row>
    <row r="45" spans="1:11">
      <c r="A45" s="1"/>
      <c r="B45" s="214" t="s">
        <v>70</v>
      </c>
      <c r="C45" s="212"/>
      <c r="D45" s="212"/>
      <c r="E45" s="212"/>
      <c r="F45" s="212"/>
      <c r="G45" s="212"/>
      <c r="H45" s="212"/>
      <c r="I45" s="213"/>
      <c r="J45" s="3"/>
      <c r="K45" s="2"/>
    </row>
    <row r="46" spans="1:11" ht="30">
      <c r="A46" s="1"/>
      <c r="B46" s="26" t="s">
        <v>71</v>
      </c>
      <c r="C46" s="215" t="s">
        <v>72</v>
      </c>
      <c r="D46" s="212"/>
      <c r="E46" s="212"/>
      <c r="F46" s="229"/>
      <c r="G46" s="35" t="s">
        <v>60</v>
      </c>
      <c r="H46" s="16" t="s">
        <v>73</v>
      </c>
      <c r="I46" s="37" t="s">
        <v>62</v>
      </c>
      <c r="J46" s="17" t="s">
        <v>3</v>
      </c>
      <c r="K46" s="2"/>
    </row>
    <row r="47" spans="1:11" ht="45" outlineLevel="1">
      <c r="A47" s="1"/>
      <c r="B47" s="21" t="s">
        <v>4</v>
      </c>
      <c r="C47" s="230" t="s">
        <v>74</v>
      </c>
      <c r="D47" s="217"/>
      <c r="E47" s="217"/>
      <c r="F47" s="218"/>
      <c r="G47" s="219">
        <f>I36+I44</f>
        <v>1837.5100000000002</v>
      </c>
      <c r="H47" s="48">
        <v>0.2</v>
      </c>
      <c r="I47" s="49">
        <f t="shared" ref="I47:I48" si="2">ROUND($G$47*H47,2)</f>
        <v>367.5</v>
      </c>
      <c r="J47" s="40" t="s">
        <v>75</v>
      </c>
      <c r="K47" s="2"/>
    </row>
    <row r="48" spans="1:11" ht="15" customHeight="1" outlineLevel="1">
      <c r="A48" s="1"/>
      <c r="B48" s="231" t="s">
        <v>8</v>
      </c>
      <c r="C48" s="225" t="s">
        <v>76</v>
      </c>
      <c r="D48" s="227"/>
      <c r="E48" s="50" t="s">
        <v>77</v>
      </c>
      <c r="F48" s="50" t="s">
        <v>78</v>
      </c>
      <c r="G48" s="220"/>
      <c r="H48" s="256">
        <f>ROUND(E49*F49,6)</f>
        <v>0.03</v>
      </c>
      <c r="I48" s="257">
        <f t="shared" si="2"/>
        <v>55.13</v>
      </c>
      <c r="J48" s="253" t="s">
        <v>79</v>
      </c>
      <c r="K48" s="2"/>
    </row>
    <row r="49" spans="1:11" ht="50.25" customHeight="1" outlineLevel="1">
      <c r="A49" s="1"/>
      <c r="B49" s="232"/>
      <c r="C49" s="233"/>
      <c r="D49" s="218"/>
      <c r="E49" s="52">
        <v>1</v>
      </c>
      <c r="F49" s="53">
        <v>0.03</v>
      </c>
      <c r="G49" s="220"/>
      <c r="H49" s="221"/>
      <c r="I49" s="255"/>
      <c r="J49" s="255"/>
      <c r="K49" s="2"/>
    </row>
    <row r="50" spans="1:11" outlineLevel="1">
      <c r="A50" s="1"/>
      <c r="B50" s="12" t="s">
        <v>12</v>
      </c>
      <c r="C50" s="234" t="s">
        <v>80</v>
      </c>
      <c r="D50" s="223"/>
      <c r="E50" s="223"/>
      <c r="F50" s="224"/>
      <c r="G50" s="220"/>
      <c r="H50" s="54">
        <v>2.5000000000000001E-2</v>
      </c>
      <c r="I50" s="55">
        <f t="shared" ref="I50:I55" si="3">ROUND($G$47*H50,2)</f>
        <v>45.94</v>
      </c>
      <c r="J50" s="253" t="s">
        <v>81</v>
      </c>
      <c r="K50" s="2"/>
    </row>
    <row r="51" spans="1:11" outlineLevel="1">
      <c r="A51" s="1"/>
      <c r="B51" s="12" t="s">
        <v>16</v>
      </c>
      <c r="C51" s="234" t="s">
        <v>82</v>
      </c>
      <c r="D51" s="223"/>
      <c r="E51" s="223"/>
      <c r="F51" s="224"/>
      <c r="G51" s="220"/>
      <c r="H51" s="54">
        <v>1.4999999999999999E-2</v>
      </c>
      <c r="I51" s="55">
        <f t="shared" si="3"/>
        <v>27.56</v>
      </c>
      <c r="J51" s="254"/>
      <c r="K51" s="2"/>
    </row>
    <row r="52" spans="1:11" outlineLevel="1">
      <c r="A52" s="1"/>
      <c r="B52" s="12" t="s">
        <v>20</v>
      </c>
      <c r="C52" s="234" t="s">
        <v>83</v>
      </c>
      <c r="D52" s="223"/>
      <c r="E52" s="223"/>
      <c r="F52" s="224"/>
      <c r="G52" s="220"/>
      <c r="H52" s="54">
        <v>0.01</v>
      </c>
      <c r="I52" s="55">
        <f t="shared" si="3"/>
        <v>18.38</v>
      </c>
      <c r="J52" s="254"/>
      <c r="K52" s="2"/>
    </row>
    <row r="53" spans="1:11" outlineLevel="1">
      <c r="A53" s="1"/>
      <c r="B53" s="12" t="s">
        <v>52</v>
      </c>
      <c r="C53" s="234" t="s">
        <v>84</v>
      </c>
      <c r="D53" s="223"/>
      <c r="E53" s="223"/>
      <c r="F53" s="224"/>
      <c r="G53" s="220"/>
      <c r="H53" s="54">
        <v>6.0000000000000001E-3</v>
      </c>
      <c r="I53" s="55">
        <f t="shared" si="3"/>
        <v>11.03</v>
      </c>
      <c r="J53" s="254"/>
      <c r="K53" s="2"/>
    </row>
    <row r="54" spans="1:11" outlineLevel="1">
      <c r="A54" s="1"/>
      <c r="B54" s="12" t="s">
        <v>85</v>
      </c>
      <c r="C54" s="234" t="s">
        <v>86</v>
      </c>
      <c r="D54" s="223"/>
      <c r="E54" s="223"/>
      <c r="F54" s="224"/>
      <c r="G54" s="220"/>
      <c r="H54" s="54">
        <v>2E-3</v>
      </c>
      <c r="I54" s="55">
        <f t="shared" si="3"/>
        <v>3.68</v>
      </c>
      <c r="J54" s="255"/>
      <c r="K54" s="2"/>
    </row>
    <row r="55" spans="1:11" ht="30" outlineLevel="1">
      <c r="A55" s="1"/>
      <c r="B55" s="42" t="s">
        <v>87</v>
      </c>
      <c r="C55" s="225" t="s">
        <v>88</v>
      </c>
      <c r="D55" s="226"/>
      <c r="E55" s="226"/>
      <c r="F55" s="227"/>
      <c r="G55" s="221"/>
      <c r="H55" s="56">
        <v>0.08</v>
      </c>
      <c r="I55" s="51">
        <f t="shared" si="3"/>
        <v>147</v>
      </c>
      <c r="J55" s="45" t="s">
        <v>89</v>
      </c>
      <c r="K55" s="2"/>
    </row>
    <row r="56" spans="1:11">
      <c r="A56" s="1"/>
      <c r="B56" s="228" t="s">
        <v>54</v>
      </c>
      <c r="C56" s="212"/>
      <c r="D56" s="212"/>
      <c r="E56" s="212"/>
      <c r="F56" s="212"/>
      <c r="G56" s="229"/>
      <c r="H56" s="57">
        <f>SUM(H47:H55)</f>
        <v>0.36800000000000005</v>
      </c>
      <c r="I56" s="46">
        <f>ROUND(SUM(I47:I55),2)</f>
        <v>676.22</v>
      </c>
      <c r="J56" s="47" t="s">
        <v>90</v>
      </c>
      <c r="K56" s="2"/>
    </row>
    <row r="57" spans="1:11">
      <c r="A57" s="1"/>
      <c r="B57" s="214" t="s">
        <v>91</v>
      </c>
      <c r="C57" s="212"/>
      <c r="D57" s="212"/>
      <c r="E57" s="212"/>
      <c r="F57" s="212"/>
      <c r="G57" s="212"/>
      <c r="H57" s="212"/>
      <c r="I57" s="213"/>
      <c r="J57" s="3"/>
      <c r="K57" s="2"/>
    </row>
    <row r="58" spans="1:11" ht="30">
      <c r="A58" s="1"/>
      <c r="B58" s="26" t="s">
        <v>92</v>
      </c>
      <c r="C58" s="258" t="s">
        <v>93</v>
      </c>
      <c r="D58" s="212"/>
      <c r="E58" s="229"/>
      <c r="F58" s="58" t="s">
        <v>94</v>
      </c>
      <c r="G58" s="58" t="s">
        <v>95</v>
      </c>
      <c r="H58" s="59" t="s">
        <v>96</v>
      </c>
      <c r="I58" s="17" t="s">
        <v>97</v>
      </c>
      <c r="J58" s="17" t="s">
        <v>3</v>
      </c>
      <c r="K58" s="2"/>
    </row>
    <row r="59" spans="1:11" ht="60" outlineLevel="1">
      <c r="A59" s="1"/>
      <c r="B59" s="21" t="s">
        <v>4</v>
      </c>
      <c r="C59" s="216" t="s">
        <v>98</v>
      </c>
      <c r="D59" s="217"/>
      <c r="E59" s="218"/>
      <c r="F59" s="60">
        <v>44</v>
      </c>
      <c r="G59" s="61">
        <v>4.4000000000000004</v>
      </c>
      <c r="H59" s="61">
        <f>ROUND(I30*6%,2)</f>
        <v>92.3</v>
      </c>
      <c r="I59" s="49">
        <f>ROUND(F59*G59-H59,2)</f>
        <v>101.3</v>
      </c>
      <c r="J59" s="40" t="s">
        <v>99</v>
      </c>
      <c r="K59" s="2"/>
    </row>
    <row r="60" spans="1:11" ht="30" outlineLevel="1">
      <c r="A60" s="1"/>
      <c r="B60" s="12" t="s">
        <v>8</v>
      </c>
      <c r="C60" s="222" t="s">
        <v>100</v>
      </c>
      <c r="D60" s="223"/>
      <c r="E60" s="223"/>
      <c r="F60" s="224"/>
      <c r="G60" s="62">
        <v>450</v>
      </c>
      <c r="H60" s="61">
        <f t="shared" ref="H60:H61" si="4">ROUND(G60*20%,2)</f>
        <v>90</v>
      </c>
      <c r="I60" s="55">
        <f t="shared" ref="I60:I61" si="5">G60-H60</f>
        <v>360</v>
      </c>
      <c r="J60" s="10" t="s">
        <v>101</v>
      </c>
      <c r="K60" s="2"/>
    </row>
    <row r="61" spans="1:11" ht="60" outlineLevel="1">
      <c r="A61" s="1"/>
      <c r="B61" s="12" t="s">
        <v>12</v>
      </c>
      <c r="C61" s="222" t="s">
        <v>102</v>
      </c>
      <c r="D61" s="223"/>
      <c r="E61" s="223"/>
      <c r="F61" s="224"/>
      <c r="G61" s="62">
        <f>ROUND(G60/12,2)</f>
        <v>37.5</v>
      </c>
      <c r="H61" s="61">
        <f t="shared" si="4"/>
        <v>7.5</v>
      </c>
      <c r="I61" s="55">
        <f t="shared" si="5"/>
        <v>30</v>
      </c>
      <c r="J61" s="10" t="s">
        <v>103</v>
      </c>
      <c r="K61" s="2"/>
    </row>
    <row r="62" spans="1:11" outlineLevel="1">
      <c r="A62" s="1"/>
      <c r="B62" s="12" t="s">
        <v>16</v>
      </c>
      <c r="C62" s="222" t="s">
        <v>104</v>
      </c>
      <c r="D62" s="223"/>
      <c r="E62" s="223"/>
      <c r="F62" s="223"/>
      <c r="G62" s="223"/>
      <c r="H62" s="224"/>
      <c r="I62" s="63">
        <v>64</v>
      </c>
      <c r="J62" s="10" t="s">
        <v>105</v>
      </c>
      <c r="K62" s="2"/>
    </row>
    <row r="63" spans="1:11" outlineLevel="1">
      <c r="A63" s="1"/>
      <c r="B63" s="12" t="s">
        <v>20</v>
      </c>
      <c r="C63" s="222" t="s">
        <v>106</v>
      </c>
      <c r="D63" s="223"/>
      <c r="E63" s="223"/>
      <c r="F63" s="223"/>
      <c r="G63" s="223"/>
      <c r="H63" s="224"/>
      <c r="I63" s="63">
        <v>21</v>
      </c>
      <c r="J63" s="10" t="s">
        <v>107</v>
      </c>
      <c r="K63" s="2"/>
    </row>
    <row r="64" spans="1:11" outlineLevel="1">
      <c r="A64" s="1"/>
      <c r="B64" s="12" t="s">
        <v>52</v>
      </c>
      <c r="C64" s="234" t="s">
        <v>108</v>
      </c>
      <c r="D64" s="223"/>
      <c r="E64" s="223"/>
      <c r="F64" s="223"/>
      <c r="G64" s="223"/>
      <c r="H64" s="224"/>
      <c r="I64" s="63">
        <v>0</v>
      </c>
      <c r="J64" s="10" t="s">
        <v>109</v>
      </c>
      <c r="K64" s="2"/>
    </row>
    <row r="65" spans="1:11" outlineLevel="1">
      <c r="A65" s="1"/>
      <c r="B65" s="42" t="s">
        <v>85</v>
      </c>
      <c r="C65" s="225" t="s">
        <v>53</v>
      </c>
      <c r="D65" s="226"/>
      <c r="E65" s="226"/>
      <c r="F65" s="226"/>
      <c r="G65" s="226"/>
      <c r="H65" s="227"/>
      <c r="I65" s="64">
        <v>0</v>
      </c>
      <c r="J65" s="45" t="s">
        <v>110</v>
      </c>
      <c r="K65" s="2"/>
    </row>
    <row r="66" spans="1:11">
      <c r="A66" s="1"/>
      <c r="B66" s="228" t="s">
        <v>54</v>
      </c>
      <c r="C66" s="212"/>
      <c r="D66" s="212"/>
      <c r="E66" s="212"/>
      <c r="F66" s="212"/>
      <c r="G66" s="212"/>
      <c r="H66" s="229"/>
      <c r="I66" s="46">
        <f>ROUND(SUM(I59:I65),2)</f>
        <v>576.29999999999995</v>
      </c>
      <c r="J66" s="47" t="s">
        <v>111</v>
      </c>
      <c r="K66" s="2"/>
    </row>
    <row r="67" spans="1:11">
      <c r="A67" s="1"/>
      <c r="B67" s="3"/>
      <c r="C67" s="3"/>
      <c r="D67" s="3"/>
      <c r="E67" s="3"/>
      <c r="F67" s="3"/>
      <c r="G67" s="3"/>
      <c r="H67" s="3"/>
      <c r="I67" s="3"/>
      <c r="J67" s="3"/>
      <c r="K67" s="2"/>
    </row>
    <row r="68" spans="1:11">
      <c r="A68" s="1"/>
      <c r="B68" s="214" t="s">
        <v>112</v>
      </c>
      <c r="C68" s="212"/>
      <c r="D68" s="212"/>
      <c r="E68" s="212"/>
      <c r="F68" s="212"/>
      <c r="G68" s="212"/>
      <c r="H68" s="212"/>
      <c r="I68" s="213"/>
      <c r="K68" s="2"/>
    </row>
    <row r="69" spans="1:11">
      <c r="A69" s="1"/>
      <c r="B69" s="65">
        <v>2</v>
      </c>
      <c r="C69" s="259" t="s">
        <v>113</v>
      </c>
      <c r="D69" s="247"/>
      <c r="E69" s="247"/>
      <c r="F69" s="247"/>
      <c r="G69" s="247"/>
      <c r="H69" s="249"/>
      <c r="I69" s="66" t="s">
        <v>62</v>
      </c>
      <c r="J69" s="67" t="s">
        <v>3</v>
      </c>
      <c r="K69" s="2"/>
    </row>
    <row r="70" spans="1:11" outlineLevel="1">
      <c r="A70" s="1"/>
      <c r="B70" s="68" t="s">
        <v>58</v>
      </c>
      <c r="C70" s="230" t="s">
        <v>114</v>
      </c>
      <c r="D70" s="217"/>
      <c r="E70" s="217"/>
      <c r="F70" s="217"/>
      <c r="G70" s="217"/>
      <c r="H70" s="218"/>
      <c r="I70" s="49">
        <f>I44</f>
        <v>299.13</v>
      </c>
      <c r="J70" s="10" t="s">
        <v>115</v>
      </c>
      <c r="K70" s="1"/>
    </row>
    <row r="71" spans="1:11" outlineLevel="1">
      <c r="A71" s="1"/>
      <c r="B71" s="69" t="s">
        <v>71</v>
      </c>
      <c r="C71" s="234" t="s">
        <v>116</v>
      </c>
      <c r="D71" s="223"/>
      <c r="E71" s="223"/>
      <c r="F71" s="223"/>
      <c r="G71" s="223"/>
      <c r="H71" s="224"/>
      <c r="I71" s="55">
        <f>I56</f>
        <v>676.22</v>
      </c>
      <c r="J71" s="10" t="s">
        <v>117</v>
      </c>
      <c r="K71" s="1"/>
    </row>
    <row r="72" spans="1:11" outlineLevel="1">
      <c r="A72" s="1"/>
      <c r="B72" s="70" t="s">
        <v>92</v>
      </c>
      <c r="C72" s="225" t="s">
        <v>93</v>
      </c>
      <c r="D72" s="226"/>
      <c r="E72" s="226"/>
      <c r="F72" s="226"/>
      <c r="G72" s="226"/>
      <c r="H72" s="227"/>
      <c r="I72" s="51">
        <f>I66</f>
        <v>576.29999999999995</v>
      </c>
      <c r="J72" s="45" t="s">
        <v>118</v>
      </c>
      <c r="K72" s="1"/>
    </row>
    <row r="73" spans="1:11">
      <c r="A73" s="1"/>
      <c r="B73" s="228" t="s">
        <v>54</v>
      </c>
      <c r="C73" s="212"/>
      <c r="D73" s="212"/>
      <c r="E73" s="212"/>
      <c r="F73" s="212"/>
      <c r="G73" s="212"/>
      <c r="H73" s="229"/>
      <c r="I73" s="46">
        <f>ROUND(SUM(I70:I72),2)</f>
        <v>1551.65</v>
      </c>
      <c r="J73" s="47" t="s">
        <v>119</v>
      </c>
      <c r="K73" s="2"/>
    </row>
    <row r="74" spans="1:11">
      <c r="A74" s="1"/>
      <c r="B74" s="246"/>
      <c r="C74" s="247"/>
      <c r="D74" s="247"/>
      <c r="E74" s="247"/>
      <c r="F74" s="247"/>
      <c r="G74" s="247"/>
      <c r="H74" s="247"/>
      <c r="I74" s="247"/>
      <c r="J74" s="1"/>
      <c r="K74" s="2"/>
    </row>
    <row r="75" spans="1:11">
      <c r="A75" s="1"/>
      <c r="B75" s="211" t="s">
        <v>120</v>
      </c>
      <c r="C75" s="212"/>
      <c r="D75" s="212"/>
      <c r="E75" s="212"/>
      <c r="F75" s="212"/>
      <c r="G75" s="212"/>
      <c r="H75" s="212"/>
      <c r="I75" s="213"/>
      <c r="J75" s="3"/>
      <c r="K75" s="2"/>
    </row>
    <row r="76" spans="1:11" ht="30">
      <c r="A76" s="1"/>
      <c r="B76" s="71">
        <v>3</v>
      </c>
      <c r="C76" s="215" t="s">
        <v>121</v>
      </c>
      <c r="D76" s="212"/>
      <c r="E76" s="35" t="s">
        <v>122</v>
      </c>
      <c r="F76" s="35" t="s">
        <v>60</v>
      </c>
      <c r="G76" s="35" t="s">
        <v>123</v>
      </c>
      <c r="H76" s="35" t="s">
        <v>124</v>
      </c>
      <c r="I76" s="37" t="s">
        <v>62</v>
      </c>
      <c r="J76" s="17" t="s">
        <v>3</v>
      </c>
      <c r="K76" s="2"/>
    </row>
    <row r="77" spans="1:11" ht="120" outlineLevel="1">
      <c r="A77" s="1"/>
      <c r="B77" s="21" t="s">
        <v>4</v>
      </c>
      <c r="C77" s="230" t="s">
        <v>125</v>
      </c>
      <c r="D77" s="217"/>
      <c r="E77" s="217"/>
      <c r="F77" s="72">
        <f>ROUND(I36/30*36,2)</f>
        <v>1846.06</v>
      </c>
      <c r="G77" s="260">
        <f>1/30</f>
        <v>3.3333333333333333E-2</v>
      </c>
      <c r="H77" s="260">
        <v>0.05</v>
      </c>
      <c r="I77" s="49">
        <f t="shared" ref="I77:I79" si="6">ROUND(F77*$G$77*$H$77,2)</f>
        <v>3.08</v>
      </c>
      <c r="J77" s="7" t="s">
        <v>126</v>
      </c>
      <c r="K77" s="2"/>
    </row>
    <row r="78" spans="1:11" ht="18.75" customHeight="1" outlineLevel="1">
      <c r="A78" s="1"/>
      <c r="B78" s="12" t="s">
        <v>8</v>
      </c>
      <c r="C78" s="234" t="s">
        <v>127</v>
      </c>
      <c r="D78" s="223"/>
      <c r="E78" s="223"/>
      <c r="F78" s="73">
        <f>ROUND(F77/12,2)</f>
        <v>153.84</v>
      </c>
      <c r="G78" s="220"/>
      <c r="H78" s="220"/>
      <c r="I78" s="49">
        <f t="shared" si="6"/>
        <v>0.26</v>
      </c>
      <c r="J78" s="263" t="s">
        <v>128</v>
      </c>
      <c r="K78" s="2"/>
    </row>
    <row r="79" spans="1:11" ht="18.75" customHeight="1" outlineLevel="1">
      <c r="A79" s="1"/>
      <c r="B79" s="12" t="s">
        <v>12</v>
      </c>
      <c r="C79" s="234" t="s">
        <v>129</v>
      </c>
      <c r="D79" s="223"/>
      <c r="E79" s="223"/>
      <c r="F79" s="73">
        <f>ROUND(F77/12+F77/12/3,2)</f>
        <v>205.12</v>
      </c>
      <c r="G79" s="220"/>
      <c r="H79" s="220"/>
      <c r="I79" s="49">
        <f t="shared" si="6"/>
        <v>0.34</v>
      </c>
      <c r="J79" s="264"/>
      <c r="K79" s="2"/>
    </row>
    <row r="80" spans="1:11" ht="30" outlineLevel="1">
      <c r="A80" s="1"/>
      <c r="B80" s="12" t="s">
        <v>16</v>
      </c>
      <c r="C80" s="234" t="s">
        <v>130</v>
      </c>
      <c r="D80" s="223"/>
      <c r="E80" s="31">
        <f>H55</f>
        <v>0.08</v>
      </c>
      <c r="F80" s="73">
        <f>SUM(F77:F78)</f>
        <v>1999.8999999999999</v>
      </c>
      <c r="G80" s="220"/>
      <c r="H80" s="221"/>
      <c r="I80" s="49">
        <f>ROUND(F80*$G$77*$H$77*E80,2)</f>
        <v>0.27</v>
      </c>
      <c r="J80" s="11" t="s">
        <v>131</v>
      </c>
      <c r="K80" s="2"/>
    </row>
    <row r="81" spans="1:11" ht="120" outlineLevel="1">
      <c r="A81" s="1"/>
      <c r="B81" s="12" t="s">
        <v>20</v>
      </c>
      <c r="C81" s="234" t="s">
        <v>132</v>
      </c>
      <c r="D81" s="223"/>
      <c r="E81" s="223"/>
      <c r="F81" s="261">
        <f>ROUND(I36/30*7,2)</f>
        <v>358.96</v>
      </c>
      <c r="G81" s="220"/>
      <c r="H81" s="262">
        <f>100%-H77</f>
        <v>0.95</v>
      </c>
      <c r="I81" s="49">
        <f>ROUND($F$81*$G$77*$H$81,2)</f>
        <v>11.37</v>
      </c>
      <c r="J81" s="11" t="s">
        <v>133</v>
      </c>
      <c r="K81" s="2"/>
    </row>
    <row r="82" spans="1:11" ht="32.25" customHeight="1" outlineLevel="1">
      <c r="A82" s="1"/>
      <c r="B82" s="12" t="s">
        <v>52</v>
      </c>
      <c r="C82" s="234" t="s">
        <v>134</v>
      </c>
      <c r="D82" s="223"/>
      <c r="E82" s="31">
        <f>H55</f>
        <v>0.08</v>
      </c>
      <c r="F82" s="220"/>
      <c r="G82" s="220"/>
      <c r="H82" s="220"/>
      <c r="I82" s="49">
        <f t="shared" ref="I82:I83" si="7">ROUND($F$81*$G$77*$H$81*E82,2)</f>
        <v>0.91</v>
      </c>
      <c r="J82" s="263" t="s">
        <v>135</v>
      </c>
      <c r="K82" s="2"/>
    </row>
    <row r="83" spans="1:11" ht="32.25" customHeight="1" outlineLevel="1">
      <c r="A83" s="1"/>
      <c r="B83" s="12" t="s">
        <v>85</v>
      </c>
      <c r="C83" s="234" t="s">
        <v>136</v>
      </c>
      <c r="D83" s="223"/>
      <c r="E83" s="75">
        <f>H56-H55</f>
        <v>0.28800000000000003</v>
      </c>
      <c r="F83" s="221"/>
      <c r="G83" s="221"/>
      <c r="H83" s="221"/>
      <c r="I83" s="49">
        <f t="shared" si="7"/>
        <v>3.27</v>
      </c>
      <c r="J83" s="264"/>
      <c r="K83" s="2"/>
    </row>
    <row r="84" spans="1:11" ht="90" outlineLevel="1">
      <c r="A84" s="1"/>
      <c r="B84" s="12" t="s">
        <v>87</v>
      </c>
      <c r="C84" s="222" t="s">
        <v>137</v>
      </c>
      <c r="D84" s="224"/>
      <c r="E84" s="76">
        <v>0.4</v>
      </c>
      <c r="F84" s="73">
        <f>I55+I80+I82</f>
        <v>148.18</v>
      </c>
      <c r="G84" s="77" t="s">
        <v>11</v>
      </c>
      <c r="H84" s="31">
        <f>H77+H81</f>
        <v>1</v>
      </c>
      <c r="I84" s="49">
        <f>ROUND(F84*$H$84*E84,2)</f>
        <v>59.27</v>
      </c>
      <c r="J84" s="74" t="s">
        <v>138</v>
      </c>
      <c r="K84" s="2"/>
    </row>
    <row r="85" spans="1:11">
      <c r="A85" s="1"/>
      <c r="B85" s="228" t="s">
        <v>54</v>
      </c>
      <c r="C85" s="212"/>
      <c r="D85" s="212"/>
      <c r="E85" s="212"/>
      <c r="F85" s="212"/>
      <c r="G85" s="212"/>
      <c r="H85" s="212"/>
      <c r="I85" s="46">
        <f>SUM(I77:I84)</f>
        <v>78.77</v>
      </c>
      <c r="J85" s="78" t="s">
        <v>90</v>
      </c>
      <c r="K85" s="2"/>
    </row>
    <row r="86" spans="1:11">
      <c r="A86" s="1"/>
      <c r="B86" s="246"/>
      <c r="C86" s="247"/>
      <c r="D86" s="247"/>
      <c r="E86" s="247"/>
      <c r="F86" s="247"/>
      <c r="G86" s="247"/>
      <c r="H86" s="247"/>
      <c r="I86" s="247"/>
      <c r="J86" s="1"/>
      <c r="K86" s="2"/>
    </row>
    <row r="87" spans="1:11">
      <c r="A87" s="1"/>
      <c r="B87" s="211" t="s">
        <v>139</v>
      </c>
      <c r="C87" s="212"/>
      <c r="D87" s="212"/>
      <c r="E87" s="212"/>
      <c r="F87" s="212"/>
      <c r="G87" s="212"/>
      <c r="H87" s="212"/>
      <c r="I87" s="213"/>
      <c r="J87" s="3"/>
      <c r="K87" s="2"/>
    </row>
    <row r="88" spans="1:11">
      <c r="A88" s="1"/>
      <c r="B88" s="214" t="s">
        <v>140</v>
      </c>
      <c r="C88" s="212"/>
      <c r="D88" s="212"/>
      <c r="E88" s="212"/>
      <c r="F88" s="212"/>
      <c r="G88" s="212"/>
      <c r="H88" s="212"/>
      <c r="I88" s="213"/>
      <c r="J88" s="3"/>
      <c r="K88" s="2"/>
    </row>
    <row r="89" spans="1:11" ht="45" outlineLevel="1">
      <c r="A89" s="1"/>
      <c r="B89" s="79">
        <v>43469</v>
      </c>
      <c r="C89" s="215" t="s">
        <v>141</v>
      </c>
      <c r="D89" s="212"/>
      <c r="E89" s="212"/>
      <c r="F89" s="35" t="s">
        <v>60</v>
      </c>
      <c r="G89" s="35" t="s">
        <v>142</v>
      </c>
      <c r="H89" s="35" t="s">
        <v>61</v>
      </c>
      <c r="I89" s="37" t="s">
        <v>62</v>
      </c>
      <c r="J89" s="17" t="s">
        <v>3</v>
      </c>
      <c r="K89" s="2"/>
    </row>
    <row r="90" spans="1:11" ht="90" outlineLevel="1">
      <c r="A90" s="1"/>
      <c r="B90" s="21" t="s">
        <v>4</v>
      </c>
      <c r="C90" s="216" t="s">
        <v>143</v>
      </c>
      <c r="D90" s="217"/>
      <c r="E90" s="217"/>
      <c r="F90" s="80">
        <f>I44+(I44*H56)+(I62+I63+I64+I65)+I85</f>
        <v>572.97983999999997</v>
      </c>
      <c r="G90" s="81" t="s">
        <v>11</v>
      </c>
      <c r="H90" s="38">
        <f>1/12</f>
        <v>8.3333333333333329E-2</v>
      </c>
      <c r="I90" s="82">
        <f>ROUND(F90*H90,2)</f>
        <v>47.75</v>
      </c>
      <c r="J90" s="40" t="s">
        <v>144</v>
      </c>
      <c r="K90" s="2"/>
    </row>
    <row r="91" spans="1:11" ht="105" outlineLevel="1">
      <c r="A91" s="1"/>
      <c r="B91" s="12" t="s">
        <v>8</v>
      </c>
      <c r="C91" s="271" t="s">
        <v>145</v>
      </c>
      <c r="D91" s="223"/>
      <c r="E91" s="223"/>
      <c r="F91" s="272">
        <f>I36+I44+I56+(I66-I59-I60-I61)+I85</f>
        <v>2677.5000000000005</v>
      </c>
      <c r="G91" s="83">
        <f>(1/250)</f>
        <v>4.0000000000000001E-3</v>
      </c>
      <c r="H91" s="77" t="s">
        <v>11</v>
      </c>
      <c r="I91" s="84">
        <f>ROUND($F$91*G91,2)</f>
        <v>10.71</v>
      </c>
      <c r="J91" s="10" t="s">
        <v>146</v>
      </c>
    </row>
    <row r="92" spans="1:11" ht="45" outlineLevel="1">
      <c r="A92" s="1"/>
      <c r="B92" s="12" t="s">
        <v>12</v>
      </c>
      <c r="C92" s="271" t="s">
        <v>147</v>
      </c>
      <c r="D92" s="223"/>
      <c r="E92" s="223"/>
      <c r="F92" s="220"/>
      <c r="G92" s="85">
        <v>0.02</v>
      </c>
      <c r="H92" s="77" t="s">
        <v>11</v>
      </c>
      <c r="I92" s="84">
        <f>ROUND($F$91*5/250*G92,2)</f>
        <v>1.07</v>
      </c>
      <c r="J92" s="10" t="s">
        <v>148</v>
      </c>
      <c r="K92" s="86"/>
    </row>
    <row r="93" spans="1:11" ht="45" outlineLevel="1">
      <c r="A93" s="1"/>
      <c r="B93" s="12" t="s">
        <v>16</v>
      </c>
      <c r="C93" s="216" t="s">
        <v>149</v>
      </c>
      <c r="D93" s="217"/>
      <c r="E93" s="217"/>
      <c r="F93" s="220"/>
      <c r="G93" s="85">
        <v>0.01</v>
      </c>
      <c r="H93" s="77" t="s">
        <v>11</v>
      </c>
      <c r="I93" s="84">
        <f>ROUND($F$91*15/365.25*G93,2)</f>
        <v>1.1000000000000001</v>
      </c>
      <c r="J93" s="10" t="s">
        <v>150</v>
      </c>
      <c r="K93" s="86"/>
    </row>
    <row r="94" spans="1:11" ht="195" outlineLevel="1">
      <c r="A94" s="1"/>
      <c r="B94" s="12" t="s">
        <v>20</v>
      </c>
      <c r="C94" s="216" t="s">
        <v>151</v>
      </c>
      <c r="D94" s="217"/>
      <c r="E94" s="217"/>
      <c r="F94" s="87">
        <f>ROUND((I42+I43+I55+I66-I59-I60-I61+I85),2)</f>
        <v>481.7</v>
      </c>
      <c r="G94" s="85">
        <v>0.01</v>
      </c>
      <c r="H94" s="31">
        <f>120/900</f>
        <v>0.13333333333333333</v>
      </c>
      <c r="I94" s="84">
        <f>ROUND($F$94*G94*H94,2)</f>
        <v>0.64</v>
      </c>
      <c r="J94" s="10" t="s">
        <v>152</v>
      </c>
      <c r="K94" s="88"/>
    </row>
    <row r="95" spans="1:11" outlineLevel="1">
      <c r="A95" s="1"/>
      <c r="B95" s="12" t="s">
        <v>52</v>
      </c>
      <c r="C95" s="216" t="s">
        <v>153</v>
      </c>
      <c r="D95" s="217"/>
      <c r="E95" s="217"/>
      <c r="F95" s="89"/>
      <c r="G95" s="90"/>
      <c r="H95" s="31"/>
      <c r="I95" s="84"/>
      <c r="J95" s="10" t="s">
        <v>110</v>
      </c>
      <c r="K95" s="2"/>
    </row>
    <row r="96" spans="1:11">
      <c r="A96" s="3"/>
      <c r="B96" s="228" t="s">
        <v>54</v>
      </c>
      <c r="C96" s="212"/>
      <c r="D96" s="212"/>
      <c r="E96" s="212"/>
      <c r="F96" s="212"/>
      <c r="G96" s="212"/>
      <c r="H96" s="229"/>
      <c r="I96" s="46">
        <f>ROUND(SUM(I90:I95),2)</f>
        <v>61.27</v>
      </c>
      <c r="J96" s="47" t="s">
        <v>55</v>
      </c>
      <c r="K96" s="91"/>
    </row>
    <row r="97" spans="1:11">
      <c r="A97" s="1"/>
      <c r="B97" s="92" t="s">
        <v>154</v>
      </c>
      <c r="C97" s="273" t="s">
        <v>155</v>
      </c>
      <c r="D97" s="226"/>
      <c r="E97" s="226"/>
      <c r="F97" s="226"/>
      <c r="G97" s="226"/>
      <c r="H97" s="227"/>
      <c r="I97" s="93" t="s">
        <v>62</v>
      </c>
      <c r="J97" s="1"/>
      <c r="K97" s="2"/>
    </row>
    <row r="98" spans="1:11" outlineLevel="1">
      <c r="A98" s="1"/>
      <c r="B98" s="94" t="s">
        <v>156</v>
      </c>
      <c r="C98" s="274" t="s">
        <v>157</v>
      </c>
      <c r="D98" s="212"/>
      <c r="E98" s="212"/>
      <c r="F98" s="212"/>
      <c r="G98" s="212"/>
      <c r="H98" s="229"/>
      <c r="I98" s="95">
        <v>0</v>
      </c>
      <c r="J98" s="96" t="s">
        <v>48</v>
      </c>
      <c r="K98" s="2"/>
    </row>
    <row r="99" spans="1:11">
      <c r="A99" s="1"/>
      <c r="B99" s="275" t="s">
        <v>54</v>
      </c>
      <c r="C99" s="212"/>
      <c r="D99" s="212"/>
      <c r="E99" s="212"/>
      <c r="F99" s="212"/>
      <c r="G99" s="212"/>
      <c r="H99" s="229"/>
      <c r="I99" s="97">
        <v>0</v>
      </c>
      <c r="J99" s="1"/>
      <c r="K99" s="2"/>
    </row>
    <row r="100" spans="1:11">
      <c r="A100" s="1"/>
      <c r="B100" s="1"/>
      <c r="C100" s="2"/>
      <c r="D100" s="2"/>
      <c r="E100" s="2"/>
      <c r="F100" s="2"/>
      <c r="G100" s="2"/>
      <c r="H100" s="2"/>
      <c r="I100" s="2"/>
      <c r="K100" s="2"/>
    </row>
    <row r="101" spans="1:11">
      <c r="A101" s="1"/>
      <c r="B101" s="276" t="s">
        <v>158</v>
      </c>
      <c r="C101" s="236"/>
      <c r="D101" s="236"/>
      <c r="E101" s="236"/>
      <c r="F101" s="236"/>
      <c r="G101" s="236"/>
      <c r="H101" s="236"/>
      <c r="I101" s="277"/>
      <c r="K101" s="2"/>
    </row>
    <row r="102" spans="1:11">
      <c r="A102" s="1"/>
      <c r="B102" s="26">
        <v>4</v>
      </c>
      <c r="C102" s="215" t="s">
        <v>159</v>
      </c>
      <c r="D102" s="212"/>
      <c r="E102" s="212"/>
      <c r="F102" s="212"/>
      <c r="G102" s="212"/>
      <c r="H102" s="229"/>
      <c r="I102" s="37" t="s">
        <v>62</v>
      </c>
      <c r="J102" s="17" t="s">
        <v>3</v>
      </c>
      <c r="K102" s="2"/>
    </row>
    <row r="103" spans="1:11" outlineLevel="1">
      <c r="A103" s="1"/>
      <c r="B103" s="68" t="s">
        <v>160</v>
      </c>
      <c r="C103" s="216" t="s">
        <v>161</v>
      </c>
      <c r="D103" s="217"/>
      <c r="E103" s="217"/>
      <c r="F103" s="217"/>
      <c r="G103" s="217"/>
      <c r="H103" s="218"/>
      <c r="I103" s="49">
        <f>I96</f>
        <v>61.27</v>
      </c>
      <c r="J103" s="40" t="s">
        <v>162</v>
      </c>
      <c r="K103" s="2"/>
    </row>
    <row r="104" spans="1:11" outlineLevel="1">
      <c r="A104" s="1"/>
      <c r="B104" s="70" t="s">
        <v>154</v>
      </c>
      <c r="C104" s="278" t="s">
        <v>163</v>
      </c>
      <c r="D104" s="226"/>
      <c r="E104" s="226"/>
      <c r="F104" s="226"/>
      <c r="G104" s="226"/>
      <c r="H104" s="227"/>
      <c r="I104" s="51">
        <f>I99</f>
        <v>0</v>
      </c>
      <c r="J104" s="45" t="s">
        <v>164</v>
      </c>
      <c r="K104" s="2"/>
    </row>
    <row r="105" spans="1:11">
      <c r="A105" s="1"/>
      <c r="B105" s="228" t="s">
        <v>54</v>
      </c>
      <c r="C105" s="212"/>
      <c r="D105" s="212"/>
      <c r="E105" s="212"/>
      <c r="F105" s="212"/>
      <c r="G105" s="212"/>
      <c r="H105" s="229"/>
      <c r="I105" s="46">
        <f>ROUND(SUM(I103:I104),2)</f>
        <v>61.27</v>
      </c>
      <c r="J105" s="78" t="s">
        <v>165</v>
      </c>
      <c r="K105" s="2"/>
    </row>
    <row r="106" spans="1:11">
      <c r="A106" s="98"/>
      <c r="B106" s="279"/>
      <c r="C106" s="212"/>
      <c r="D106" s="212"/>
      <c r="E106" s="212"/>
      <c r="F106" s="212"/>
      <c r="G106" s="212"/>
      <c r="H106" s="212"/>
      <c r="I106" s="212"/>
      <c r="J106" s="98"/>
      <c r="K106" s="99"/>
    </row>
    <row r="107" spans="1:11">
      <c r="A107" s="1"/>
      <c r="B107" s="211" t="s">
        <v>166</v>
      </c>
      <c r="C107" s="212"/>
      <c r="D107" s="212"/>
      <c r="E107" s="212"/>
      <c r="F107" s="212"/>
      <c r="G107" s="212"/>
      <c r="H107" s="212"/>
      <c r="I107" s="213"/>
      <c r="K107" s="2"/>
    </row>
    <row r="108" spans="1:11" ht="30" outlineLevel="1">
      <c r="A108" s="1"/>
      <c r="B108" s="71">
        <v>5</v>
      </c>
      <c r="C108" s="215" t="s">
        <v>167</v>
      </c>
      <c r="D108" s="212"/>
      <c r="E108" s="212"/>
      <c r="F108" s="212"/>
      <c r="G108" s="212"/>
      <c r="H108" s="229"/>
      <c r="I108" s="100" t="s">
        <v>168</v>
      </c>
      <c r="J108" s="17" t="s">
        <v>3</v>
      </c>
      <c r="K108" s="2"/>
    </row>
    <row r="109" spans="1:11" ht="30" outlineLevel="1">
      <c r="A109" s="1"/>
      <c r="B109" s="21" t="s">
        <v>4</v>
      </c>
      <c r="C109" s="230" t="s">
        <v>169</v>
      </c>
      <c r="D109" s="217"/>
      <c r="E109" s="217"/>
      <c r="F109" s="217"/>
      <c r="G109" s="217"/>
      <c r="H109" s="218"/>
      <c r="I109" s="82">
        <f>'UNIFORMES e EPI''s'!I15</f>
        <v>48.9</v>
      </c>
      <c r="J109" s="40" t="s">
        <v>170</v>
      </c>
      <c r="K109" s="2"/>
    </row>
    <row r="110" spans="1:11" ht="30" outlineLevel="1">
      <c r="A110" s="1"/>
      <c r="B110" s="12" t="s">
        <v>8</v>
      </c>
      <c r="C110" s="234" t="s">
        <v>171</v>
      </c>
      <c r="D110" s="223"/>
      <c r="E110" s="223"/>
      <c r="F110" s="223"/>
      <c r="G110" s="223"/>
      <c r="H110" s="224"/>
      <c r="I110" s="82">
        <f>'UNIFORMES e EPI''s'!I32</f>
        <v>46.14</v>
      </c>
      <c r="J110" s="40" t="s">
        <v>172</v>
      </c>
      <c r="K110" s="2"/>
    </row>
    <row r="111" spans="1:11" ht="75" outlineLevel="1">
      <c r="A111" s="1"/>
      <c r="B111" s="12" t="s">
        <v>12</v>
      </c>
      <c r="C111" s="234" t="s">
        <v>173</v>
      </c>
      <c r="D111" s="223"/>
      <c r="E111" s="223"/>
      <c r="F111" s="223"/>
      <c r="G111" s="223"/>
      <c r="H111" s="224"/>
      <c r="I111" s="55">
        <f>EQUIPAMENTOS!L10</f>
        <v>102.16480000000001</v>
      </c>
      <c r="J111" s="10" t="s">
        <v>174</v>
      </c>
      <c r="K111" s="2"/>
    </row>
    <row r="112" spans="1:11" ht="30" outlineLevel="1">
      <c r="A112" s="1"/>
      <c r="B112" s="12" t="s">
        <v>16</v>
      </c>
      <c r="C112" s="234" t="s">
        <v>175</v>
      </c>
      <c r="D112" s="223"/>
      <c r="E112" s="223"/>
      <c r="F112" s="223"/>
      <c r="G112" s="223"/>
      <c r="H112" s="224"/>
      <c r="I112" s="55">
        <f>'INSUMOS e MATERIAIS'!I8</f>
        <v>304.38</v>
      </c>
      <c r="J112" s="10" t="s">
        <v>176</v>
      </c>
      <c r="K112" s="2"/>
    </row>
    <row r="113" spans="1:11" ht="30" outlineLevel="1">
      <c r="A113" s="1"/>
      <c r="B113" s="12" t="s">
        <v>20</v>
      </c>
      <c r="C113" s="234" t="s">
        <v>177</v>
      </c>
      <c r="D113" s="223"/>
      <c r="E113" s="223"/>
      <c r="F113" s="223"/>
      <c r="G113" s="223"/>
      <c r="H113" s="224"/>
      <c r="I113" s="84">
        <f>'INSUMOS e MATERIAIS'!I18</f>
        <v>155.41</v>
      </c>
      <c r="J113" s="10" t="s">
        <v>178</v>
      </c>
      <c r="K113" s="2"/>
    </row>
    <row r="114" spans="1:11" ht="45" outlineLevel="1">
      <c r="A114" s="1"/>
      <c r="B114" s="12" t="s">
        <v>52</v>
      </c>
      <c r="C114" s="234" t="s">
        <v>179</v>
      </c>
      <c r="D114" s="223"/>
      <c r="E114" s="223"/>
      <c r="F114" s="223"/>
      <c r="G114" s="223"/>
      <c r="H114" s="224"/>
      <c r="I114" s="84">
        <f>'INSUMOS e MATERIAIS'!I40</f>
        <v>12.09</v>
      </c>
      <c r="J114" s="10" t="s">
        <v>180</v>
      </c>
      <c r="K114" s="2"/>
    </row>
    <row r="115" spans="1:11" outlineLevel="1">
      <c r="A115" s="1"/>
      <c r="B115" s="12" t="s">
        <v>85</v>
      </c>
      <c r="C115" s="234" t="s">
        <v>53</v>
      </c>
      <c r="D115" s="223"/>
      <c r="E115" s="223"/>
      <c r="F115" s="223"/>
      <c r="G115" s="223"/>
      <c r="H115" s="224"/>
      <c r="I115" s="101">
        <v>0</v>
      </c>
      <c r="J115" s="45" t="s">
        <v>110</v>
      </c>
      <c r="K115" s="2"/>
    </row>
    <row r="116" spans="1:11">
      <c r="A116" s="1"/>
      <c r="B116" s="228" t="s">
        <v>54</v>
      </c>
      <c r="C116" s="212"/>
      <c r="D116" s="212"/>
      <c r="E116" s="212"/>
      <c r="F116" s="212"/>
      <c r="G116" s="212"/>
      <c r="H116" s="229"/>
      <c r="I116" s="46">
        <f>ROUND(SUM(I109:I115),2)</f>
        <v>669.08</v>
      </c>
      <c r="J116" s="78" t="s">
        <v>111</v>
      </c>
      <c r="K116" s="2"/>
    </row>
    <row r="117" spans="1:11">
      <c r="A117" s="1"/>
      <c r="B117" s="246"/>
      <c r="C117" s="247"/>
      <c r="D117" s="247"/>
      <c r="E117" s="247"/>
      <c r="F117" s="247"/>
      <c r="G117" s="247"/>
      <c r="H117" s="247"/>
      <c r="I117" s="247"/>
      <c r="J117" s="1"/>
      <c r="K117" s="2"/>
    </row>
    <row r="118" spans="1:11">
      <c r="A118" s="1"/>
      <c r="B118" s="211" t="s">
        <v>181</v>
      </c>
      <c r="C118" s="212"/>
      <c r="D118" s="212"/>
      <c r="E118" s="212"/>
      <c r="F118" s="212"/>
      <c r="G118" s="212"/>
      <c r="H118" s="212"/>
      <c r="I118" s="213"/>
      <c r="J118" s="3"/>
      <c r="K118" s="2"/>
    </row>
    <row r="119" spans="1:11" ht="30">
      <c r="A119" s="1"/>
      <c r="B119" s="102">
        <v>6</v>
      </c>
      <c r="C119" s="266" t="s">
        <v>182</v>
      </c>
      <c r="D119" s="212"/>
      <c r="E119" s="212"/>
      <c r="F119" s="229"/>
      <c r="G119" s="103" t="s">
        <v>60</v>
      </c>
      <c r="H119" s="104" t="s">
        <v>73</v>
      </c>
      <c r="I119" s="105" t="s">
        <v>62</v>
      </c>
      <c r="J119" s="17" t="s">
        <v>3</v>
      </c>
      <c r="K119" s="2"/>
    </row>
    <row r="120" spans="1:11" ht="45" outlineLevel="1">
      <c r="A120" s="1"/>
      <c r="B120" s="106" t="s">
        <v>4</v>
      </c>
      <c r="C120" s="267" t="s">
        <v>183</v>
      </c>
      <c r="D120" s="217"/>
      <c r="E120" s="217"/>
      <c r="F120" s="218"/>
      <c r="G120" s="107">
        <f>I36+I73+I85+I105+I116</f>
        <v>3899.15</v>
      </c>
      <c r="H120" s="38">
        <v>6.3899999999999998E-2</v>
      </c>
      <c r="I120" s="108">
        <f t="shared" ref="I120:I121" si="8">ROUND(G120*H120,2)</f>
        <v>249.16</v>
      </c>
      <c r="J120" s="40" t="s">
        <v>184</v>
      </c>
      <c r="K120" s="2"/>
    </row>
    <row r="121" spans="1:11" ht="45" outlineLevel="1">
      <c r="A121" s="1"/>
      <c r="B121" s="109" t="s">
        <v>8</v>
      </c>
      <c r="C121" s="265" t="s">
        <v>185</v>
      </c>
      <c r="D121" s="223"/>
      <c r="E121" s="223"/>
      <c r="F121" s="224"/>
      <c r="G121" s="110">
        <f>G120+I120</f>
        <v>4148.3100000000004</v>
      </c>
      <c r="H121" s="31">
        <v>5.7099999999999998E-2</v>
      </c>
      <c r="I121" s="111">
        <f t="shared" si="8"/>
        <v>236.87</v>
      </c>
      <c r="J121" s="10" t="s">
        <v>186</v>
      </c>
      <c r="K121" s="2"/>
    </row>
    <row r="122" spans="1:11" ht="45" customHeight="1" outlineLevel="1">
      <c r="A122" s="239"/>
      <c r="B122" s="109" t="s">
        <v>12</v>
      </c>
      <c r="C122" s="265" t="s">
        <v>187</v>
      </c>
      <c r="D122" s="223"/>
      <c r="E122" s="223"/>
      <c r="F122" s="224"/>
      <c r="G122" s="268">
        <f>((G120+I120+I121))</f>
        <v>4385.18</v>
      </c>
      <c r="H122" s="54">
        <v>1.6500000000000001E-2</v>
      </c>
      <c r="I122" s="55">
        <f t="shared" ref="I122:I125" si="9">ROUND(($G$122*H122)/(100%-$H$126),2)</f>
        <v>84.38</v>
      </c>
      <c r="J122" s="270" t="s">
        <v>188</v>
      </c>
      <c r="K122" s="88"/>
    </row>
    <row r="123" spans="1:11" ht="45" customHeight="1" outlineLevel="1">
      <c r="A123" s="238"/>
      <c r="B123" s="109" t="s">
        <v>16</v>
      </c>
      <c r="C123" s="265" t="s">
        <v>189</v>
      </c>
      <c r="D123" s="223"/>
      <c r="E123" s="223"/>
      <c r="F123" s="224"/>
      <c r="G123" s="269"/>
      <c r="H123" s="54">
        <v>7.5999999999999998E-2</v>
      </c>
      <c r="I123" s="55">
        <f t="shared" si="9"/>
        <v>388.66</v>
      </c>
      <c r="J123" s="254"/>
      <c r="K123" s="2"/>
    </row>
    <row r="124" spans="1:11" ht="45" customHeight="1" outlineLevel="1">
      <c r="A124" s="238"/>
      <c r="B124" s="109" t="s">
        <v>20</v>
      </c>
      <c r="C124" s="265" t="s">
        <v>190</v>
      </c>
      <c r="D124" s="223"/>
      <c r="E124" s="223"/>
      <c r="F124" s="224"/>
      <c r="G124" s="269"/>
      <c r="H124" s="31">
        <v>0.05</v>
      </c>
      <c r="I124" s="55">
        <f t="shared" si="9"/>
        <v>255.7</v>
      </c>
      <c r="J124" s="255"/>
      <c r="K124" s="2"/>
    </row>
    <row r="125" spans="1:11" outlineLevel="1">
      <c r="A125" s="238"/>
      <c r="B125" s="109" t="s">
        <v>52</v>
      </c>
      <c r="C125" s="265" t="s">
        <v>53</v>
      </c>
      <c r="D125" s="223"/>
      <c r="E125" s="223"/>
      <c r="F125" s="224"/>
      <c r="G125" s="269"/>
      <c r="H125" s="31">
        <v>0</v>
      </c>
      <c r="I125" s="55">
        <f t="shared" si="9"/>
        <v>0</v>
      </c>
      <c r="J125" s="112" t="s">
        <v>110</v>
      </c>
      <c r="K125" s="2"/>
    </row>
    <row r="126" spans="1:11" ht="30" outlineLevel="1">
      <c r="A126" s="238"/>
      <c r="B126" s="109" t="s">
        <v>85</v>
      </c>
      <c r="C126" s="265" t="s">
        <v>191</v>
      </c>
      <c r="D126" s="223"/>
      <c r="E126" s="223"/>
      <c r="F126" s="223"/>
      <c r="G126" s="224"/>
      <c r="H126" s="54">
        <f>SUM(H122:H125)</f>
        <v>0.14250000000000002</v>
      </c>
      <c r="I126" s="63"/>
      <c r="J126" s="112" t="s">
        <v>192</v>
      </c>
      <c r="K126" s="2"/>
    </row>
    <row r="127" spans="1:11" ht="105" outlineLevel="1">
      <c r="A127" s="238"/>
      <c r="B127" s="109" t="s">
        <v>87</v>
      </c>
      <c r="C127" s="265" t="s">
        <v>193</v>
      </c>
      <c r="D127" s="223"/>
      <c r="E127" s="223"/>
      <c r="F127" s="223"/>
      <c r="G127" s="87">
        <f>-(I116+I59+I60+I61)</f>
        <v>-1160.3800000000001</v>
      </c>
      <c r="H127" s="54">
        <f>H122+H123</f>
        <v>9.2499999999999999E-2</v>
      </c>
      <c r="I127" s="63">
        <f>ROUND(G127*H127,2)</f>
        <v>-107.34</v>
      </c>
      <c r="J127" s="112" t="s">
        <v>194</v>
      </c>
      <c r="K127" s="2"/>
    </row>
    <row r="128" spans="1:11">
      <c r="B128" s="284" t="s">
        <v>54</v>
      </c>
      <c r="C128" s="212"/>
      <c r="D128" s="212"/>
      <c r="E128" s="212"/>
      <c r="F128" s="212"/>
      <c r="G128" s="212"/>
      <c r="H128" s="285"/>
      <c r="I128" s="46">
        <f>SUM(I120:I127)</f>
        <v>1107.43</v>
      </c>
      <c r="J128" s="113" t="s">
        <v>195</v>
      </c>
      <c r="K128" s="2"/>
    </row>
    <row r="129" spans="1:11">
      <c r="B129" s="246"/>
      <c r="C129" s="247"/>
      <c r="D129" s="247"/>
      <c r="E129" s="247"/>
      <c r="F129" s="247"/>
      <c r="G129" s="247"/>
      <c r="H129" s="247"/>
      <c r="I129" s="247"/>
      <c r="J129" s="1"/>
      <c r="K129" s="2"/>
    </row>
    <row r="130" spans="1:11">
      <c r="A130" s="1"/>
      <c r="B130" s="211" t="s">
        <v>196</v>
      </c>
      <c r="C130" s="212"/>
      <c r="D130" s="212"/>
      <c r="E130" s="212"/>
      <c r="F130" s="212"/>
      <c r="G130" s="212"/>
      <c r="H130" s="212"/>
      <c r="I130" s="213"/>
      <c r="J130" s="114"/>
      <c r="K130" s="2"/>
    </row>
    <row r="131" spans="1:11">
      <c r="A131" s="1"/>
      <c r="B131" s="214" t="s">
        <v>197</v>
      </c>
      <c r="C131" s="212"/>
      <c r="D131" s="212"/>
      <c r="E131" s="212"/>
      <c r="F131" s="212"/>
      <c r="G131" s="212"/>
      <c r="H131" s="229"/>
      <c r="I131" s="37" t="s">
        <v>44</v>
      </c>
      <c r="J131" s="115" t="s">
        <v>3</v>
      </c>
      <c r="K131" s="2"/>
    </row>
    <row r="132" spans="1:11">
      <c r="A132" s="1"/>
      <c r="B132" s="68" t="s">
        <v>4</v>
      </c>
      <c r="C132" s="230" t="s">
        <v>198</v>
      </c>
      <c r="D132" s="217"/>
      <c r="E132" s="217"/>
      <c r="F132" s="217"/>
      <c r="G132" s="217"/>
      <c r="H132" s="218"/>
      <c r="I132" s="49">
        <f>I36</f>
        <v>1538.38</v>
      </c>
      <c r="J132" s="116" t="s">
        <v>199</v>
      </c>
      <c r="K132" s="2"/>
    </row>
    <row r="133" spans="1:11">
      <c r="A133" s="1"/>
      <c r="B133" s="69" t="s">
        <v>8</v>
      </c>
      <c r="C133" s="234" t="s">
        <v>200</v>
      </c>
      <c r="D133" s="223"/>
      <c r="E133" s="223"/>
      <c r="F133" s="223"/>
      <c r="G133" s="223"/>
      <c r="H133" s="224"/>
      <c r="I133" s="55">
        <f>I73</f>
        <v>1551.65</v>
      </c>
      <c r="J133" s="117" t="s">
        <v>199</v>
      </c>
      <c r="K133" s="2"/>
    </row>
    <row r="134" spans="1:11">
      <c r="A134" s="1"/>
      <c r="B134" s="69" t="s">
        <v>12</v>
      </c>
      <c r="C134" s="234" t="s">
        <v>201</v>
      </c>
      <c r="D134" s="223"/>
      <c r="E134" s="223"/>
      <c r="F134" s="223"/>
      <c r="G134" s="223"/>
      <c r="H134" s="224"/>
      <c r="I134" s="55">
        <f>I85</f>
        <v>78.77</v>
      </c>
      <c r="J134" s="118" t="s">
        <v>199</v>
      </c>
      <c r="K134" s="2"/>
    </row>
    <row r="135" spans="1:11">
      <c r="A135" s="1"/>
      <c r="B135" s="69" t="s">
        <v>16</v>
      </c>
      <c r="C135" s="234" t="s">
        <v>202</v>
      </c>
      <c r="D135" s="223"/>
      <c r="E135" s="223"/>
      <c r="F135" s="223"/>
      <c r="G135" s="223"/>
      <c r="H135" s="224"/>
      <c r="I135" s="55">
        <f>I105</f>
        <v>61.27</v>
      </c>
      <c r="J135" s="117" t="s">
        <v>199</v>
      </c>
      <c r="K135" s="2"/>
    </row>
    <row r="136" spans="1:11">
      <c r="A136" s="1"/>
      <c r="B136" s="119" t="s">
        <v>20</v>
      </c>
      <c r="C136" s="243" t="s">
        <v>203</v>
      </c>
      <c r="D136" s="244"/>
      <c r="E136" s="244"/>
      <c r="F136" s="244"/>
      <c r="G136" s="244"/>
      <c r="H136" s="245"/>
      <c r="I136" s="120">
        <f>I116</f>
        <v>669.08</v>
      </c>
      <c r="J136" s="121" t="s">
        <v>199</v>
      </c>
      <c r="K136" s="2"/>
    </row>
    <row r="137" spans="1:11">
      <c r="A137" s="1"/>
      <c r="B137" s="275" t="s">
        <v>204</v>
      </c>
      <c r="C137" s="212"/>
      <c r="D137" s="212"/>
      <c r="E137" s="212"/>
      <c r="F137" s="212"/>
      <c r="G137" s="212"/>
      <c r="H137" s="229"/>
      <c r="I137" s="122">
        <f>ROUND(SUM(I132:I136),2)</f>
        <v>3899.15</v>
      </c>
      <c r="J137" s="123" t="s">
        <v>205</v>
      </c>
      <c r="K137" s="2"/>
    </row>
    <row r="138" spans="1:11">
      <c r="A138" s="1"/>
      <c r="B138" s="124" t="s">
        <v>52</v>
      </c>
      <c r="C138" s="280" t="s">
        <v>206</v>
      </c>
      <c r="D138" s="212"/>
      <c r="E138" s="212"/>
      <c r="F138" s="212"/>
      <c r="G138" s="212"/>
      <c r="H138" s="229"/>
      <c r="I138" s="125">
        <f>I128</f>
        <v>1107.43</v>
      </c>
      <c r="J138" s="126" t="s">
        <v>199</v>
      </c>
      <c r="K138" s="2"/>
    </row>
    <row r="139" spans="1:11">
      <c r="A139" s="1"/>
      <c r="B139" s="127" t="s">
        <v>85</v>
      </c>
      <c r="C139" s="281" t="s">
        <v>207</v>
      </c>
      <c r="D139" s="212"/>
      <c r="E139" s="212"/>
      <c r="F139" s="212"/>
      <c r="G139" s="212"/>
      <c r="H139" s="229"/>
      <c r="I139" s="128">
        <f>I137+I138</f>
        <v>5006.58</v>
      </c>
      <c r="J139" s="129" t="s">
        <v>208</v>
      </c>
      <c r="K139" s="2"/>
    </row>
    <row r="140" spans="1:11">
      <c r="A140" s="98"/>
      <c r="B140" s="130" t="s">
        <v>87</v>
      </c>
      <c r="C140" s="282" t="s">
        <v>209</v>
      </c>
      <c r="D140" s="212"/>
      <c r="E140" s="212"/>
      <c r="F140" s="212"/>
      <c r="G140" s="212"/>
      <c r="H140" s="229"/>
      <c r="I140" s="131">
        <v>1</v>
      </c>
      <c r="J140" s="132" t="s">
        <v>11</v>
      </c>
      <c r="K140" s="99"/>
    </row>
    <row r="141" spans="1:11">
      <c r="A141" s="98"/>
      <c r="B141" s="133" t="s">
        <v>210</v>
      </c>
      <c r="C141" s="283" t="s">
        <v>211</v>
      </c>
      <c r="D141" s="247"/>
      <c r="E141" s="247"/>
      <c r="F141" s="247"/>
      <c r="G141" s="247"/>
      <c r="H141" s="249"/>
      <c r="I141" s="134">
        <f>I139*I140*30</f>
        <v>150197.4</v>
      </c>
      <c r="J141" s="135" t="s">
        <v>212</v>
      </c>
      <c r="K141" s="99"/>
    </row>
    <row r="142" spans="1:11">
      <c r="A142" s="98"/>
      <c r="B142" s="136"/>
      <c r="C142" s="98"/>
      <c r="D142" s="98"/>
      <c r="E142" s="98"/>
      <c r="F142" s="98"/>
      <c r="G142" s="98"/>
      <c r="H142" s="137"/>
      <c r="I142" s="137"/>
      <c r="J142" s="98"/>
      <c r="K142" s="99"/>
    </row>
  </sheetData>
  <mergeCells count="153">
    <mergeCell ref="C135:H135"/>
    <mergeCell ref="C136:H136"/>
    <mergeCell ref="B137:H137"/>
    <mergeCell ref="C138:H138"/>
    <mergeCell ref="C139:H139"/>
    <mergeCell ref="C140:H140"/>
    <mergeCell ref="C141:H141"/>
    <mergeCell ref="B128:H128"/>
    <mergeCell ref="B129:I129"/>
    <mergeCell ref="B130:I130"/>
    <mergeCell ref="B131:H131"/>
    <mergeCell ref="C132:H132"/>
    <mergeCell ref="C133:H133"/>
    <mergeCell ref="C134:H134"/>
    <mergeCell ref="A122:A127"/>
    <mergeCell ref="G122:G125"/>
    <mergeCell ref="J122:J124"/>
    <mergeCell ref="C90:E90"/>
    <mergeCell ref="C91:E91"/>
    <mergeCell ref="F91:F93"/>
    <mergeCell ref="C92:E92"/>
    <mergeCell ref="C93:E93"/>
    <mergeCell ref="C94:E94"/>
    <mergeCell ref="C95:E95"/>
    <mergeCell ref="B96:H96"/>
    <mergeCell ref="C97:H97"/>
    <mergeCell ref="C98:H98"/>
    <mergeCell ref="B99:H99"/>
    <mergeCell ref="B101:I101"/>
    <mergeCell ref="C102:H102"/>
    <mergeCell ref="C103:H103"/>
    <mergeCell ref="C104:H104"/>
    <mergeCell ref="B105:H105"/>
    <mergeCell ref="B106:I106"/>
    <mergeCell ref="B107:I107"/>
    <mergeCell ref="C108:H108"/>
    <mergeCell ref="C109:H109"/>
    <mergeCell ref="C110:H110"/>
    <mergeCell ref="C84:D84"/>
    <mergeCell ref="B85:H85"/>
    <mergeCell ref="B86:I86"/>
    <mergeCell ref="B87:I87"/>
    <mergeCell ref="B88:I88"/>
    <mergeCell ref="C89:E89"/>
    <mergeCell ref="C126:G126"/>
    <mergeCell ref="C127:F127"/>
    <mergeCell ref="B118:I118"/>
    <mergeCell ref="C119:F119"/>
    <mergeCell ref="C120:F120"/>
    <mergeCell ref="C121:F121"/>
    <mergeCell ref="C111:H111"/>
    <mergeCell ref="C112:H112"/>
    <mergeCell ref="C113:H113"/>
    <mergeCell ref="C114:H114"/>
    <mergeCell ref="C115:H115"/>
    <mergeCell ref="B116:H116"/>
    <mergeCell ref="B117:I117"/>
    <mergeCell ref="C122:F122"/>
    <mergeCell ref="C123:F123"/>
    <mergeCell ref="C124:F124"/>
    <mergeCell ref="C125:F125"/>
    <mergeCell ref="B75:I75"/>
    <mergeCell ref="C76:D76"/>
    <mergeCell ref="G77:G83"/>
    <mergeCell ref="F81:F83"/>
    <mergeCell ref="H81:H83"/>
    <mergeCell ref="J78:J79"/>
    <mergeCell ref="J82:J83"/>
    <mergeCell ref="C77:E77"/>
    <mergeCell ref="H77:H80"/>
    <mergeCell ref="C78:E78"/>
    <mergeCell ref="C79:E79"/>
    <mergeCell ref="C80:D80"/>
    <mergeCell ref="C81:E81"/>
    <mergeCell ref="C82:D82"/>
    <mergeCell ref="C83:D83"/>
    <mergeCell ref="C65:H65"/>
    <mergeCell ref="B66:H66"/>
    <mergeCell ref="B68:I68"/>
    <mergeCell ref="C69:H69"/>
    <mergeCell ref="C70:H70"/>
    <mergeCell ref="C71:H71"/>
    <mergeCell ref="C72:H72"/>
    <mergeCell ref="B73:H73"/>
    <mergeCell ref="B74:I74"/>
    <mergeCell ref="B56:G56"/>
    <mergeCell ref="B57:I57"/>
    <mergeCell ref="C58:E58"/>
    <mergeCell ref="C59:E59"/>
    <mergeCell ref="C60:F60"/>
    <mergeCell ref="C61:F61"/>
    <mergeCell ref="C62:H62"/>
    <mergeCell ref="C63:H63"/>
    <mergeCell ref="C64:H64"/>
    <mergeCell ref="C30:H30"/>
    <mergeCell ref="C32:F32"/>
    <mergeCell ref="C33:H33"/>
    <mergeCell ref="C34:H34"/>
    <mergeCell ref="C35:H35"/>
    <mergeCell ref="B36:H36"/>
    <mergeCell ref="B37:I37"/>
    <mergeCell ref="G47:G55"/>
    <mergeCell ref="J50:J54"/>
    <mergeCell ref="H48:H49"/>
    <mergeCell ref="I48:I49"/>
    <mergeCell ref="J48:J49"/>
    <mergeCell ref="C51:F51"/>
    <mergeCell ref="C52:F52"/>
    <mergeCell ref="C53:F53"/>
    <mergeCell ref="C54:F54"/>
    <mergeCell ref="C55:F55"/>
    <mergeCell ref="B21:I21"/>
    <mergeCell ref="C22:H22"/>
    <mergeCell ref="C23:H23"/>
    <mergeCell ref="C24:H24"/>
    <mergeCell ref="C25:H25"/>
    <mergeCell ref="C26:H26"/>
    <mergeCell ref="B27:I27"/>
    <mergeCell ref="B28:I28"/>
    <mergeCell ref="C29:H29"/>
    <mergeCell ref="C46:F46"/>
    <mergeCell ref="C47:F47"/>
    <mergeCell ref="B48:B49"/>
    <mergeCell ref="C48:D49"/>
    <mergeCell ref="C50:F50"/>
    <mergeCell ref="B2:J2"/>
    <mergeCell ref="B3:I3"/>
    <mergeCell ref="B4:I4"/>
    <mergeCell ref="B5:I5"/>
    <mergeCell ref="B6:C6"/>
    <mergeCell ref="B7:I7"/>
    <mergeCell ref="B8:I8"/>
    <mergeCell ref="C9:H9"/>
    <mergeCell ref="C10:H10"/>
    <mergeCell ref="C11:H11"/>
    <mergeCell ref="C12:H12"/>
    <mergeCell ref="C13:H13"/>
    <mergeCell ref="B14:I14"/>
    <mergeCell ref="B15:I15"/>
    <mergeCell ref="B16:G16"/>
    <mergeCell ref="B17:G17"/>
    <mergeCell ref="B18:I18"/>
    <mergeCell ref="B19:I19"/>
    <mergeCell ref="B20:I20"/>
    <mergeCell ref="B38:I38"/>
    <mergeCell ref="B39:I39"/>
    <mergeCell ref="C40:F40"/>
    <mergeCell ref="C41:F41"/>
    <mergeCell ref="G41:G43"/>
    <mergeCell ref="C42:F42"/>
    <mergeCell ref="C43:F43"/>
    <mergeCell ref="B44:H44"/>
    <mergeCell ref="B45:I45"/>
  </mergeCells>
  <pageMargins left="0.25" right="0.25" top="0.42909773892942293" bottom="0.28606515928628196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74E13"/>
    <pageSetUpPr fitToPage="1"/>
  </sheetPr>
  <dimension ref="A1:I33"/>
  <sheetViews>
    <sheetView showGridLines="0" topLeftCell="A10" workbookViewId="0">
      <selection sqref="A1:I1"/>
    </sheetView>
  </sheetViews>
  <sheetFormatPr defaultColWidth="14.42578125" defaultRowHeight="15" customHeight="1" outlineLevelRow="1"/>
  <cols>
    <col min="1" max="1" width="8" customWidth="1"/>
    <col min="2" max="2" width="59.5703125" customWidth="1"/>
    <col min="3" max="9" width="14.7109375" customWidth="1"/>
  </cols>
  <sheetData>
    <row r="1" spans="1:9" ht="22.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3"/>
    </row>
    <row r="2" spans="1:9" ht="18" customHeight="1">
      <c r="A2" s="214" t="s">
        <v>213</v>
      </c>
      <c r="B2" s="212"/>
      <c r="C2" s="212"/>
      <c r="D2" s="212"/>
      <c r="E2" s="212"/>
      <c r="F2" s="212"/>
      <c r="G2" s="212"/>
      <c r="H2" s="212"/>
      <c r="I2" s="213"/>
    </row>
    <row r="3" spans="1:9" ht="12" customHeight="1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8" customHeight="1">
      <c r="A4" s="211" t="s">
        <v>214</v>
      </c>
      <c r="B4" s="212"/>
      <c r="C4" s="212"/>
      <c r="D4" s="212"/>
      <c r="E4" s="212"/>
      <c r="F4" s="212"/>
      <c r="G4" s="212"/>
      <c r="H4" s="212"/>
      <c r="I4" s="213"/>
    </row>
    <row r="5" spans="1:9" ht="30" outlineLevel="1">
      <c r="A5" s="71" t="s">
        <v>215</v>
      </c>
      <c r="B5" s="36" t="s">
        <v>216</v>
      </c>
      <c r="C5" s="16" t="s">
        <v>217</v>
      </c>
      <c r="D5" s="35" t="s">
        <v>218</v>
      </c>
      <c r="E5" s="139" t="s">
        <v>219</v>
      </c>
      <c r="F5" s="139" t="s">
        <v>220</v>
      </c>
      <c r="G5" s="139" t="s">
        <v>221</v>
      </c>
      <c r="H5" s="139" t="s">
        <v>222</v>
      </c>
      <c r="I5" s="140" t="s">
        <v>223</v>
      </c>
    </row>
    <row r="6" spans="1:9" ht="30" outlineLevel="1">
      <c r="A6" s="141">
        <v>1</v>
      </c>
      <c r="B6" s="142" t="s">
        <v>224</v>
      </c>
      <c r="C6" s="143">
        <v>2</v>
      </c>
      <c r="D6" s="143" t="s">
        <v>225</v>
      </c>
      <c r="E6" s="144">
        <v>43.6</v>
      </c>
      <c r="F6" s="145">
        <v>40</v>
      </c>
      <c r="G6" s="145">
        <v>38</v>
      </c>
      <c r="H6" s="146">
        <f t="shared" ref="H6:H9" si="0">ROUND(AVERAGE(E6:G6),2)</f>
        <v>40.53</v>
      </c>
      <c r="I6" s="147">
        <f t="shared" ref="I6:I9" si="1">C6*H6*2</f>
        <v>162.12</v>
      </c>
    </row>
    <row r="7" spans="1:9" ht="12" customHeight="1" outlineLevel="1">
      <c r="A7" s="141">
        <v>2</v>
      </c>
      <c r="B7" s="142" t="s">
        <v>226</v>
      </c>
      <c r="C7" s="143">
        <v>2</v>
      </c>
      <c r="D7" s="143" t="s">
        <v>225</v>
      </c>
      <c r="E7" s="144">
        <v>21.22</v>
      </c>
      <c r="F7" s="145">
        <v>18.46</v>
      </c>
      <c r="G7" s="145">
        <v>17.5</v>
      </c>
      <c r="H7" s="146">
        <f t="shared" si="0"/>
        <v>19.059999999999999</v>
      </c>
      <c r="I7" s="147">
        <f t="shared" si="1"/>
        <v>76.239999999999995</v>
      </c>
    </row>
    <row r="8" spans="1:9" ht="12" customHeight="1" outlineLevel="1">
      <c r="A8" s="141">
        <v>3</v>
      </c>
      <c r="B8" s="142" t="s">
        <v>227</v>
      </c>
      <c r="C8" s="143">
        <v>2</v>
      </c>
      <c r="D8" s="143" t="s">
        <v>225</v>
      </c>
      <c r="E8" s="144">
        <v>19.73</v>
      </c>
      <c r="F8" s="145">
        <v>19.5</v>
      </c>
      <c r="G8" s="145">
        <v>15.9</v>
      </c>
      <c r="H8" s="146">
        <f t="shared" si="0"/>
        <v>18.38</v>
      </c>
      <c r="I8" s="147">
        <f t="shared" si="1"/>
        <v>73.52</v>
      </c>
    </row>
    <row r="9" spans="1:9" ht="23.25" customHeight="1" outlineLevel="1">
      <c r="A9" s="148">
        <v>4</v>
      </c>
      <c r="B9" s="149" t="s">
        <v>228</v>
      </c>
      <c r="C9" s="150">
        <v>4</v>
      </c>
      <c r="D9" s="150" t="s">
        <v>229</v>
      </c>
      <c r="E9" s="151">
        <v>7.85</v>
      </c>
      <c r="F9" s="152">
        <v>5.4</v>
      </c>
      <c r="G9" s="152">
        <v>3.06</v>
      </c>
      <c r="H9" s="146">
        <f t="shared" si="0"/>
        <v>5.44</v>
      </c>
      <c r="I9" s="153">
        <f t="shared" si="1"/>
        <v>43.52</v>
      </c>
    </row>
    <row r="10" spans="1:9" ht="12" customHeight="1" outlineLevel="1">
      <c r="A10" s="71" t="s">
        <v>215</v>
      </c>
      <c r="B10" s="36" t="s">
        <v>216</v>
      </c>
      <c r="C10" s="16" t="s">
        <v>230</v>
      </c>
      <c r="D10" s="35" t="s">
        <v>218</v>
      </c>
      <c r="E10" s="139" t="s">
        <v>219</v>
      </c>
      <c r="F10" s="139" t="s">
        <v>220</v>
      </c>
      <c r="G10" s="139" t="s">
        <v>221</v>
      </c>
      <c r="H10" s="139" t="s">
        <v>222</v>
      </c>
      <c r="I10" s="140" t="s">
        <v>223</v>
      </c>
    </row>
    <row r="11" spans="1:9" ht="29.25" customHeight="1" outlineLevel="1">
      <c r="A11" s="154">
        <v>5</v>
      </c>
      <c r="B11" s="155" t="s">
        <v>231</v>
      </c>
      <c r="C11" s="156">
        <v>2</v>
      </c>
      <c r="D11" s="156" t="s">
        <v>225</v>
      </c>
      <c r="E11" s="151">
        <v>69.989999999999995</v>
      </c>
      <c r="F11" s="152">
        <v>79.989999999999995</v>
      </c>
      <c r="G11" s="152">
        <v>56.9</v>
      </c>
      <c r="H11" s="146">
        <f t="shared" ref="H11:H13" si="2">ROUND(AVERAGE(E11:G11),2)</f>
        <v>68.959999999999994</v>
      </c>
      <c r="I11" s="147">
        <f t="shared" ref="I11:I13" si="3">C11*H11</f>
        <v>137.91999999999999</v>
      </c>
    </row>
    <row r="12" spans="1:9" ht="12" customHeight="1" outlineLevel="1">
      <c r="A12" s="148">
        <v>6</v>
      </c>
      <c r="B12" s="149" t="s">
        <v>232</v>
      </c>
      <c r="C12" s="150">
        <v>1</v>
      </c>
      <c r="D12" s="150" t="s">
        <v>225</v>
      </c>
      <c r="E12" s="151">
        <v>90.5</v>
      </c>
      <c r="F12" s="152">
        <v>88.99</v>
      </c>
      <c r="G12" s="152">
        <v>79.5</v>
      </c>
      <c r="H12" s="146">
        <f t="shared" si="2"/>
        <v>86.33</v>
      </c>
      <c r="I12" s="147">
        <f t="shared" si="3"/>
        <v>86.33</v>
      </c>
    </row>
    <row r="13" spans="1:9" ht="12" customHeight="1" outlineLevel="1">
      <c r="A13" s="141">
        <v>7</v>
      </c>
      <c r="B13" s="142" t="s">
        <v>233</v>
      </c>
      <c r="C13" s="143">
        <v>1</v>
      </c>
      <c r="D13" s="143" t="s">
        <v>225</v>
      </c>
      <c r="E13" s="151">
        <v>7.8</v>
      </c>
      <c r="F13" s="152">
        <v>7.23</v>
      </c>
      <c r="G13" s="152">
        <v>6.45</v>
      </c>
      <c r="H13" s="146">
        <f t="shared" si="2"/>
        <v>7.16</v>
      </c>
      <c r="I13" s="147">
        <f t="shared" si="3"/>
        <v>7.16</v>
      </c>
    </row>
    <row r="14" spans="1:9" ht="12" customHeight="1" outlineLevel="1">
      <c r="A14" s="286" t="s">
        <v>234</v>
      </c>
      <c r="B14" s="212"/>
      <c r="C14" s="212"/>
      <c r="D14" s="212"/>
      <c r="E14" s="212"/>
      <c r="F14" s="212"/>
      <c r="G14" s="212"/>
      <c r="H14" s="229"/>
      <c r="I14" s="157">
        <f>SUM(I6:I13)</f>
        <v>586.80999999999995</v>
      </c>
    </row>
    <row r="15" spans="1:9" ht="12" customHeight="1">
      <c r="A15" s="286" t="s">
        <v>235</v>
      </c>
      <c r="B15" s="212"/>
      <c r="C15" s="212"/>
      <c r="D15" s="212"/>
      <c r="E15" s="212"/>
      <c r="F15" s="212"/>
      <c r="G15" s="212"/>
      <c r="H15" s="229"/>
      <c r="I15" s="157">
        <f>ROUND(I14/12,2)</f>
        <v>48.9</v>
      </c>
    </row>
    <row r="16" spans="1:9" ht="12" customHeight="1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2" customHeight="1">
      <c r="A17" s="211" t="s">
        <v>236</v>
      </c>
      <c r="B17" s="212"/>
      <c r="C17" s="212"/>
      <c r="D17" s="212"/>
      <c r="E17" s="212"/>
      <c r="F17" s="212"/>
      <c r="G17" s="212"/>
      <c r="H17" s="212"/>
      <c r="I17" s="213"/>
    </row>
    <row r="18" spans="1:9" ht="12" customHeight="1" outlineLevel="1">
      <c r="A18" s="71" t="s">
        <v>215</v>
      </c>
      <c r="B18" s="36" t="s">
        <v>216</v>
      </c>
      <c r="C18" s="16" t="s">
        <v>217</v>
      </c>
      <c r="D18" s="35" t="s">
        <v>218</v>
      </c>
      <c r="E18" s="139" t="s">
        <v>219</v>
      </c>
      <c r="F18" s="139" t="s">
        <v>220</v>
      </c>
      <c r="G18" s="139" t="s">
        <v>221</v>
      </c>
      <c r="H18" s="139" t="s">
        <v>222</v>
      </c>
      <c r="I18" s="140" t="s">
        <v>223</v>
      </c>
    </row>
    <row r="19" spans="1:9" ht="12" customHeight="1" outlineLevel="1">
      <c r="A19" s="141">
        <v>1</v>
      </c>
      <c r="B19" s="142" t="s">
        <v>237</v>
      </c>
      <c r="C19" s="143">
        <v>1</v>
      </c>
      <c r="D19" s="143" t="s">
        <v>225</v>
      </c>
      <c r="E19" s="158">
        <v>16.989999999999998</v>
      </c>
      <c r="F19" s="159">
        <v>14</v>
      </c>
      <c r="G19" s="159">
        <v>16.899999999999999</v>
      </c>
      <c r="H19" s="146">
        <f t="shared" ref="H19:H30" si="4">ROUND(AVERAGE(E19:G19),2)</f>
        <v>15.96</v>
      </c>
      <c r="I19" s="147">
        <f t="shared" ref="I19:I30" si="5">C19*H19*2</f>
        <v>31.92</v>
      </c>
    </row>
    <row r="20" spans="1:9" ht="12" customHeight="1" outlineLevel="1">
      <c r="A20" s="141">
        <v>2</v>
      </c>
      <c r="B20" s="142" t="s">
        <v>238</v>
      </c>
      <c r="C20" s="150">
        <v>1</v>
      </c>
      <c r="D20" s="143" t="s">
        <v>229</v>
      </c>
      <c r="E20" s="158">
        <v>5.53</v>
      </c>
      <c r="F20" s="159">
        <v>5.9</v>
      </c>
      <c r="G20" s="159">
        <v>3.96</v>
      </c>
      <c r="H20" s="146">
        <f t="shared" si="4"/>
        <v>5.13</v>
      </c>
      <c r="I20" s="147">
        <f t="shared" si="5"/>
        <v>10.26</v>
      </c>
    </row>
    <row r="21" spans="1:9" ht="12" customHeight="1" outlineLevel="1">
      <c r="A21" s="141">
        <v>3</v>
      </c>
      <c r="B21" s="142" t="s">
        <v>239</v>
      </c>
      <c r="C21" s="143">
        <v>2</v>
      </c>
      <c r="D21" s="143" t="s">
        <v>229</v>
      </c>
      <c r="E21" s="158">
        <v>7.75</v>
      </c>
      <c r="F21" s="159">
        <v>7.99</v>
      </c>
      <c r="G21" s="159">
        <v>8.1199999999999992</v>
      </c>
      <c r="H21" s="146">
        <f t="shared" si="4"/>
        <v>7.95</v>
      </c>
      <c r="I21" s="147">
        <f t="shared" si="5"/>
        <v>31.8</v>
      </c>
    </row>
    <row r="22" spans="1:9" ht="12" customHeight="1" outlineLevel="1">
      <c r="A22" s="141">
        <v>4</v>
      </c>
      <c r="B22" s="142" t="s">
        <v>240</v>
      </c>
      <c r="C22" s="143">
        <v>1</v>
      </c>
      <c r="D22" s="143" t="s">
        <v>225</v>
      </c>
      <c r="E22" s="158">
        <v>10</v>
      </c>
      <c r="F22" s="159">
        <v>9.6999999999999993</v>
      </c>
      <c r="G22" s="159">
        <v>9.5</v>
      </c>
      <c r="H22" s="146">
        <f t="shared" si="4"/>
        <v>9.73</v>
      </c>
      <c r="I22" s="147">
        <f t="shared" si="5"/>
        <v>19.46</v>
      </c>
    </row>
    <row r="23" spans="1:9" ht="12" customHeight="1" outlineLevel="1">
      <c r="A23" s="141">
        <v>5</v>
      </c>
      <c r="B23" s="142" t="s">
        <v>241</v>
      </c>
      <c r="C23" s="143">
        <v>1</v>
      </c>
      <c r="D23" s="143" t="s">
        <v>225</v>
      </c>
      <c r="E23" s="158">
        <v>8</v>
      </c>
      <c r="F23" s="159">
        <v>5.75</v>
      </c>
      <c r="G23" s="159">
        <v>5.2</v>
      </c>
      <c r="H23" s="146">
        <f t="shared" si="4"/>
        <v>6.32</v>
      </c>
      <c r="I23" s="147">
        <f t="shared" si="5"/>
        <v>12.64</v>
      </c>
    </row>
    <row r="24" spans="1:9" ht="12" customHeight="1" outlineLevel="1">
      <c r="A24" s="141">
        <v>6</v>
      </c>
      <c r="B24" s="142" t="s">
        <v>242</v>
      </c>
      <c r="C24" s="143">
        <v>2</v>
      </c>
      <c r="D24" s="143" t="s">
        <v>229</v>
      </c>
      <c r="E24" s="158">
        <v>1.37</v>
      </c>
      <c r="F24" s="159">
        <v>1.4</v>
      </c>
      <c r="G24" s="159">
        <v>1.65</v>
      </c>
      <c r="H24" s="146">
        <f t="shared" si="4"/>
        <v>1.47</v>
      </c>
      <c r="I24" s="147">
        <f t="shared" si="5"/>
        <v>5.88</v>
      </c>
    </row>
    <row r="25" spans="1:9" ht="12" customHeight="1" outlineLevel="1">
      <c r="A25" s="141">
        <v>7</v>
      </c>
      <c r="B25" s="142" t="s">
        <v>243</v>
      </c>
      <c r="C25" s="143">
        <v>1</v>
      </c>
      <c r="D25" s="143" t="s">
        <v>229</v>
      </c>
      <c r="E25" s="158">
        <v>24.5</v>
      </c>
      <c r="F25" s="159">
        <v>35</v>
      </c>
      <c r="G25" s="159">
        <v>37.44</v>
      </c>
      <c r="H25" s="146">
        <f t="shared" si="4"/>
        <v>32.31</v>
      </c>
      <c r="I25" s="147">
        <f t="shared" si="5"/>
        <v>64.62</v>
      </c>
    </row>
    <row r="26" spans="1:9" ht="12" customHeight="1" outlineLevel="1">
      <c r="A26" s="141">
        <v>8</v>
      </c>
      <c r="B26" s="142" t="s">
        <v>244</v>
      </c>
      <c r="C26" s="143">
        <v>2</v>
      </c>
      <c r="D26" s="143" t="s">
        <v>229</v>
      </c>
      <c r="E26" s="144">
        <v>30.98</v>
      </c>
      <c r="F26" s="145">
        <v>30</v>
      </c>
      <c r="G26" s="145">
        <v>30</v>
      </c>
      <c r="H26" s="146">
        <f t="shared" si="4"/>
        <v>30.33</v>
      </c>
      <c r="I26" s="147">
        <f t="shared" si="5"/>
        <v>121.32</v>
      </c>
    </row>
    <row r="27" spans="1:9" ht="12" customHeight="1" outlineLevel="1">
      <c r="A27" s="148">
        <v>9</v>
      </c>
      <c r="B27" s="149" t="s">
        <v>245</v>
      </c>
      <c r="C27" s="150">
        <v>1</v>
      </c>
      <c r="D27" s="143" t="s">
        <v>229</v>
      </c>
      <c r="E27" s="158">
        <v>19.5</v>
      </c>
      <c r="F27" s="159">
        <v>22.5</v>
      </c>
      <c r="G27" s="159">
        <v>24</v>
      </c>
      <c r="H27" s="146">
        <f t="shared" si="4"/>
        <v>22</v>
      </c>
      <c r="I27" s="147">
        <f t="shared" si="5"/>
        <v>44</v>
      </c>
    </row>
    <row r="28" spans="1:9" ht="12" customHeight="1" outlineLevel="1">
      <c r="A28" s="160">
        <v>10</v>
      </c>
      <c r="B28" s="161" t="s">
        <v>246</v>
      </c>
      <c r="C28" s="150">
        <v>1</v>
      </c>
      <c r="D28" s="143" t="s">
        <v>225</v>
      </c>
      <c r="E28" s="158">
        <v>24.73</v>
      </c>
      <c r="F28" s="159">
        <v>23</v>
      </c>
      <c r="G28" s="159">
        <v>23</v>
      </c>
      <c r="H28" s="146">
        <f t="shared" si="4"/>
        <v>23.58</v>
      </c>
      <c r="I28" s="147">
        <f t="shared" si="5"/>
        <v>47.16</v>
      </c>
    </row>
    <row r="29" spans="1:9" ht="12" customHeight="1" outlineLevel="1">
      <c r="A29" s="160">
        <v>11</v>
      </c>
      <c r="B29" s="161" t="s">
        <v>247</v>
      </c>
      <c r="C29" s="162">
        <v>1</v>
      </c>
      <c r="D29" s="162" t="s">
        <v>225</v>
      </c>
      <c r="E29" s="158">
        <v>40.9</v>
      </c>
      <c r="F29" s="159">
        <v>41.25</v>
      </c>
      <c r="G29" s="159">
        <v>49.9</v>
      </c>
      <c r="H29" s="146">
        <f t="shared" si="4"/>
        <v>44.02</v>
      </c>
      <c r="I29" s="147">
        <f t="shared" si="5"/>
        <v>88.04</v>
      </c>
    </row>
    <row r="30" spans="1:9" ht="12" customHeight="1" outlineLevel="1">
      <c r="A30" s="148">
        <v>12</v>
      </c>
      <c r="B30" s="149" t="s">
        <v>248</v>
      </c>
      <c r="C30" s="150">
        <v>1</v>
      </c>
      <c r="D30" s="150" t="s">
        <v>249</v>
      </c>
      <c r="E30" s="158">
        <v>35</v>
      </c>
      <c r="F30" s="159">
        <v>49.9</v>
      </c>
      <c r="G30" s="159">
        <v>29.9</v>
      </c>
      <c r="H30" s="146">
        <f t="shared" si="4"/>
        <v>38.270000000000003</v>
      </c>
      <c r="I30" s="147">
        <f t="shared" si="5"/>
        <v>76.540000000000006</v>
      </c>
    </row>
    <row r="31" spans="1:9" ht="12" customHeight="1" outlineLevel="1">
      <c r="A31" s="286" t="s">
        <v>234</v>
      </c>
      <c r="B31" s="212"/>
      <c r="C31" s="212"/>
      <c r="D31" s="212"/>
      <c r="E31" s="212"/>
      <c r="F31" s="212"/>
      <c r="G31" s="212"/>
      <c r="H31" s="229"/>
      <c r="I31" s="157">
        <f>SUM(I19:I30)</f>
        <v>553.64</v>
      </c>
    </row>
    <row r="32" spans="1:9" ht="12" customHeight="1" outlineLevel="1">
      <c r="A32" s="286" t="s">
        <v>250</v>
      </c>
      <c r="B32" s="212"/>
      <c r="C32" s="212"/>
      <c r="D32" s="212"/>
      <c r="E32" s="212"/>
      <c r="F32" s="212"/>
      <c r="G32" s="212"/>
      <c r="H32" s="229"/>
      <c r="I32" s="157">
        <f>ROUND(I31/12,2)</f>
        <v>46.14</v>
      </c>
    </row>
    <row r="33" spans="1:9" ht="12" customHeight="1">
      <c r="A33" s="163"/>
      <c r="B33" s="163"/>
      <c r="C33" s="163"/>
      <c r="D33" s="163"/>
      <c r="E33" s="163"/>
      <c r="F33" s="163"/>
      <c r="G33" s="163"/>
      <c r="H33" s="163"/>
      <c r="I33" s="164"/>
    </row>
  </sheetData>
  <mergeCells count="8">
    <mergeCell ref="A17:I17"/>
    <mergeCell ref="A31:H31"/>
    <mergeCell ref="A32:H32"/>
    <mergeCell ref="A1:I1"/>
    <mergeCell ref="A2:I2"/>
    <mergeCell ref="A4:I4"/>
    <mergeCell ref="A14:H14"/>
    <mergeCell ref="A15:H15"/>
  </mergeCells>
  <pageMargins left="0.25" right="0.25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74E13"/>
    <pageSetUpPr fitToPage="1"/>
  </sheetPr>
  <dimension ref="A1:I42"/>
  <sheetViews>
    <sheetView showGridLines="0" topLeftCell="A16" workbookViewId="0">
      <selection sqref="A1:I1"/>
    </sheetView>
  </sheetViews>
  <sheetFormatPr defaultColWidth="14.42578125" defaultRowHeight="15" customHeight="1"/>
  <cols>
    <col min="1" max="1" width="7.85546875" customWidth="1"/>
    <col min="2" max="2" width="54.28515625" customWidth="1"/>
    <col min="3" max="9" width="14.42578125" customWidth="1"/>
  </cols>
  <sheetData>
    <row r="1" spans="1:9" ht="24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3"/>
    </row>
    <row r="2" spans="1:9" ht="24" customHeight="1">
      <c r="A2" s="214" t="s">
        <v>251</v>
      </c>
      <c r="B2" s="212"/>
      <c r="C2" s="212"/>
      <c r="D2" s="212"/>
      <c r="E2" s="212"/>
      <c r="F2" s="212"/>
      <c r="G2" s="212"/>
      <c r="H2" s="212"/>
      <c r="I2" s="213"/>
    </row>
    <row r="3" spans="1:9" ht="12" customHeight="1">
      <c r="A3" s="165"/>
      <c r="B3" s="165"/>
      <c r="C3" s="165"/>
      <c r="D3" s="165"/>
      <c r="E3" s="166"/>
      <c r="F3" s="166"/>
      <c r="G3" s="166"/>
      <c r="H3" s="166"/>
      <c r="I3" s="166"/>
    </row>
    <row r="4" spans="1:9" ht="24" customHeight="1">
      <c r="A4" s="211" t="s">
        <v>252</v>
      </c>
      <c r="B4" s="212"/>
      <c r="C4" s="212"/>
      <c r="D4" s="212"/>
      <c r="E4" s="212"/>
      <c r="F4" s="212"/>
      <c r="G4" s="212"/>
      <c r="H4" s="212"/>
      <c r="I4" s="213"/>
    </row>
    <row r="5" spans="1:9" ht="12.75" customHeight="1">
      <c r="A5" s="167" t="s">
        <v>215</v>
      </c>
      <c r="B5" s="168" t="s">
        <v>216</v>
      </c>
      <c r="C5" s="35" t="s">
        <v>218</v>
      </c>
      <c r="D5" s="35" t="s">
        <v>253</v>
      </c>
      <c r="E5" s="139" t="s">
        <v>219</v>
      </c>
      <c r="F5" s="139" t="s">
        <v>220</v>
      </c>
      <c r="G5" s="139" t="s">
        <v>221</v>
      </c>
      <c r="H5" s="139" t="s">
        <v>222</v>
      </c>
      <c r="I5" s="140" t="s">
        <v>254</v>
      </c>
    </row>
    <row r="6" spans="1:9" ht="12.75" customHeight="1">
      <c r="A6" s="169">
        <v>1</v>
      </c>
      <c r="B6" s="77" t="s">
        <v>255</v>
      </c>
      <c r="C6" s="170" t="s">
        <v>256</v>
      </c>
      <c r="D6" s="171">
        <v>50</v>
      </c>
      <c r="E6" s="172">
        <v>4.43</v>
      </c>
      <c r="F6" s="172">
        <v>4.2300000000000004</v>
      </c>
      <c r="G6" s="172">
        <v>4.0999999999999996</v>
      </c>
      <c r="H6" s="173">
        <f t="shared" ref="H6:H7" si="0">ROUND(AVERAGE(E6:G6),2)</f>
        <v>4.25</v>
      </c>
      <c r="I6" s="174">
        <f t="shared" ref="I6:I7" si="1">(H6*D6)</f>
        <v>212.5</v>
      </c>
    </row>
    <row r="7" spans="1:9" ht="12.75" customHeight="1">
      <c r="A7" s="175">
        <v>2</v>
      </c>
      <c r="B7" s="176" t="s">
        <v>257</v>
      </c>
      <c r="C7" s="177" t="s">
        <v>258</v>
      </c>
      <c r="D7" s="178">
        <v>4</v>
      </c>
      <c r="E7" s="179">
        <v>21.9</v>
      </c>
      <c r="F7" s="180">
        <v>22</v>
      </c>
      <c r="G7" s="180">
        <v>25</v>
      </c>
      <c r="H7" s="181">
        <f t="shared" si="0"/>
        <v>22.97</v>
      </c>
      <c r="I7" s="182">
        <f t="shared" si="1"/>
        <v>91.88</v>
      </c>
    </row>
    <row r="8" spans="1:9" ht="12.75" customHeight="1">
      <c r="A8" s="286" t="s">
        <v>259</v>
      </c>
      <c r="B8" s="212"/>
      <c r="C8" s="212"/>
      <c r="D8" s="212"/>
      <c r="E8" s="212"/>
      <c r="F8" s="212"/>
      <c r="G8" s="212"/>
      <c r="H8" s="229"/>
      <c r="I8" s="157">
        <f>SUM(I6:I7)</f>
        <v>304.38</v>
      </c>
    </row>
    <row r="9" spans="1:9" ht="12.75" customHeight="1">
      <c r="A9" s="163"/>
      <c r="B9" s="183"/>
      <c r="C9" s="163"/>
      <c r="D9" s="163"/>
      <c r="E9" s="184"/>
      <c r="F9" s="184"/>
      <c r="G9" s="184"/>
      <c r="H9" s="184"/>
      <c r="I9" s="164"/>
    </row>
    <row r="10" spans="1:9" ht="21.75" customHeight="1">
      <c r="A10" s="211" t="s">
        <v>260</v>
      </c>
      <c r="B10" s="212"/>
      <c r="C10" s="212"/>
      <c r="D10" s="212"/>
      <c r="E10" s="212"/>
      <c r="F10" s="212"/>
      <c r="G10" s="212"/>
      <c r="H10" s="212"/>
      <c r="I10" s="213"/>
    </row>
    <row r="11" spans="1:9" ht="12.75" customHeight="1">
      <c r="A11" s="26" t="s">
        <v>215</v>
      </c>
      <c r="B11" s="16" t="s">
        <v>216</v>
      </c>
      <c r="C11" s="35" t="s">
        <v>218</v>
      </c>
      <c r="D11" s="35" t="s">
        <v>230</v>
      </c>
      <c r="E11" s="139" t="s">
        <v>219</v>
      </c>
      <c r="F11" s="139" t="s">
        <v>220</v>
      </c>
      <c r="G11" s="139" t="s">
        <v>221</v>
      </c>
      <c r="H11" s="139" t="s">
        <v>261</v>
      </c>
      <c r="I11" s="140" t="s">
        <v>223</v>
      </c>
    </row>
    <row r="12" spans="1:9" ht="12.75" customHeight="1">
      <c r="A12" s="185">
        <v>1</v>
      </c>
      <c r="B12" s="150" t="s">
        <v>262</v>
      </c>
      <c r="C12" s="186" t="s">
        <v>225</v>
      </c>
      <c r="D12" s="187">
        <v>6</v>
      </c>
      <c r="E12" s="188">
        <v>35.64</v>
      </c>
      <c r="F12" s="189">
        <v>42.86</v>
      </c>
      <c r="G12" s="189">
        <v>49</v>
      </c>
      <c r="H12" s="173">
        <f t="shared" ref="H12:H16" si="2">ROUND(AVERAGE(E12:G12),2)</f>
        <v>42.5</v>
      </c>
      <c r="I12" s="190">
        <f t="shared" ref="I12:I16" si="3">D12*H12</f>
        <v>255</v>
      </c>
    </row>
    <row r="13" spans="1:9" ht="12.75" customHeight="1">
      <c r="A13" s="148">
        <v>2</v>
      </c>
      <c r="B13" s="150" t="s">
        <v>263</v>
      </c>
      <c r="C13" s="150" t="s">
        <v>264</v>
      </c>
      <c r="D13" s="150">
        <v>1</v>
      </c>
      <c r="E13" s="191">
        <v>33</v>
      </c>
      <c r="F13" s="189">
        <v>39</v>
      </c>
      <c r="G13" s="189">
        <v>41.91</v>
      </c>
      <c r="H13" s="173">
        <f t="shared" si="2"/>
        <v>37.97</v>
      </c>
      <c r="I13" s="190">
        <f t="shared" si="3"/>
        <v>37.97</v>
      </c>
    </row>
    <row r="14" spans="1:9" ht="12.75" customHeight="1">
      <c r="A14" s="148">
        <v>3</v>
      </c>
      <c r="B14" s="192" t="s">
        <v>265</v>
      </c>
      <c r="C14" s="150" t="s">
        <v>225</v>
      </c>
      <c r="D14" s="150">
        <v>2</v>
      </c>
      <c r="E14" s="191">
        <v>16.5</v>
      </c>
      <c r="F14" s="189">
        <v>21.5</v>
      </c>
      <c r="G14" s="189">
        <v>25</v>
      </c>
      <c r="H14" s="173">
        <f t="shared" si="2"/>
        <v>21</v>
      </c>
      <c r="I14" s="190">
        <f t="shared" si="3"/>
        <v>42</v>
      </c>
    </row>
    <row r="15" spans="1:9" ht="12.75" customHeight="1">
      <c r="A15" s="193">
        <v>4</v>
      </c>
      <c r="B15" s="150" t="s">
        <v>266</v>
      </c>
      <c r="C15" s="186" t="s">
        <v>267</v>
      </c>
      <c r="D15" s="187">
        <v>600</v>
      </c>
      <c r="E15" s="191">
        <v>1.75</v>
      </c>
      <c r="F15" s="189">
        <v>1.4</v>
      </c>
      <c r="G15" s="189">
        <v>0.8</v>
      </c>
      <c r="H15" s="173">
        <f t="shared" si="2"/>
        <v>1.32</v>
      </c>
      <c r="I15" s="190">
        <f t="shared" si="3"/>
        <v>792</v>
      </c>
    </row>
    <row r="16" spans="1:9" ht="12.75" customHeight="1">
      <c r="A16" s="193">
        <v>5</v>
      </c>
      <c r="B16" s="150" t="s">
        <v>268</v>
      </c>
      <c r="C16" s="186" t="s">
        <v>267</v>
      </c>
      <c r="D16" s="187">
        <v>600</v>
      </c>
      <c r="E16" s="191">
        <v>1.5</v>
      </c>
      <c r="F16" s="189">
        <v>1.3</v>
      </c>
      <c r="G16" s="189">
        <v>0.9</v>
      </c>
      <c r="H16" s="173">
        <f t="shared" si="2"/>
        <v>1.23</v>
      </c>
      <c r="I16" s="190">
        <f t="shared" si="3"/>
        <v>738</v>
      </c>
    </row>
    <row r="17" spans="1:9" ht="12.75" customHeight="1">
      <c r="A17" s="288" t="s">
        <v>269</v>
      </c>
      <c r="B17" s="241"/>
      <c r="C17" s="241"/>
      <c r="D17" s="241"/>
      <c r="E17" s="241"/>
      <c r="F17" s="241"/>
      <c r="G17" s="241"/>
      <c r="H17" s="242"/>
      <c r="I17" s="194">
        <f>SUM(I12:I16)</f>
        <v>1864.97</v>
      </c>
    </row>
    <row r="18" spans="1:9" ht="12.75" customHeight="1">
      <c r="A18" s="287" t="s">
        <v>270</v>
      </c>
      <c r="B18" s="244"/>
      <c r="C18" s="244"/>
      <c r="D18" s="244"/>
      <c r="E18" s="244"/>
      <c r="F18" s="244"/>
      <c r="G18" s="244"/>
      <c r="H18" s="245"/>
      <c r="I18" s="195">
        <f>ROUND(I17/12,2)</f>
        <v>155.41</v>
      </c>
    </row>
    <row r="19" spans="1:9" ht="12.75" customHeight="1">
      <c r="A19" s="196"/>
      <c r="B19" s="196"/>
      <c r="C19" s="196"/>
      <c r="D19" s="196"/>
      <c r="E19" s="164"/>
      <c r="F19" s="164"/>
      <c r="G19" s="164"/>
      <c r="H19" s="164"/>
      <c r="I19" s="164"/>
    </row>
    <row r="20" spans="1:9" ht="12.75" customHeight="1">
      <c r="A20" s="211" t="s">
        <v>271</v>
      </c>
      <c r="B20" s="212"/>
      <c r="C20" s="212"/>
      <c r="D20" s="212"/>
      <c r="E20" s="212"/>
      <c r="F20" s="212"/>
      <c r="G20" s="212"/>
      <c r="H20" s="212"/>
      <c r="I20" s="213"/>
    </row>
    <row r="21" spans="1:9" ht="12.75" customHeight="1">
      <c r="A21" s="167" t="s">
        <v>215</v>
      </c>
      <c r="B21" s="168" t="s">
        <v>216</v>
      </c>
      <c r="C21" s="35" t="s">
        <v>218</v>
      </c>
      <c r="D21" s="35" t="s">
        <v>253</v>
      </c>
      <c r="E21" s="139" t="s">
        <v>219</v>
      </c>
      <c r="F21" s="139" t="s">
        <v>220</v>
      </c>
      <c r="G21" s="139" t="s">
        <v>221</v>
      </c>
      <c r="H21" s="139" t="s">
        <v>222</v>
      </c>
      <c r="I21" s="140" t="s">
        <v>254</v>
      </c>
    </row>
    <row r="22" spans="1:9" ht="12.75" customHeight="1">
      <c r="A22" s="193">
        <v>1</v>
      </c>
      <c r="B22" s="150" t="s">
        <v>272</v>
      </c>
      <c r="C22" s="186" t="s">
        <v>225</v>
      </c>
      <c r="D22" s="187">
        <v>2</v>
      </c>
      <c r="E22" s="188">
        <v>2.75</v>
      </c>
      <c r="F22" s="188">
        <v>3.27</v>
      </c>
      <c r="G22" s="188">
        <v>3.29</v>
      </c>
      <c r="H22" s="173">
        <f t="shared" ref="H22:H37" si="4">ROUND(AVERAGE(E22:G22),2)</f>
        <v>3.1</v>
      </c>
      <c r="I22" s="197">
        <f t="shared" ref="I22:I37" si="5">(H22*D22)</f>
        <v>6.2</v>
      </c>
    </row>
    <row r="23" spans="1:9" ht="12.75" customHeight="1">
      <c r="A23" s="193">
        <v>2</v>
      </c>
      <c r="B23" s="150" t="s">
        <v>273</v>
      </c>
      <c r="C23" s="186" t="s">
        <v>225</v>
      </c>
      <c r="D23" s="187">
        <v>2</v>
      </c>
      <c r="E23" s="188">
        <v>19.25</v>
      </c>
      <c r="F23" s="188">
        <v>24</v>
      </c>
      <c r="G23" s="188">
        <v>24.87</v>
      </c>
      <c r="H23" s="173">
        <f t="shared" si="4"/>
        <v>22.71</v>
      </c>
      <c r="I23" s="197">
        <f t="shared" si="5"/>
        <v>45.42</v>
      </c>
    </row>
    <row r="24" spans="1:9" ht="12.75" customHeight="1">
      <c r="A24" s="193">
        <v>3</v>
      </c>
      <c r="B24" s="150" t="s">
        <v>274</v>
      </c>
      <c r="C24" s="186" t="s">
        <v>225</v>
      </c>
      <c r="D24" s="187">
        <v>1</v>
      </c>
      <c r="E24" s="188">
        <v>47.9</v>
      </c>
      <c r="F24" s="188">
        <v>48.99</v>
      </c>
      <c r="G24" s="188">
        <v>50</v>
      </c>
      <c r="H24" s="173">
        <f t="shared" si="4"/>
        <v>48.96</v>
      </c>
      <c r="I24" s="197">
        <f t="shared" si="5"/>
        <v>48.96</v>
      </c>
    </row>
    <row r="25" spans="1:9" ht="12.75" customHeight="1">
      <c r="A25" s="193">
        <v>4</v>
      </c>
      <c r="B25" s="150" t="s">
        <v>275</v>
      </c>
      <c r="C25" s="186" t="s">
        <v>225</v>
      </c>
      <c r="D25" s="187">
        <v>1</v>
      </c>
      <c r="E25" s="198">
        <v>25</v>
      </c>
      <c r="F25" s="188">
        <v>25.84</v>
      </c>
      <c r="G25" s="188">
        <v>30.18</v>
      </c>
      <c r="H25" s="173">
        <f t="shared" si="4"/>
        <v>27.01</v>
      </c>
      <c r="I25" s="197">
        <f t="shared" si="5"/>
        <v>27.01</v>
      </c>
    </row>
    <row r="26" spans="1:9" ht="12.75" customHeight="1">
      <c r="A26" s="193">
        <v>5</v>
      </c>
      <c r="B26" s="199" t="s">
        <v>276</v>
      </c>
      <c r="C26" s="186" t="s">
        <v>225</v>
      </c>
      <c r="D26" s="187">
        <v>1</v>
      </c>
      <c r="E26" s="188">
        <v>17.61</v>
      </c>
      <c r="F26" s="188">
        <v>18</v>
      </c>
      <c r="G26" s="188">
        <v>19.899999999999999</v>
      </c>
      <c r="H26" s="173">
        <f t="shared" si="4"/>
        <v>18.5</v>
      </c>
      <c r="I26" s="197">
        <f t="shared" si="5"/>
        <v>18.5</v>
      </c>
    </row>
    <row r="27" spans="1:9" ht="12.75" customHeight="1">
      <c r="A27" s="193">
        <v>6</v>
      </c>
      <c r="B27" s="150" t="s">
        <v>277</v>
      </c>
      <c r="C27" s="186" t="s">
        <v>225</v>
      </c>
      <c r="D27" s="187">
        <v>1</v>
      </c>
      <c r="E27" s="188">
        <v>33.159999999999997</v>
      </c>
      <c r="F27" s="188">
        <v>35</v>
      </c>
      <c r="G27" s="188">
        <v>37.9</v>
      </c>
      <c r="H27" s="173">
        <f t="shared" si="4"/>
        <v>35.35</v>
      </c>
      <c r="I27" s="197">
        <f t="shared" si="5"/>
        <v>35.35</v>
      </c>
    </row>
    <row r="28" spans="1:9" ht="12.75" customHeight="1">
      <c r="A28" s="193">
        <v>7</v>
      </c>
      <c r="B28" s="150" t="s">
        <v>278</v>
      </c>
      <c r="C28" s="186" t="s">
        <v>225</v>
      </c>
      <c r="D28" s="187">
        <v>1</v>
      </c>
      <c r="E28" s="188">
        <v>21.86</v>
      </c>
      <c r="F28" s="188">
        <v>22</v>
      </c>
      <c r="G28" s="188">
        <v>27.4</v>
      </c>
      <c r="H28" s="173">
        <f t="shared" si="4"/>
        <v>23.75</v>
      </c>
      <c r="I28" s="197">
        <f t="shared" si="5"/>
        <v>23.75</v>
      </c>
    </row>
    <row r="29" spans="1:9" ht="12.75" customHeight="1">
      <c r="A29" s="193">
        <v>8</v>
      </c>
      <c r="B29" s="150" t="s">
        <v>279</v>
      </c>
      <c r="C29" s="186" t="s">
        <v>225</v>
      </c>
      <c r="D29" s="187">
        <v>1</v>
      </c>
      <c r="E29" s="188">
        <v>23.7</v>
      </c>
      <c r="F29" s="188">
        <v>25.2</v>
      </c>
      <c r="G29" s="188">
        <v>28.95</v>
      </c>
      <c r="H29" s="173">
        <f t="shared" si="4"/>
        <v>25.95</v>
      </c>
      <c r="I29" s="197">
        <f t="shared" si="5"/>
        <v>25.95</v>
      </c>
    </row>
    <row r="30" spans="1:9" ht="12.75" customHeight="1">
      <c r="A30" s="193">
        <v>9</v>
      </c>
      <c r="B30" s="150" t="s">
        <v>280</v>
      </c>
      <c r="C30" s="186" t="s">
        <v>225</v>
      </c>
      <c r="D30" s="187">
        <v>1</v>
      </c>
      <c r="E30" s="188">
        <v>120</v>
      </c>
      <c r="F30" s="188">
        <v>131.99</v>
      </c>
      <c r="G30" s="188">
        <v>146.72</v>
      </c>
      <c r="H30" s="173">
        <f t="shared" si="4"/>
        <v>132.9</v>
      </c>
      <c r="I30" s="197">
        <f t="shared" si="5"/>
        <v>132.9</v>
      </c>
    </row>
    <row r="31" spans="1:9" ht="12.75" customHeight="1">
      <c r="A31" s="193">
        <v>10</v>
      </c>
      <c r="B31" s="150" t="s">
        <v>281</v>
      </c>
      <c r="C31" s="186" t="s">
        <v>225</v>
      </c>
      <c r="D31" s="187">
        <v>1</v>
      </c>
      <c r="E31" s="188">
        <v>41</v>
      </c>
      <c r="F31" s="188">
        <v>49</v>
      </c>
      <c r="G31" s="188">
        <v>57.75</v>
      </c>
      <c r="H31" s="173">
        <f t="shared" si="4"/>
        <v>49.25</v>
      </c>
      <c r="I31" s="197">
        <f t="shared" si="5"/>
        <v>49.25</v>
      </c>
    </row>
    <row r="32" spans="1:9" ht="12.75" customHeight="1">
      <c r="A32" s="193">
        <v>11</v>
      </c>
      <c r="B32" s="150" t="s">
        <v>282</v>
      </c>
      <c r="C32" s="186" t="s">
        <v>225</v>
      </c>
      <c r="D32" s="187">
        <v>1</v>
      </c>
      <c r="E32" s="188">
        <v>26.8</v>
      </c>
      <c r="F32" s="188">
        <v>28.47</v>
      </c>
      <c r="G32" s="188">
        <v>29.9</v>
      </c>
      <c r="H32" s="173">
        <f t="shared" si="4"/>
        <v>28.39</v>
      </c>
      <c r="I32" s="197">
        <f t="shared" si="5"/>
        <v>28.39</v>
      </c>
    </row>
    <row r="33" spans="1:9" ht="12.75" customHeight="1">
      <c r="A33" s="193">
        <v>12</v>
      </c>
      <c r="B33" s="150" t="s">
        <v>283</v>
      </c>
      <c r="C33" s="186" t="s">
        <v>225</v>
      </c>
      <c r="D33" s="187">
        <v>1</v>
      </c>
      <c r="E33" s="188">
        <v>56.47</v>
      </c>
      <c r="F33" s="188">
        <v>59</v>
      </c>
      <c r="G33" s="188">
        <v>60</v>
      </c>
      <c r="H33" s="173">
        <f t="shared" si="4"/>
        <v>58.49</v>
      </c>
      <c r="I33" s="197">
        <f t="shared" si="5"/>
        <v>58.49</v>
      </c>
    </row>
    <row r="34" spans="1:9" ht="12.75" customHeight="1">
      <c r="A34" s="193">
        <v>13</v>
      </c>
      <c r="B34" s="150" t="s">
        <v>284</v>
      </c>
      <c r="C34" s="186" t="s">
        <v>225</v>
      </c>
      <c r="D34" s="187">
        <v>1</v>
      </c>
      <c r="E34" s="188">
        <v>110</v>
      </c>
      <c r="F34" s="188">
        <v>120</v>
      </c>
      <c r="G34" s="188">
        <v>123.8</v>
      </c>
      <c r="H34" s="173">
        <f t="shared" si="4"/>
        <v>117.93</v>
      </c>
      <c r="I34" s="197">
        <f t="shared" si="5"/>
        <v>117.93</v>
      </c>
    </row>
    <row r="35" spans="1:9" ht="12.75" customHeight="1">
      <c r="A35" s="193">
        <v>14</v>
      </c>
      <c r="B35" s="150" t="s">
        <v>285</v>
      </c>
      <c r="C35" s="186" t="s">
        <v>225</v>
      </c>
      <c r="D35" s="187">
        <v>1</v>
      </c>
      <c r="E35" s="188">
        <v>35.1</v>
      </c>
      <c r="F35" s="188">
        <v>36</v>
      </c>
      <c r="G35" s="188">
        <v>51</v>
      </c>
      <c r="H35" s="173">
        <f t="shared" si="4"/>
        <v>40.700000000000003</v>
      </c>
      <c r="I35" s="197">
        <f t="shared" si="5"/>
        <v>40.700000000000003</v>
      </c>
    </row>
    <row r="36" spans="1:9" ht="12.75" customHeight="1">
      <c r="A36" s="193">
        <v>15</v>
      </c>
      <c r="B36" s="150" t="s">
        <v>286</v>
      </c>
      <c r="C36" s="186" t="s">
        <v>225</v>
      </c>
      <c r="D36" s="187">
        <v>1</v>
      </c>
      <c r="E36" s="188">
        <v>46.55</v>
      </c>
      <c r="F36" s="188">
        <v>33</v>
      </c>
      <c r="G36" s="188">
        <v>31.78</v>
      </c>
      <c r="H36" s="173">
        <f t="shared" si="4"/>
        <v>37.11</v>
      </c>
      <c r="I36" s="197">
        <f t="shared" si="5"/>
        <v>37.11</v>
      </c>
    </row>
    <row r="37" spans="1:9" ht="12.75" customHeight="1">
      <c r="A37" s="193">
        <v>16</v>
      </c>
      <c r="B37" s="150" t="s">
        <v>287</v>
      </c>
      <c r="C37" s="186" t="s">
        <v>225</v>
      </c>
      <c r="D37" s="187">
        <v>1</v>
      </c>
      <c r="E37" s="188">
        <v>24.5</v>
      </c>
      <c r="F37" s="188">
        <v>28</v>
      </c>
      <c r="G37" s="188">
        <v>35.32</v>
      </c>
      <c r="H37" s="173">
        <f t="shared" si="4"/>
        <v>29.27</v>
      </c>
      <c r="I37" s="197">
        <f t="shared" si="5"/>
        <v>29.27</v>
      </c>
    </row>
    <row r="38" spans="1:9" ht="12.75" customHeight="1">
      <c r="A38" s="288" t="s">
        <v>288</v>
      </c>
      <c r="B38" s="241"/>
      <c r="C38" s="241"/>
      <c r="D38" s="241"/>
      <c r="E38" s="241"/>
      <c r="F38" s="241"/>
      <c r="G38" s="241"/>
      <c r="H38" s="242"/>
      <c r="I38" s="194">
        <f>SUM(I22:I37)</f>
        <v>725.18000000000006</v>
      </c>
    </row>
    <row r="39" spans="1:9" ht="12.75" customHeight="1">
      <c r="A39" s="289" t="s">
        <v>289</v>
      </c>
      <c r="B39" s="223"/>
      <c r="C39" s="223"/>
      <c r="D39" s="223"/>
      <c r="E39" s="223"/>
      <c r="F39" s="223"/>
      <c r="G39" s="223"/>
      <c r="H39" s="224"/>
      <c r="I39" s="200">
        <v>60</v>
      </c>
    </row>
    <row r="40" spans="1:9" ht="12.75" customHeight="1">
      <c r="A40" s="287" t="s">
        <v>290</v>
      </c>
      <c r="B40" s="244"/>
      <c r="C40" s="244"/>
      <c r="D40" s="244"/>
      <c r="E40" s="244"/>
      <c r="F40" s="244"/>
      <c r="G40" s="244"/>
      <c r="H40" s="245"/>
      <c r="I40" s="195">
        <f>ROUND(I38/I39,2)</f>
        <v>12.09</v>
      </c>
    </row>
    <row r="41" spans="1:9" ht="12.75" customHeight="1">
      <c r="A41" s="163"/>
      <c r="B41" s="163"/>
      <c r="C41" s="163"/>
      <c r="D41" s="163"/>
      <c r="E41" s="184"/>
      <c r="F41" s="184"/>
      <c r="G41" s="184"/>
      <c r="H41" s="184"/>
      <c r="I41" s="164"/>
    </row>
    <row r="42" spans="1:9" ht="12.75" customHeight="1">
      <c r="A42" s="286" t="s">
        <v>291</v>
      </c>
      <c r="B42" s="212"/>
      <c r="C42" s="212"/>
      <c r="D42" s="212"/>
      <c r="E42" s="212"/>
      <c r="F42" s="212"/>
      <c r="G42" s="212"/>
      <c r="H42" s="229"/>
      <c r="I42" s="157">
        <f>I8+I18+I40</f>
        <v>471.87999999999994</v>
      </c>
    </row>
  </sheetData>
  <mergeCells count="12">
    <mergeCell ref="A17:H17"/>
    <mergeCell ref="A20:I20"/>
    <mergeCell ref="A1:I1"/>
    <mergeCell ref="A2:I2"/>
    <mergeCell ref="A4:I4"/>
    <mergeCell ref="A8:H8"/>
    <mergeCell ref="A10:I10"/>
    <mergeCell ref="A18:H18"/>
    <mergeCell ref="A38:H38"/>
    <mergeCell ref="A39:H39"/>
    <mergeCell ref="A40:H40"/>
    <mergeCell ref="A42:H42"/>
  </mergeCells>
  <pageMargins left="0.25" right="0.25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74E13"/>
    <pageSetUpPr fitToPage="1"/>
  </sheetPr>
  <dimension ref="A1:L11"/>
  <sheetViews>
    <sheetView showGridLines="0" workbookViewId="0">
      <selection sqref="A1:L1"/>
    </sheetView>
  </sheetViews>
  <sheetFormatPr defaultColWidth="14.42578125" defaultRowHeight="15" customHeight="1"/>
  <cols>
    <col min="1" max="1" width="6.140625" customWidth="1"/>
    <col min="2" max="2" width="56" customWidth="1"/>
    <col min="3" max="3" width="10.140625" customWidth="1"/>
    <col min="4" max="4" width="13.42578125" customWidth="1"/>
    <col min="5" max="6" width="12.140625" customWidth="1"/>
    <col min="7" max="7" width="12.28515625" customWidth="1"/>
    <col min="8" max="12" width="13.42578125" customWidth="1"/>
  </cols>
  <sheetData>
    <row r="1" spans="1:12" ht="24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1:12" ht="24" customHeight="1">
      <c r="A2" s="214" t="s">
        <v>292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2" customHeight="1">
      <c r="A3" s="165"/>
      <c r="B3" s="165"/>
      <c r="C3" s="165"/>
      <c r="D3" s="165"/>
      <c r="E3" s="166"/>
      <c r="F3" s="166"/>
      <c r="G3" s="166"/>
      <c r="H3" s="166"/>
      <c r="I3" s="166"/>
      <c r="J3" s="183"/>
      <c r="K3" s="165"/>
      <c r="L3" s="166"/>
    </row>
    <row r="4" spans="1:12" ht="24" customHeight="1">
      <c r="A4" s="211" t="s">
        <v>293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2" ht="12" customHeight="1">
      <c r="A5" s="167" t="s">
        <v>215</v>
      </c>
      <c r="B5" s="168" t="s">
        <v>216</v>
      </c>
      <c r="C5" s="35" t="s">
        <v>218</v>
      </c>
      <c r="D5" s="35" t="s">
        <v>253</v>
      </c>
      <c r="E5" s="139" t="s">
        <v>219</v>
      </c>
      <c r="F5" s="139" t="s">
        <v>220</v>
      </c>
      <c r="G5" s="139" t="s">
        <v>221</v>
      </c>
      <c r="H5" s="139" t="s">
        <v>222</v>
      </c>
      <c r="I5" s="139" t="s">
        <v>254</v>
      </c>
      <c r="J5" s="35" t="s">
        <v>294</v>
      </c>
      <c r="K5" s="35" t="s">
        <v>295</v>
      </c>
      <c r="L5" s="140" t="s">
        <v>296</v>
      </c>
    </row>
    <row r="6" spans="1:12" ht="12" customHeight="1">
      <c r="A6" s="169">
        <v>1</v>
      </c>
      <c r="B6" s="77" t="s">
        <v>297</v>
      </c>
      <c r="C6" s="170" t="s">
        <v>225</v>
      </c>
      <c r="D6" s="171">
        <v>2</v>
      </c>
      <c r="E6" s="172">
        <v>2487</v>
      </c>
      <c r="F6" s="172">
        <v>2870</v>
      </c>
      <c r="G6" s="172">
        <v>3050</v>
      </c>
      <c r="H6" s="201">
        <f t="shared" ref="H6:H9" si="0">ROUND(AVERAGE(E6:G6),2)</f>
        <v>2802.33</v>
      </c>
      <c r="I6" s="202">
        <f t="shared" ref="I6:I9" si="1">(H6*D6)</f>
        <v>5604.66</v>
      </c>
      <c r="J6" s="203">
        <v>60</v>
      </c>
      <c r="K6" s="204">
        <v>0.2</v>
      </c>
      <c r="L6" s="205">
        <f t="shared" ref="L6:L9" si="2">(I6-(I6*K6))/J6</f>
        <v>74.728800000000007</v>
      </c>
    </row>
    <row r="7" spans="1:12" ht="12" customHeight="1">
      <c r="A7" s="169">
        <v>2</v>
      </c>
      <c r="B7" s="77" t="s">
        <v>298</v>
      </c>
      <c r="C7" s="170" t="s">
        <v>225</v>
      </c>
      <c r="D7" s="171">
        <v>1</v>
      </c>
      <c r="E7" s="172">
        <v>118.11</v>
      </c>
      <c r="F7" s="172">
        <v>122.97</v>
      </c>
      <c r="G7" s="172">
        <v>137.49</v>
      </c>
      <c r="H7" s="201">
        <f t="shared" si="0"/>
        <v>126.19</v>
      </c>
      <c r="I7" s="202">
        <f t="shared" si="1"/>
        <v>126.19</v>
      </c>
      <c r="J7" s="203">
        <v>60</v>
      </c>
      <c r="K7" s="204">
        <v>0.2</v>
      </c>
      <c r="L7" s="205">
        <f t="shared" si="2"/>
        <v>1.6825333333333332</v>
      </c>
    </row>
    <row r="8" spans="1:12" ht="12" customHeight="1">
      <c r="A8" s="169">
        <v>3</v>
      </c>
      <c r="B8" s="206" t="s">
        <v>299</v>
      </c>
      <c r="C8" s="170" t="s">
        <v>225</v>
      </c>
      <c r="D8" s="171">
        <v>1</v>
      </c>
      <c r="E8" s="172">
        <v>1091.17</v>
      </c>
      <c r="F8" s="172">
        <v>1191.7</v>
      </c>
      <c r="G8" s="172">
        <v>1040</v>
      </c>
      <c r="H8" s="201">
        <f t="shared" si="0"/>
        <v>1107.6199999999999</v>
      </c>
      <c r="I8" s="202">
        <f t="shared" si="1"/>
        <v>1107.6199999999999</v>
      </c>
      <c r="J8" s="203">
        <v>60</v>
      </c>
      <c r="K8" s="204">
        <v>0.2</v>
      </c>
      <c r="L8" s="205">
        <f t="shared" si="2"/>
        <v>14.768266666666666</v>
      </c>
    </row>
    <row r="9" spans="1:12" ht="12" customHeight="1">
      <c r="A9" s="169">
        <v>4</v>
      </c>
      <c r="B9" s="77" t="s">
        <v>300</v>
      </c>
      <c r="C9" s="170" t="s">
        <v>225</v>
      </c>
      <c r="D9" s="171">
        <v>1</v>
      </c>
      <c r="E9" s="172">
        <v>638</v>
      </c>
      <c r="F9" s="172">
        <v>883.67</v>
      </c>
      <c r="G9" s="172">
        <v>950</v>
      </c>
      <c r="H9" s="201">
        <f t="shared" si="0"/>
        <v>823.89</v>
      </c>
      <c r="I9" s="202">
        <f t="shared" si="1"/>
        <v>823.89</v>
      </c>
      <c r="J9" s="203">
        <v>60</v>
      </c>
      <c r="K9" s="204">
        <v>0.2</v>
      </c>
      <c r="L9" s="205">
        <f t="shared" si="2"/>
        <v>10.985199999999999</v>
      </c>
    </row>
    <row r="10" spans="1:12" ht="12" customHeight="1">
      <c r="A10" s="286" t="s">
        <v>288</v>
      </c>
      <c r="B10" s="212"/>
      <c r="C10" s="212"/>
      <c r="D10" s="212"/>
      <c r="E10" s="212"/>
      <c r="F10" s="212"/>
      <c r="G10" s="212"/>
      <c r="H10" s="229"/>
      <c r="I10" s="207">
        <f>SUM(I6:I9)</f>
        <v>7662.36</v>
      </c>
      <c r="J10" s="208" t="s">
        <v>11</v>
      </c>
      <c r="K10" s="209" t="s">
        <v>11</v>
      </c>
      <c r="L10" s="157">
        <f>SUM(L6:L9)</f>
        <v>102.16480000000001</v>
      </c>
    </row>
    <row r="11" spans="1:12" ht="12" customHeight="1">
      <c r="E11" s="210"/>
      <c r="F11" s="210"/>
      <c r="G11" s="210"/>
      <c r="H11" s="210"/>
      <c r="I11" s="210"/>
      <c r="L11" s="210"/>
    </row>
  </sheetData>
  <customSheetViews>
    <customSheetView guid="{6D24B9B6-1DB4-467A-A52B-82FB90AE40F0}" filter="1" showAutoFilter="1">
      <pageMargins left="0.511811024" right="0.511811024" top="0.78740157499999996" bottom="0.78740157499999996" header="0.31496062000000002" footer="0.31496062000000002"/>
      <autoFilter ref="A4:L11" xr:uid="{00000000-0000-0000-0000-000000000000}"/>
    </customSheetView>
  </customSheetViews>
  <mergeCells count="4">
    <mergeCell ref="A1:L1"/>
    <mergeCell ref="A2:L2"/>
    <mergeCell ref="A4:L4"/>
    <mergeCell ref="A10:H10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MÃO DE OBRA</vt:lpstr>
      <vt:lpstr>UNIFORMES e EPI's</vt:lpstr>
      <vt:lpstr>INSUMOS e MATERIAIS</vt:lpstr>
      <vt:lpstr>EQUIPAMENTOS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Administrativo</cp:lastModifiedBy>
  <dcterms:modified xsi:type="dcterms:W3CDTF">2021-02-09T16:10:43Z</dcterms:modified>
</cp:coreProperties>
</file>