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80" yWindow="1080" windowWidth="19380" windowHeight="12720" tabRatio="892" activeTab="1"/>
  </bookViews>
  <sheets>
    <sheet name="REPACTUAÇÃO 2014" sheetId="100" r:id="rId1"/>
    <sheet name="Resumo" sheetId="16" r:id="rId2"/>
    <sheet name="QUEDAS DO IGUAÇU" sheetId="122" r:id="rId3"/>
    <sheet name="GOIOERÊ" sheetId="120" r:id="rId4"/>
    <sheet name="GOIOERÊ SERVENTE+COPEIRA" sheetId="121" r:id="rId5"/>
    <sheet name="COLOMBO" sheetId="117" r:id="rId6"/>
    <sheet name="CAPANEMA" sheetId="116" r:id="rId7"/>
    <sheet name="BARRACÃO" sheetId="115" r:id="rId8"/>
    <sheet name="JAGUARIAIVA" sheetId="102" r:id="rId9"/>
    <sheet name="Jaguariaiva (servente+Copei" sheetId="114" r:id="rId10"/>
    <sheet name="PARANAGUÁ (SERVENTE+COPEIRA)" sheetId="101" r:id="rId11"/>
    <sheet name="CEL. VIVIDA" sheetId="113" r:id="rId12"/>
    <sheet name="Pinhais" sheetId="103" r:id="rId13"/>
    <sheet name="Pinhais (servente+Copei)" sheetId="104" r:id="rId14"/>
    <sheet name="PITANGA" sheetId="105" r:id="rId15"/>
    <sheet name="PITANGA (servente+Copei)" sheetId="106" r:id="rId16"/>
    <sheet name="UNIÃO DA VITÓRIA" sheetId="107" r:id="rId17"/>
    <sheet name="UNIÃODAVIT (servente+Copei)" sheetId="108" r:id="rId18"/>
    <sheet name="CURITIBA (servente copeira )" sheetId="86" r:id="rId19"/>
    <sheet name="CURITIBA" sheetId="1" r:id="rId20"/>
    <sheet name="ASSIS" sheetId="70" r:id="rId21"/>
    <sheet name="CAMPO LARGO (servente copeira)" sheetId="90" r:id="rId22"/>
    <sheet name="CAMPO LARGO" sheetId="71" r:id="rId23"/>
    <sheet name="FOZ DO IGUAÇU (servente copeir)" sheetId="87" r:id="rId24"/>
    <sheet name="FOZ DO IGUAÇU" sheetId="72" r:id="rId25"/>
    <sheet name="IRATI (servente copeira)" sheetId="88" r:id="rId26"/>
    <sheet name="IRATI" sheetId="73" r:id="rId27"/>
    <sheet name="IVAIPORÃ (servente copeira)" sheetId="91" r:id="rId28"/>
    <sheet name="IVAIPORÃ" sheetId="74" r:id="rId29"/>
    <sheet name="JACAREZINHO (servente copeira)" sheetId="89" r:id="rId30"/>
    <sheet name="JACAREZINHO" sheetId="75" r:id="rId31"/>
    <sheet name="LONDRINA (servente copeira)" sheetId="97" r:id="rId32"/>
    <sheet name="LONDRINA" sheetId="76" r:id="rId33"/>
    <sheet name="PALMAS (servente copeira)" sheetId="92" r:id="rId34"/>
    <sheet name="PALMAS" sheetId="77" r:id="rId35"/>
    <sheet name="ASTORGA" sheetId="112" r:id="rId36"/>
    <sheet name="ASTORGA (SERVENTE COPEIRA) " sheetId="111" r:id="rId37"/>
    <sheet name="PARANAGUA" sheetId="78" r:id="rId38"/>
    <sheet name="PARANAVAI (servente copeira)" sheetId="93" r:id="rId39"/>
    <sheet name="PARANAVAI" sheetId="79" r:id="rId40"/>
    <sheet name="CASCAVEL" sheetId="110" r:id="rId41"/>
    <sheet name="CASCAVEL (servente copeira)" sheetId="96" r:id="rId42"/>
    <sheet name="TELEMACO (servente copeira)" sheetId="94" r:id="rId43"/>
    <sheet name="TELEMACO BORBA" sheetId="80" r:id="rId44"/>
    <sheet name="UMUARAMA" sheetId="81" r:id="rId45"/>
    <sheet name="UMUARAMA (servente copeira) " sheetId="99" r:id="rId46"/>
    <sheet name="ENCARREGADO GERAL" sheetId="82" r:id="rId47"/>
    <sheet name="ENCARREGADO REG I" sheetId="83" r:id="rId48"/>
    <sheet name="ENCARREGADO REG II" sheetId="84" r:id="rId49"/>
    <sheet name="ENCARREGADO REG III" sheetId="85" r:id="rId50"/>
    <sheet name="Memoria de calculo" sheetId="69" r:id="rId51"/>
    <sheet name="area" sheetId="95" r:id="rId52"/>
    <sheet name="Material de limpeza" sheetId="66" r:id="rId53"/>
    <sheet name="Equipamentos" sheetId="67" r:id="rId54"/>
    <sheet name="Epi's" sheetId="68" r:id="rId55"/>
    <sheet name="Material de limpeza (2)" sheetId="109" r:id="rId56"/>
  </sheets>
  <externalReferences>
    <externalReference r:id="rId57"/>
  </externalReferences>
  <definedNames>
    <definedName name="_xlnm._FilterDatabase" localSheetId="51" hidden="1">area!#REF!</definedName>
    <definedName name="_xlnm._FilterDatabase" localSheetId="20" hidden="1">ASSIS!#REF!</definedName>
    <definedName name="_xlnm._FilterDatabase" localSheetId="35" hidden="1">ASTORGA!#REF!</definedName>
    <definedName name="_xlnm._FilterDatabase" localSheetId="7" hidden="1">BARRACÃO!#REF!</definedName>
    <definedName name="_xlnm._FilterDatabase" localSheetId="22" hidden="1">'CAMPO LARGO'!#REF!</definedName>
    <definedName name="_xlnm._FilterDatabase" localSheetId="6" hidden="1">CAPANEMA!#REF!</definedName>
    <definedName name="_xlnm._FilterDatabase" localSheetId="40" hidden="1">CASCAVEL!#REF!</definedName>
    <definedName name="_xlnm._FilterDatabase" localSheetId="11" hidden="1">'CEL. VIVIDA'!#REF!</definedName>
    <definedName name="_xlnm._FilterDatabase" localSheetId="5" hidden="1">COLOMBO!#REF!</definedName>
    <definedName name="_xlnm._FilterDatabase" localSheetId="19" hidden="1">CURITIBA!#REF!</definedName>
    <definedName name="_xlnm._FilterDatabase" localSheetId="18" hidden="1">'CURITIBA (servente copeira )'!#REF!</definedName>
    <definedName name="_xlnm._FilterDatabase" localSheetId="46" hidden="1">'ENCARREGADO GERAL'!#REF!</definedName>
    <definedName name="_xlnm._FilterDatabase" localSheetId="47" hidden="1">'ENCARREGADO REG I'!#REF!</definedName>
    <definedName name="_xlnm._FilterDatabase" localSheetId="48" hidden="1">'ENCARREGADO REG II'!#REF!</definedName>
    <definedName name="_xlnm._FilterDatabase" localSheetId="49" hidden="1">'ENCARREGADO REG III'!#REF!</definedName>
    <definedName name="_xlnm._FilterDatabase" localSheetId="24" hidden="1">'FOZ DO IGUAÇU'!#REF!</definedName>
    <definedName name="_xlnm._FilterDatabase" localSheetId="23" hidden="1">'FOZ DO IGUAÇU (servente copeir)'!#REF!</definedName>
    <definedName name="_xlnm._FilterDatabase" localSheetId="3" hidden="1">GOIOERÊ!#REF!</definedName>
    <definedName name="_xlnm._FilterDatabase" localSheetId="4" hidden="1">'GOIOERÊ SERVENTE+COPEIRA'!#REF!</definedName>
    <definedName name="_xlnm._FilterDatabase" localSheetId="26" hidden="1">IRATI!#REF!</definedName>
    <definedName name="_xlnm._FilterDatabase" localSheetId="25" hidden="1">'IRATI (servente copeira)'!#REF!</definedName>
    <definedName name="_xlnm._FilterDatabase" localSheetId="28" hidden="1">IVAIPORÃ!#REF!</definedName>
    <definedName name="_xlnm._FilterDatabase" localSheetId="30" hidden="1">JACAREZINHO!#REF!</definedName>
    <definedName name="_xlnm._FilterDatabase" localSheetId="29" hidden="1">'JACAREZINHO (servente copeira)'!#REF!</definedName>
    <definedName name="_xlnm._FilterDatabase" localSheetId="8" hidden="1">JAGUARIAIVA!#REF!</definedName>
    <definedName name="_xlnm._FilterDatabase" localSheetId="9" hidden="1">'Jaguariaiva (servente+Copei'!#REF!</definedName>
    <definedName name="_xlnm._FilterDatabase" localSheetId="32" hidden="1">LONDRINA!#REF!</definedName>
    <definedName name="_xlnm._FilterDatabase" localSheetId="34" hidden="1">PALMAS!#REF!</definedName>
    <definedName name="_xlnm._FilterDatabase" localSheetId="37" hidden="1">PARANAGUA!#REF!</definedName>
    <definedName name="_xlnm._FilterDatabase" localSheetId="10" hidden="1">'PARANAGUÁ (SERVENTE+COPEIRA)'!#REF!</definedName>
    <definedName name="_xlnm._FilterDatabase" localSheetId="39" hidden="1">PARANAVAI!#REF!</definedName>
    <definedName name="_xlnm._FilterDatabase" localSheetId="12" hidden="1">Pinhais!#REF!</definedName>
    <definedName name="_xlnm._FilterDatabase" localSheetId="13" hidden="1">'Pinhais (servente+Copei)'!#REF!</definedName>
    <definedName name="_xlnm._FilterDatabase" localSheetId="14" hidden="1">PITANGA!#REF!</definedName>
    <definedName name="_xlnm._FilterDatabase" localSheetId="15" hidden="1">'PITANGA (servente+Copei)'!#REF!</definedName>
    <definedName name="_xlnm._FilterDatabase" localSheetId="2" hidden="1">'QUEDAS DO IGUAÇU'!#REF!</definedName>
    <definedName name="_xlnm._FilterDatabase" localSheetId="43" hidden="1">'TELEMACO BORBA'!#REF!</definedName>
    <definedName name="_xlnm._FilterDatabase" localSheetId="44" hidden="1">UMUARAMA!#REF!</definedName>
    <definedName name="_xlnm._FilterDatabase" localSheetId="16" hidden="1">'UNIÃO DA VITÓRIA'!#REF!</definedName>
    <definedName name="_xlnm._FilterDatabase" localSheetId="17" hidden="1">'UNIÃODAVIT (servente+Copei)'!#REF!</definedName>
    <definedName name="_xlnm.Print_Area" localSheetId="51">area!$A$1:$H$9</definedName>
    <definedName name="_xlnm.Print_Area" localSheetId="20">ASSIS!$A$1:$E$140</definedName>
    <definedName name="_xlnm.Print_Area" localSheetId="35">ASTORGA!$A$1:$E$139</definedName>
    <definedName name="_xlnm.Print_Area" localSheetId="36">'ASTORGA (SERVENTE COPEIRA) '!$A$1:$E$139</definedName>
    <definedName name="_xlnm.Print_Area" localSheetId="7">BARRACÃO!$A$1:$E$139</definedName>
    <definedName name="_xlnm.Print_Area" localSheetId="22">'CAMPO LARGO'!$A$1:$E$139</definedName>
    <definedName name="_xlnm.Print_Area" localSheetId="21">'CAMPO LARGO (servente copeira)'!$A$1:$E$141</definedName>
    <definedName name="_xlnm.Print_Area" localSheetId="6">CAPANEMA!$A$1:$E$139</definedName>
    <definedName name="_xlnm.Print_Area" localSheetId="40">CASCAVEL!$A$1:$E$139</definedName>
    <definedName name="_xlnm.Print_Area" localSheetId="41">'CASCAVEL (servente copeira)'!$A$1:$G$139</definedName>
    <definedName name="_xlnm.Print_Area" localSheetId="11">'CEL. VIVIDA'!$A$1:$E$147</definedName>
    <definedName name="_xlnm.Print_Area" localSheetId="5">COLOMBO!$A$1:$E$139</definedName>
    <definedName name="_xlnm.Print_Area" localSheetId="19">CURITIBA!$A$1:$E$141</definedName>
    <definedName name="_xlnm.Print_Area" localSheetId="18">'CURITIBA (servente copeira )'!$A$1:$E$139</definedName>
    <definedName name="_xlnm.Print_Area" localSheetId="46">'ENCARREGADO GERAL'!$A$1:$E$139</definedName>
    <definedName name="_xlnm.Print_Area" localSheetId="47">'ENCARREGADO REG I'!$A$1:$E$139</definedName>
    <definedName name="_xlnm.Print_Area" localSheetId="48">'ENCARREGADO REG II'!$A$1:$E$139</definedName>
    <definedName name="_xlnm.Print_Area" localSheetId="49">'ENCARREGADO REG III'!$A$1:$E$139</definedName>
    <definedName name="_xlnm.Print_Area" localSheetId="24">'FOZ DO IGUAÇU'!$A$1:$E$139</definedName>
    <definedName name="_xlnm.Print_Area" localSheetId="23">'FOZ DO IGUAÇU (servente copeir)'!$A$1:$E$139</definedName>
    <definedName name="_xlnm.Print_Area" localSheetId="3">GOIOERÊ!$A$1:$E$147</definedName>
    <definedName name="_xlnm.Print_Area" localSheetId="4">'GOIOERÊ SERVENTE+COPEIRA'!$A$1:$E$147</definedName>
    <definedName name="_xlnm.Print_Area" localSheetId="26">IRATI!$A$1:$E$139</definedName>
    <definedName name="_xlnm.Print_Area" localSheetId="25">'IRATI (servente copeira)'!$A$1:$E$139</definedName>
    <definedName name="_xlnm.Print_Area" localSheetId="28">IVAIPORÃ!$A$1:$E$139</definedName>
    <definedName name="_xlnm.Print_Area" localSheetId="27">'IVAIPORÃ (servente copeira)'!$A$1:$E$139</definedName>
    <definedName name="_xlnm.Print_Area" localSheetId="30">JACAREZINHO!$A$1:$E$139</definedName>
    <definedName name="_xlnm.Print_Area" localSheetId="29">'JACAREZINHO (servente copeira)'!$A$1:$E$139</definedName>
    <definedName name="_xlnm.Print_Area" localSheetId="8">JAGUARIAIVA!$A$1:$E$147</definedName>
    <definedName name="_xlnm.Print_Area" localSheetId="9">'Jaguariaiva (servente+Copei'!$A$1:$E$147</definedName>
    <definedName name="_xlnm.Print_Area" localSheetId="32">LONDRINA!$A$1:$E$139</definedName>
    <definedName name="_xlnm.Print_Area" localSheetId="31">'LONDRINA (servente copeira)'!$A$1:$E$139</definedName>
    <definedName name="_xlnm.Print_Area" localSheetId="55">'Material de limpeza (2)'!$A$1:$F$53</definedName>
    <definedName name="_xlnm.Print_Area" localSheetId="34">PALMAS!$A$1:$E$139</definedName>
    <definedName name="_xlnm.Print_Area" localSheetId="33">'PALMAS (servente copeira)'!$A$1:$E$139</definedName>
    <definedName name="_xlnm.Print_Area" localSheetId="37">PARANAGUA!$A$1:$E$139</definedName>
    <definedName name="_xlnm.Print_Area" localSheetId="10">'PARANAGUÁ (SERVENTE+COPEIRA)'!$A$1:$E$147</definedName>
    <definedName name="_xlnm.Print_Area" localSheetId="39">PARANAVAI!$A$1:$E$139</definedName>
    <definedName name="_xlnm.Print_Area" localSheetId="38">'PARANAVAI (servente copeira)'!$A$1:$E$139</definedName>
    <definedName name="_xlnm.Print_Area" localSheetId="12">Pinhais!$A$1:$E$147</definedName>
    <definedName name="_xlnm.Print_Area" localSheetId="13">'Pinhais (servente+Copei)'!$A$1:$E$147</definedName>
    <definedName name="_xlnm.Print_Area" localSheetId="14">PITANGA!$A$1:$E$147</definedName>
    <definedName name="_xlnm.Print_Area" localSheetId="15">'PITANGA (servente+Copei)'!$A$1:$E$147</definedName>
    <definedName name="_xlnm.Print_Area" localSheetId="2">'QUEDAS DO IGUAÇU'!$A$1:$E$147</definedName>
    <definedName name="_xlnm.Print_Area" localSheetId="1">Resumo!$A$1:$O$104</definedName>
    <definedName name="_xlnm.Print_Area" localSheetId="42">'TELEMACO (servente copeira)'!$A$1:$E$139</definedName>
    <definedName name="_xlnm.Print_Area" localSheetId="43">'TELEMACO BORBA'!$A$1:$E$139</definedName>
    <definedName name="_xlnm.Print_Area" localSheetId="44">UMUARAMA!$A$1:$E$139</definedName>
    <definedName name="_xlnm.Print_Area" localSheetId="45">'UMUARAMA (servente copeira) '!$A$1:$H$139</definedName>
    <definedName name="_xlnm.Print_Area" localSheetId="16">'UNIÃO DA VITÓRIA'!$A$1:$E$147</definedName>
    <definedName name="_xlnm.Print_Area" localSheetId="17">'UNIÃODAVIT (servente+Copei)'!$A$1:$E$147</definedName>
  </definedNames>
  <calcPr calcId="145621" fullPrecision="0"/>
</workbook>
</file>

<file path=xl/calcChain.xml><?xml version="1.0" encoding="utf-8"?>
<calcChain xmlns="http://schemas.openxmlformats.org/spreadsheetml/2006/main">
  <c r="E67" i="16" l="1"/>
  <c r="E91" i="16"/>
  <c r="E80" i="16"/>
  <c r="F52" i="109" l="1"/>
  <c r="D38" i="85"/>
  <c r="D38" i="84"/>
  <c r="D38" i="83"/>
  <c r="D38" i="99"/>
  <c r="D38" i="81"/>
  <c r="D38" i="80"/>
  <c r="D38" i="94"/>
  <c r="D38" i="96"/>
  <c r="D38" i="110"/>
  <c r="D38" i="79"/>
  <c r="D38" i="93"/>
  <c r="D38" i="78"/>
  <c r="D38" i="111"/>
  <c r="D38" i="112"/>
  <c r="D38" i="77"/>
  <c r="D38" i="92"/>
  <c r="D38" i="76"/>
  <c r="D38" i="97"/>
  <c r="D38" i="75"/>
  <c r="D38" i="89"/>
  <c r="D38" i="74"/>
  <c r="D38" i="91"/>
  <c r="D38" i="73"/>
  <c r="D38" i="88"/>
  <c r="D38" i="72"/>
  <c r="D38" i="87"/>
  <c r="D38" i="71"/>
  <c r="D38" i="90"/>
  <c r="D38" i="70"/>
  <c r="D38" i="1"/>
  <c r="D38" i="86"/>
  <c r="D38" i="108"/>
  <c r="D38" i="107"/>
  <c r="D38" i="106"/>
  <c r="D38" i="105"/>
  <c r="D38" i="104"/>
  <c r="D38" i="103"/>
  <c r="D38" i="113"/>
  <c r="D38" i="101"/>
  <c r="D38" i="114"/>
  <c r="D38" i="102"/>
  <c r="D38" i="115"/>
  <c r="D38" i="116"/>
  <c r="D38" i="117"/>
  <c r="D38" i="121"/>
  <c r="D38" i="120"/>
  <c r="D38" i="122"/>
  <c r="F30" i="100"/>
  <c r="F15" i="100"/>
  <c r="F14" i="100"/>
  <c r="F13" i="100"/>
  <c r="G95" i="16" l="1"/>
  <c r="G94" i="16"/>
  <c r="G93" i="16"/>
  <c r="F113" i="122"/>
  <c r="C94" i="122"/>
  <c r="C81" i="122"/>
  <c r="C80" i="122"/>
  <c r="C73" i="122"/>
  <c r="C74" i="122" s="1"/>
  <c r="C69" i="122"/>
  <c r="C101" i="122" s="1"/>
  <c r="C67" i="122"/>
  <c r="D56" i="122"/>
  <c r="D55" i="122"/>
  <c r="D54" i="122"/>
  <c r="D53" i="122"/>
  <c r="D48" i="122"/>
  <c r="D47" i="122"/>
  <c r="D46" i="122"/>
  <c r="D45" i="122"/>
  <c r="C44" i="122"/>
  <c r="D44" i="122" s="1"/>
  <c r="D37" i="122"/>
  <c r="C23" i="122"/>
  <c r="D29" i="122" s="1"/>
  <c r="D43" i="122" s="1"/>
  <c r="F113" i="121"/>
  <c r="C94" i="121"/>
  <c r="C81" i="121"/>
  <c r="C80" i="121"/>
  <c r="C73" i="121"/>
  <c r="C74" i="121" s="1"/>
  <c r="C69" i="121"/>
  <c r="C101" i="121" s="1"/>
  <c r="C67" i="121"/>
  <c r="D56" i="121"/>
  <c r="D55" i="121"/>
  <c r="D54" i="121"/>
  <c r="D53" i="121"/>
  <c r="D48" i="121"/>
  <c r="D47" i="121"/>
  <c r="D46" i="121"/>
  <c r="D45" i="121"/>
  <c r="C44" i="121"/>
  <c r="D44" i="121" s="1"/>
  <c r="D37" i="121"/>
  <c r="D30" i="121"/>
  <c r="C23" i="121"/>
  <c r="D29" i="121" s="1"/>
  <c r="F113" i="120"/>
  <c r="C94" i="120"/>
  <c r="C81" i="120"/>
  <c r="C80" i="120"/>
  <c r="C73" i="120"/>
  <c r="C74" i="120" s="1"/>
  <c r="C69" i="120"/>
  <c r="C101" i="120" s="1"/>
  <c r="C67" i="120"/>
  <c r="D56" i="120"/>
  <c r="D55" i="120"/>
  <c r="D54" i="120"/>
  <c r="D53" i="120"/>
  <c r="D48" i="120"/>
  <c r="D47" i="120"/>
  <c r="D46" i="120"/>
  <c r="D45" i="120"/>
  <c r="C44" i="120"/>
  <c r="D44" i="120" s="1"/>
  <c r="D37" i="120"/>
  <c r="C23" i="120"/>
  <c r="D29" i="120" s="1"/>
  <c r="D43" i="120" s="1"/>
  <c r="G92" i="16"/>
  <c r="F113" i="117"/>
  <c r="C94" i="117"/>
  <c r="C81" i="117"/>
  <c r="C80" i="117"/>
  <c r="C73" i="117"/>
  <c r="C74" i="117" s="1"/>
  <c r="C67" i="117"/>
  <c r="C69" i="117" s="1"/>
  <c r="D56" i="117"/>
  <c r="D55" i="117"/>
  <c r="D54" i="117"/>
  <c r="D53" i="117"/>
  <c r="D48" i="117"/>
  <c r="D47" i="117"/>
  <c r="D46" i="117"/>
  <c r="D45" i="117"/>
  <c r="C44" i="117"/>
  <c r="D44" i="117" s="1"/>
  <c r="D37" i="117"/>
  <c r="D30" i="117"/>
  <c r="C23" i="117"/>
  <c r="D29" i="117" s="1"/>
  <c r="D43" i="117" s="1"/>
  <c r="F113" i="116"/>
  <c r="C94" i="116"/>
  <c r="C81" i="116"/>
  <c r="C80" i="116"/>
  <c r="C73" i="116"/>
  <c r="C74" i="116" s="1"/>
  <c r="C69" i="116"/>
  <c r="C101" i="116" s="1"/>
  <c r="C67" i="116"/>
  <c r="D56" i="116"/>
  <c r="D55" i="116"/>
  <c r="D54" i="116"/>
  <c r="D53" i="116"/>
  <c r="D48" i="116"/>
  <c r="D47" i="116"/>
  <c r="D46" i="116"/>
  <c r="D45" i="116"/>
  <c r="C44" i="116"/>
  <c r="D44" i="116" s="1"/>
  <c r="D37" i="116"/>
  <c r="D30" i="116"/>
  <c r="C23" i="116"/>
  <c r="D29" i="116" s="1"/>
  <c r="F113" i="115"/>
  <c r="C94" i="115"/>
  <c r="C81" i="115"/>
  <c r="C80" i="115"/>
  <c r="C73" i="115"/>
  <c r="C74" i="115" s="1"/>
  <c r="C69" i="115"/>
  <c r="C101" i="115" s="1"/>
  <c r="C67" i="115"/>
  <c r="D56" i="115"/>
  <c r="D55" i="115"/>
  <c r="D54" i="115"/>
  <c r="D53" i="115"/>
  <c r="D48" i="115"/>
  <c r="D47" i="115"/>
  <c r="D46" i="115"/>
  <c r="D45" i="115"/>
  <c r="C44" i="115"/>
  <c r="D44" i="115" s="1"/>
  <c r="D37" i="115"/>
  <c r="D30" i="115"/>
  <c r="C23" i="115"/>
  <c r="D29" i="115" s="1"/>
  <c r="G91" i="16"/>
  <c r="G90" i="16"/>
  <c r="D49" i="117" l="1"/>
  <c r="D121" i="117" s="1"/>
  <c r="D57" i="121"/>
  <c r="D122" i="121" s="1"/>
  <c r="D57" i="122"/>
  <c r="D122" i="122" s="1"/>
  <c r="D57" i="120"/>
  <c r="D122" i="120" s="1"/>
  <c r="D49" i="120"/>
  <c r="D121" i="120" s="1"/>
  <c r="D49" i="122"/>
  <c r="D121" i="122" s="1"/>
  <c r="D57" i="115"/>
  <c r="D122" i="115" s="1"/>
  <c r="D57" i="116"/>
  <c r="D122" i="116" s="1"/>
  <c r="D57" i="117"/>
  <c r="D122" i="117" s="1"/>
  <c r="C85" i="122"/>
  <c r="C102" i="122" s="1"/>
  <c r="C75" i="122"/>
  <c r="C76" i="122" s="1"/>
  <c r="C100" i="122" s="1"/>
  <c r="C105" i="122" s="1"/>
  <c r="C83" i="122"/>
  <c r="D39" i="122"/>
  <c r="C95" i="122"/>
  <c r="C96" i="122" s="1"/>
  <c r="C103" i="122" s="1"/>
  <c r="D43" i="121"/>
  <c r="D49" i="121" s="1"/>
  <c r="D121" i="121" s="1"/>
  <c r="D39" i="121"/>
  <c r="C75" i="121"/>
  <c r="C76" i="121" s="1"/>
  <c r="C100" i="121" s="1"/>
  <c r="C83" i="121"/>
  <c r="C85" i="121" s="1"/>
  <c r="C102" i="121" s="1"/>
  <c r="C95" i="121"/>
  <c r="C96" i="121" s="1"/>
  <c r="C103" i="121" s="1"/>
  <c r="C75" i="120"/>
  <c r="C76" i="120" s="1"/>
  <c r="C100" i="120" s="1"/>
  <c r="C83" i="120"/>
  <c r="C85" i="120" s="1"/>
  <c r="C102" i="120" s="1"/>
  <c r="D39" i="120"/>
  <c r="C95" i="120"/>
  <c r="C96" i="120" s="1"/>
  <c r="C103" i="120" s="1"/>
  <c r="C101" i="117"/>
  <c r="C95" i="117"/>
  <c r="C96" i="117" s="1"/>
  <c r="C103" i="117" s="1"/>
  <c r="C83" i="117"/>
  <c r="C75" i="117"/>
  <c r="C76" i="117" s="1"/>
  <c r="C100" i="117" s="1"/>
  <c r="C105" i="117" s="1"/>
  <c r="C85" i="117"/>
  <c r="C102" i="117" s="1"/>
  <c r="D39" i="117"/>
  <c r="D43" i="116"/>
  <c r="D49" i="116" s="1"/>
  <c r="D121" i="116" s="1"/>
  <c r="D39" i="116"/>
  <c r="C75" i="116"/>
  <c r="C76" i="116" s="1"/>
  <c r="C100" i="116" s="1"/>
  <c r="C83" i="116"/>
  <c r="C85" i="116" s="1"/>
  <c r="C102" i="116" s="1"/>
  <c r="C95" i="116"/>
  <c r="C96" i="116" s="1"/>
  <c r="C103" i="116" s="1"/>
  <c r="D43" i="115"/>
  <c r="D49" i="115" s="1"/>
  <c r="D121" i="115" s="1"/>
  <c r="D39" i="115"/>
  <c r="C75" i="115"/>
  <c r="C76" i="115" s="1"/>
  <c r="C100" i="115" s="1"/>
  <c r="C83" i="115"/>
  <c r="C85" i="115" s="1"/>
  <c r="C102" i="115" s="1"/>
  <c r="C95" i="115"/>
  <c r="C96" i="115" s="1"/>
  <c r="C103" i="115" s="1"/>
  <c r="G80" i="16"/>
  <c r="F113" i="114"/>
  <c r="C94" i="114"/>
  <c r="C81" i="114"/>
  <c r="C80" i="114"/>
  <c r="C73" i="114"/>
  <c r="C74" i="114" s="1"/>
  <c r="C69" i="114"/>
  <c r="C101" i="114" s="1"/>
  <c r="C67" i="114"/>
  <c r="D56" i="114"/>
  <c r="D55" i="114"/>
  <c r="D54" i="114"/>
  <c r="D53" i="114"/>
  <c r="D48" i="114"/>
  <c r="D47" i="114"/>
  <c r="D46" i="114"/>
  <c r="D45" i="114"/>
  <c r="C44" i="114"/>
  <c r="D44" i="114" s="1"/>
  <c r="D37" i="114"/>
  <c r="D30" i="114"/>
  <c r="C23" i="114"/>
  <c r="D29" i="114" s="1"/>
  <c r="D57" i="114" l="1"/>
  <c r="D122" i="114" s="1"/>
  <c r="D120" i="122"/>
  <c r="D92" i="122"/>
  <c r="D90" i="122"/>
  <c r="D88" i="122"/>
  <c r="D83" i="122"/>
  <c r="D82" i="122"/>
  <c r="D75" i="122"/>
  <c r="D73" i="122"/>
  <c r="D72" i="122"/>
  <c r="D67" i="122"/>
  <c r="D66" i="122"/>
  <c r="D64" i="122"/>
  <c r="D62" i="122"/>
  <c r="D105" i="122"/>
  <c r="D103" i="122"/>
  <c r="D102" i="122"/>
  <c r="D101" i="122"/>
  <c r="D100" i="122"/>
  <c r="D95" i="122"/>
  <c r="D94" i="122"/>
  <c r="D93" i="122"/>
  <c r="D91" i="122"/>
  <c r="D89" i="122"/>
  <c r="D84" i="122"/>
  <c r="D81" i="122"/>
  <c r="D80" i="122"/>
  <c r="D79" i="122"/>
  <c r="D68" i="122"/>
  <c r="D65" i="122"/>
  <c r="D63" i="122"/>
  <c r="D61" i="122"/>
  <c r="C105" i="121"/>
  <c r="D120" i="121"/>
  <c r="D92" i="121"/>
  <c r="D90" i="121"/>
  <c r="D88" i="121"/>
  <c r="D83" i="121"/>
  <c r="D82" i="121"/>
  <c r="D75" i="121"/>
  <c r="D73" i="121"/>
  <c r="D72" i="121"/>
  <c r="D67" i="121"/>
  <c r="D66" i="121"/>
  <c r="D64" i="121"/>
  <c r="D62" i="121"/>
  <c r="D105" i="121"/>
  <c r="D103" i="121"/>
  <c r="D102" i="121"/>
  <c r="D101" i="121"/>
  <c r="D100" i="121"/>
  <c r="D95" i="121"/>
  <c r="D94" i="121"/>
  <c r="D93" i="121"/>
  <c r="D91" i="121"/>
  <c r="D89" i="121"/>
  <c r="D84" i="121"/>
  <c r="D81" i="121"/>
  <c r="D80" i="121"/>
  <c r="D79" i="121"/>
  <c r="D68" i="121"/>
  <c r="D65" i="121"/>
  <c r="D63" i="121"/>
  <c r="D61" i="121"/>
  <c r="D120" i="120"/>
  <c r="D92" i="120"/>
  <c r="D90" i="120"/>
  <c r="D88" i="120"/>
  <c r="D83" i="120"/>
  <c r="D82" i="120"/>
  <c r="D75" i="120"/>
  <c r="D73" i="120"/>
  <c r="D72" i="120"/>
  <c r="D67" i="120"/>
  <c r="D66" i="120"/>
  <c r="D64" i="120"/>
  <c r="D62" i="120"/>
  <c r="D103" i="120"/>
  <c r="D102" i="120"/>
  <c r="D101" i="120"/>
  <c r="D100" i="120"/>
  <c r="D95" i="120"/>
  <c r="D94" i="120"/>
  <c r="D93" i="120"/>
  <c r="D91" i="120"/>
  <c r="D89" i="120"/>
  <c r="D84" i="120"/>
  <c r="D81" i="120"/>
  <c r="D80" i="120"/>
  <c r="D79" i="120"/>
  <c r="D68" i="120"/>
  <c r="D65" i="120"/>
  <c r="D63" i="120"/>
  <c r="D61" i="120"/>
  <c r="C105" i="120"/>
  <c r="D105" i="120" s="1"/>
  <c r="D120" i="117"/>
  <c r="D92" i="117"/>
  <c r="D90" i="117"/>
  <c r="D88" i="117"/>
  <c r="D83" i="117"/>
  <c r="D82" i="117"/>
  <c r="D75" i="117"/>
  <c r="D73" i="117"/>
  <c r="D72" i="117"/>
  <c r="D67" i="117"/>
  <c r="D66" i="117"/>
  <c r="D64" i="117"/>
  <c r="D62" i="117"/>
  <c r="D105" i="117"/>
  <c r="D103" i="117"/>
  <c r="D102" i="117"/>
  <c r="D101" i="117"/>
  <c r="D100" i="117"/>
  <c r="D95" i="117"/>
  <c r="D94" i="117"/>
  <c r="D93" i="117"/>
  <c r="D91" i="117"/>
  <c r="D89" i="117"/>
  <c r="D84" i="117"/>
  <c r="D81" i="117"/>
  <c r="D80" i="117"/>
  <c r="D79" i="117"/>
  <c r="D68" i="117"/>
  <c r="D65" i="117"/>
  <c r="D63" i="117"/>
  <c r="D61" i="117"/>
  <c r="D120" i="116"/>
  <c r="D92" i="116"/>
  <c r="D90" i="116"/>
  <c r="D88" i="116"/>
  <c r="D83" i="116"/>
  <c r="D82" i="116"/>
  <c r="D75" i="116"/>
  <c r="D73" i="116"/>
  <c r="D72" i="116"/>
  <c r="D67" i="116"/>
  <c r="D66" i="116"/>
  <c r="D64" i="116"/>
  <c r="D62" i="116"/>
  <c r="D103" i="116"/>
  <c r="D102" i="116"/>
  <c r="D101" i="116"/>
  <c r="D100" i="116"/>
  <c r="D95" i="116"/>
  <c r="D94" i="116"/>
  <c r="D93" i="116"/>
  <c r="D91" i="116"/>
  <c r="D89" i="116"/>
  <c r="D84" i="116"/>
  <c r="D81" i="116"/>
  <c r="D80" i="116"/>
  <c r="D79" i="116"/>
  <c r="D68" i="116"/>
  <c r="D65" i="116"/>
  <c r="D63" i="116"/>
  <c r="D61" i="116"/>
  <c r="C105" i="116"/>
  <c r="D105" i="116" s="1"/>
  <c r="D120" i="115"/>
  <c r="D92" i="115"/>
  <c r="D90" i="115"/>
  <c r="D88" i="115"/>
  <c r="D83" i="115"/>
  <c r="D82" i="115"/>
  <c r="D75" i="115"/>
  <c r="D73" i="115"/>
  <c r="D72" i="115"/>
  <c r="D67" i="115"/>
  <c r="D66" i="115"/>
  <c r="D64" i="115"/>
  <c r="D62" i="115"/>
  <c r="D103" i="115"/>
  <c r="D102" i="115"/>
  <c r="D101" i="115"/>
  <c r="D100" i="115"/>
  <c r="D95" i="115"/>
  <c r="D94" i="115"/>
  <c r="D93" i="115"/>
  <c r="D91" i="115"/>
  <c r="D89" i="115"/>
  <c r="D84" i="115"/>
  <c r="D81" i="115"/>
  <c r="D80" i="115"/>
  <c r="D79" i="115"/>
  <c r="D68" i="115"/>
  <c r="D65" i="115"/>
  <c r="D63" i="115"/>
  <c r="D61" i="115"/>
  <c r="C105" i="115"/>
  <c r="D105" i="115" s="1"/>
  <c r="D43" i="114"/>
  <c r="D49" i="114" s="1"/>
  <c r="D121" i="114" s="1"/>
  <c r="D39" i="114"/>
  <c r="C75" i="114"/>
  <c r="C76" i="114" s="1"/>
  <c r="C100" i="114" s="1"/>
  <c r="C83" i="114"/>
  <c r="C85" i="114" s="1"/>
  <c r="C102" i="114" s="1"/>
  <c r="C95" i="114"/>
  <c r="C96" i="114" s="1"/>
  <c r="C103" i="114" s="1"/>
  <c r="G68" i="16"/>
  <c r="G55" i="16"/>
  <c r="D69" i="117" l="1"/>
  <c r="D85" i="117"/>
  <c r="D96" i="117"/>
  <c r="D74" i="117"/>
  <c r="D76" i="117" s="1"/>
  <c r="D69" i="120"/>
  <c r="D85" i="120"/>
  <c r="D96" i="120"/>
  <c r="D69" i="122"/>
  <c r="D85" i="122"/>
  <c r="D96" i="122"/>
  <c r="D74" i="122"/>
  <c r="D74" i="120"/>
  <c r="D76" i="120" s="1"/>
  <c r="D106" i="122"/>
  <c r="D123" i="122"/>
  <c r="D76" i="122"/>
  <c r="D124" i="122"/>
  <c r="D69" i="121"/>
  <c r="D85" i="121"/>
  <c r="D96" i="121"/>
  <c r="D74" i="121"/>
  <c r="D76" i="121" s="1"/>
  <c r="D106" i="121"/>
  <c r="D123" i="121"/>
  <c r="D124" i="121" s="1"/>
  <c r="D106" i="120"/>
  <c r="D123" i="120"/>
  <c r="D124" i="120" s="1"/>
  <c r="D106" i="117"/>
  <c r="D123" i="117"/>
  <c r="D124" i="117" s="1"/>
  <c r="D106" i="116"/>
  <c r="D123" i="116"/>
  <c r="D124" i="116" s="1"/>
  <c r="D69" i="116"/>
  <c r="D85" i="116"/>
  <c r="D96" i="116"/>
  <c r="D74" i="116"/>
  <c r="D76" i="116" s="1"/>
  <c r="D106" i="115"/>
  <c r="D123" i="115"/>
  <c r="D124" i="115" s="1"/>
  <c r="D69" i="115"/>
  <c r="D85" i="115"/>
  <c r="D96" i="115"/>
  <c r="D74" i="115"/>
  <c r="D76" i="115" s="1"/>
  <c r="C105" i="114"/>
  <c r="D120" i="114"/>
  <c r="D92" i="114"/>
  <c r="D90" i="114"/>
  <c r="D88" i="114"/>
  <c r="D83" i="114"/>
  <c r="D82" i="114"/>
  <c r="D75" i="114"/>
  <c r="D72" i="114"/>
  <c r="D67" i="114"/>
  <c r="D66" i="114"/>
  <c r="D64" i="114"/>
  <c r="D62" i="114"/>
  <c r="D105" i="114"/>
  <c r="D103" i="114"/>
  <c r="D102" i="114"/>
  <c r="D101" i="114"/>
  <c r="D100" i="114"/>
  <c r="D95" i="114"/>
  <c r="D94" i="114"/>
  <c r="D93" i="114"/>
  <c r="D91" i="114"/>
  <c r="D89" i="114"/>
  <c r="D84" i="114"/>
  <c r="D81" i="114"/>
  <c r="D80" i="114"/>
  <c r="D79" i="114"/>
  <c r="D68" i="114"/>
  <c r="D65" i="114"/>
  <c r="D63" i="114"/>
  <c r="D61" i="114"/>
  <c r="D73" i="114"/>
  <c r="A142" i="113"/>
  <c r="F113" i="113"/>
  <c r="C94" i="113"/>
  <c r="C81" i="113"/>
  <c r="C80" i="113"/>
  <c r="C73" i="113"/>
  <c r="C74" i="113" s="1"/>
  <c r="C67" i="113"/>
  <c r="C69" i="113" s="1"/>
  <c r="D56" i="113"/>
  <c r="C56" i="113"/>
  <c r="D55" i="113"/>
  <c r="C55" i="113"/>
  <c r="D54" i="113"/>
  <c r="D53" i="113"/>
  <c r="D48" i="113"/>
  <c r="D47" i="113"/>
  <c r="D46" i="113"/>
  <c r="D45" i="113"/>
  <c r="C44" i="113"/>
  <c r="D44" i="113" s="1"/>
  <c r="D43" i="113"/>
  <c r="D37" i="113"/>
  <c r="D39" i="113" s="1"/>
  <c r="C23" i="113"/>
  <c r="G89" i="16"/>
  <c r="C115" i="112"/>
  <c r="F113" i="112"/>
  <c r="C108" i="112"/>
  <c r="C94" i="112"/>
  <c r="C81" i="112"/>
  <c r="C80" i="112"/>
  <c r="C73" i="112"/>
  <c r="C74" i="112" s="1"/>
  <c r="C67" i="112"/>
  <c r="C69" i="112" s="1"/>
  <c r="D56" i="112"/>
  <c r="C56" i="112"/>
  <c r="D55" i="112"/>
  <c r="C55" i="112"/>
  <c r="D54" i="112"/>
  <c r="D53" i="112"/>
  <c r="D48" i="112"/>
  <c r="D47" i="112"/>
  <c r="D46" i="112"/>
  <c r="D45" i="112"/>
  <c r="C44" i="112"/>
  <c r="D44" i="112" s="1"/>
  <c r="D37" i="112"/>
  <c r="C23" i="112"/>
  <c r="D29" i="112" s="1"/>
  <c r="F113" i="111"/>
  <c r="C94" i="111"/>
  <c r="C81" i="111"/>
  <c r="C80" i="111"/>
  <c r="C73" i="111"/>
  <c r="C74" i="111" s="1"/>
  <c r="C69" i="111"/>
  <c r="C101" i="111" s="1"/>
  <c r="C67" i="111"/>
  <c r="D56" i="111"/>
  <c r="D55" i="111"/>
  <c r="D54" i="111"/>
  <c r="D53" i="111"/>
  <c r="D48" i="111"/>
  <c r="D47" i="111"/>
  <c r="D46" i="111"/>
  <c r="D45" i="111"/>
  <c r="C44" i="111"/>
  <c r="D44" i="111" s="1"/>
  <c r="D37" i="111"/>
  <c r="D30" i="111"/>
  <c r="C23" i="111"/>
  <c r="D29" i="111" s="1"/>
  <c r="G88" i="16"/>
  <c r="G87" i="16"/>
  <c r="G77" i="16"/>
  <c r="C115" i="110"/>
  <c r="F113" i="110"/>
  <c r="C108" i="110"/>
  <c r="C94" i="110"/>
  <c r="C81" i="110"/>
  <c r="C80" i="110"/>
  <c r="C73" i="110"/>
  <c r="C74" i="110" s="1"/>
  <c r="C69" i="110"/>
  <c r="C83" i="110" s="1"/>
  <c r="C67" i="110"/>
  <c r="C56" i="110"/>
  <c r="D56" i="110" s="1"/>
  <c r="C55" i="110"/>
  <c r="D55" i="110" s="1"/>
  <c r="D54" i="110"/>
  <c r="D53" i="110"/>
  <c r="D48" i="110"/>
  <c r="D47" i="110"/>
  <c r="D46" i="110"/>
  <c r="D45" i="110"/>
  <c r="D44" i="110"/>
  <c r="C44" i="110"/>
  <c r="D37" i="110"/>
  <c r="C23" i="110"/>
  <c r="D29" i="110" s="1"/>
  <c r="D57" i="113" l="1"/>
  <c r="D122" i="113" s="1"/>
  <c r="D69" i="114"/>
  <c r="D85" i="114"/>
  <c r="D96" i="114"/>
  <c r="D49" i="113"/>
  <c r="D121" i="113" s="1"/>
  <c r="D57" i="111"/>
  <c r="D122" i="111" s="1"/>
  <c r="D57" i="112"/>
  <c r="D122" i="112" s="1"/>
  <c r="D108" i="122"/>
  <c r="D115" i="122" s="1"/>
  <c r="F114" i="122" s="1"/>
  <c r="F115" i="122" s="1"/>
  <c r="D108" i="121"/>
  <c r="D115" i="121" s="1"/>
  <c r="F114" i="121" s="1"/>
  <c r="F115" i="121" s="1"/>
  <c r="D108" i="120"/>
  <c r="D115" i="120" s="1"/>
  <c r="F114" i="120" s="1"/>
  <c r="F115" i="120" s="1"/>
  <c r="D108" i="117"/>
  <c r="D108" i="116"/>
  <c r="D108" i="115"/>
  <c r="D106" i="114"/>
  <c r="D123" i="114"/>
  <c r="D124" i="114" s="1"/>
  <c r="D74" i="114"/>
  <c r="D76" i="114" s="1"/>
  <c r="D94" i="113"/>
  <c r="D93" i="113"/>
  <c r="D91" i="113"/>
  <c r="D89" i="113"/>
  <c r="D84" i="113"/>
  <c r="D81" i="113"/>
  <c r="D80" i="113"/>
  <c r="D79" i="113"/>
  <c r="D68" i="113"/>
  <c r="D65" i="113"/>
  <c r="D63" i="113"/>
  <c r="D61" i="113"/>
  <c r="D120" i="113"/>
  <c r="D92" i="113"/>
  <c r="D90" i="113"/>
  <c r="D88" i="113"/>
  <c r="D82" i="113"/>
  <c r="D73" i="113"/>
  <c r="D72" i="113"/>
  <c r="D67" i="113"/>
  <c r="D66" i="113"/>
  <c r="D64" i="113"/>
  <c r="D62" i="113"/>
  <c r="C83" i="113"/>
  <c r="D83" i="113" s="1"/>
  <c r="C75" i="113"/>
  <c r="C76" i="113" s="1"/>
  <c r="C100" i="113" s="1"/>
  <c r="C101" i="113"/>
  <c r="D101" i="113" s="1"/>
  <c r="C95" i="113"/>
  <c r="C96" i="113" s="1"/>
  <c r="C103" i="113" s="1"/>
  <c r="D103" i="113" s="1"/>
  <c r="C85" i="113"/>
  <c r="C102" i="113" s="1"/>
  <c r="D102" i="113" s="1"/>
  <c r="C101" i="112"/>
  <c r="C95" i="112"/>
  <c r="C96" i="112" s="1"/>
  <c r="C103" i="112" s="1"/>
  <c r="C83" i="112"/>
  <c r="C75" i="112"/>
  <c r="C76" i="112" s="1"/>
  <c r="C100" i="112" s="1"/>
  <c r="C105" i="112" s="1"/>
  <c r="C85" i="112"/>
  <c r="C102" i="112" s="1"/>
  <c r="D43" i="112"/>
  <c r="D49" i="112" s="1"/>
  <c r="D121" i="112" s="1"/>
  <c r="D39" i="112"/>
  <c r="D43" i="111"/>
  <c r="D49" i="111" s="1"/>
  <c r="D121" i="111" s="1"/>
  <c r="D39" i="111"/>
  <c r="C75" i="111"/>
  <c r="C76" i="111" s="1"/>
  <c r="C100" i="111" s="1"/>
  <c r="C83" i="111"/>
  <c r="C85" i="111" s="1"/>
  <c r="C102" i="111" s="1"/>
  <c r="C95" i="111"/>
  <c r="C96" i="111" s="1"/>
  <c r="C103" i="111" s="1"/>
  <c r="C85" i="110"/>
  <c r="C102" i="110" s="1"/>
  <c r="D57" i="110"/>
  <c r="D122" i="110" s="1"/>
  <c r="D39" i="110"/>
  <c r="D43" i="110"/>
  <c r="D49" i="110" s="1"/>
  <c r="D121" i="110" s="1"/>
  <c r="C95" i="110"/>
  <c r="C96" i="110" s="1"/>
  <c r="C103" i="110" s="1"/>
  <c r="C101" i="110"/>
  <c r="C75" i="110"/>
  <c r="C76" i="110" s="1"/>
  <c r="C100" i="110" s="1"/>
  <c r="C105" i="110" s="1"/>
  <c r="D112" i="122" l="1"/>
  <c r="D114" i="122"/>
  <c r="D113" i="122"/>
  <c r="D112" i="121"/>
  <c r="D114" i="121"/>
  <c r="D113" i="121"/>
  <c r="D112" i="120"/>
  <c r="D114" i="120"/>
  <c r="D113" i="120"/>
  <c r="D115" i="117"/>
  <c r="F114" i="117" s="1"/>
  <c r="F115" i="117" s="1"/>
  <c r="D115" i="116"/>
  <c r="F114" i="116" s="1"/>
  <c r="F115" i="116" s="1"/>
  <c r="D115" i="115"/>
  <c r="F114" i="115" s="1"/>
  <c r="F115" i="115" s="1"/>
  <c r="D108" i="114"/>
  <c r="D115" i="114" s="1"/>
  <c r="F114" i="114" s="1"/>
  <c r="F115" i="114" s="1"/>
  <c r="D69" i="113"/>
  <c r="D85" i="113"/>
  <c r="D95" i="113"/>
  <c r="D96" i="113" s="1"/>
  <c r="C105" i="113"/>
  <c r="D105" i="113" s="1"/>
  <c r="D74" i="113"/>
  <c r="D75" i="113"/>
  <c r="D100" i="113"/>
  <c r="D120" i="112"/>
  <c r="D92" i="112"/>
  <c r="D90" i="112"/>
  <c r="D88" i="112"/>
  <c r="D83" i="112"/>
  <c r="D82" i="112"/>
  <c r="D75" i="112"/>
  <c r="D73" i="112"/>
  <c r="D72" i="112"/>
  <c r="D67" i="112"/>
  <c r="D66" i="112"/>
  <c r="D64" i="112"/>
  <c r="D62" i="112"/>
  <c r="D105" i="112"/>
  <c r="D103" i="112"/>
  <c r="D102" i="112"/>
  <c r="D101" i="112"/>
  <c r="D100" i="112"/>
  <c r="D95" i="112"/>
  <c r="D94" i="112"/>
  <c r="D93" i="112"/>
  <c r="D91" i="112"/>
  <c r="D89" i="112"/>
  <c r="D84" i="112"/>
  <c r="D81" i="112"/>
  <c r="D80" i="112"/>
  <c r="D79" i="112"/>
  <c r="D68" i="112"/>
  <c r="D65" i="112"/>
  <c r="D63" i="112"/>
  <c r="D61" i="112"/>
  <c r="D120" i="111"/>
  <c r="D92" i="111"/>
  <c r="D90" i="111"/>
  <c r="D88" i="111"/>
  <c r="D83" i="111"/>
  <c r="D82" i="111"/>
  <c r="D75" i="111"/>
  <c r="D73" i="111"/>
  <c r="D72" i="111"/>
  <c r="D67" i="111"/>
  <c r="D66" i="111"/>
  <c r="D64" i="111"/>
  <c r="D62" i="111"/>
  <c r="D103" i="111"/>
  <c r="D102" i="111"/>
  <c r="D101" i="111"/>
  <c r="D100" i="111"/>
  <c r="D95" i="111"/>
  <c r="D94" i="111"/>
  <c r="D93" i="111"/>
  <c r="D91" i="111"/>
  <c r="D89" i="111"/>
  <c r="D84" i="111"/>
  <c r="D81" i="111"/>
  <c r="D80" i="111"/>
  <c r="D79" i="111"/>
  <c r="D68" i="111"/>
  <c r="D65" i="111"/>
  <c r="D63" i="111"/>
  <c r="D61" i="111"/>
  <c r="C105" i="111"/>
  <c r="D105" i="111" s="1"/>
  <c r="D105" i="110"/>
  <c r="D103" i="110"/>
  <c r="D102" i="110"/>
  <c r="D101" i="110"/>
  <c r="D100" i="110"/>
  <c r="D95" i="110"/>
  <c r="D94" i="110"/>
  <c r="D93" i="110"/>
  <c r="D91" i="110"/>
  <c r="D89" i="110"/>
  <c r="D84" i="110"/>
  <c r="D81" i="110"/>
  <c r="D80" i="110"/>
  <c r="D79" i="110"/>
  <c r="D68" i="110"/>
  <c r="D65" i="110"/>
  <c r="D63" i="110"/>
  <c r="D61" i="110"/>
  <c r="D120" i="110"/>
  <c r="D92" i="110"/>
  <c r="D90" i="110"/>
  <c r="D88" i="110"/>
  <c r="D83" i="110"/>
  <c r="D82" i="110"/>
  <c r="D75" i="110"/>
  <c r="D73" i="110"/>
  <c r="D72" i="110"/>
  <c r="D67" i="110"/>
  <c r="D66" i="110"/>
  <c r="D64" i="110"/>
  <c r="D62" i="110"/>
  <c r="C16" i="73"/>
  <c r="C16" i="76"/>
  <c r="D116" i="120" l="1"/>
  <c r="D125" i="120" s="1"/>
  <c r="D126" i="120" s="1"/>
  <c r="D130" i="120" s="1"/>
  <c r="D137" i="120" s="1"/>
  <c r="H94" i="16" s="1"/>
  <c r="D116" i="122"/>
  <c r="D125" i="122" s="1"/>
  <c r="D126" i="122" s="1"/>
  <c r="D130" i="122" s="1"/>
  <c r="D132" i="122" s="1"/>
  <c r="D134" i="122" s="1"/>
  <c r="D138" i="122" s="1"/>
  <c r="D139" i="122" s="1"/>
  <c r="O25" i="16" s="1"/>
  <c r="D116" i="121"/>
  <c r="D125" i="121" s="1"/>
  <c r="D126" i="121" s="1"/>
  <c r="D130" i="121" s="1"/>
  <c r="D137" i="121" s="1"/>
  <c r="H95" i="16" s="1"/>
  <c r="D137" i="122"/>
  <c r="H93" i="16" s="1"/>
  <c r="D132" i="121"/>
  <c r="D134" i="121" s="1"/>
  <c r="D138" i="121" s="1"/>
  <c r="D139" i="121" s="1"/>
  <c r="D132" i="120"/>
  <c r="D134" i="120" s="1"/>
  <c r="D138" i="120" s="1"/>
  <c r="D139" i="120" s="1"/>
  <c r="O26" i="16" s="1"/>
  <c r="D112" i="117"/>
  <c r="D114" i="117"/>
  <c r="D113" i="117"/>
  <c r="D112" i="116"/>
  <c r="D114" i="116"/>
  <c r="D113" i="116"/>
  <c r="D112" i="115"/>
  <c r="D114" i="115"/>
  <c r="D113" i="115"/>
  <c r="D112" i="114"/>
  <c r="D114" i="114"/>
  <c r="D113" i="114"/>
  <c r="D76" i="113"/>
  <c r="D123" i="113"/>
  <c r="D124" i="113" s="1"/>
  <c r="D106" i="113"/>
  <c r="D106" i="112"/>
  <c r="D123" i="112"/>
  <c r="D124" i="112" s="1"/>
  <c r="D69" i="112"/>
  <c r="D85" i="112"/>
  <c r="D96" i="112"/>
  <c r="D74" i="112"/>
  <c r="D76" i="112" s="1"/>
  <c r="D106" i="111"/>
  <c r="D123" i="111"/>
  <c r="D124" i="111" s="1"/>
  <c r="D69" i="111"/>
  <c r="D85" i="111"/>
  <c r="D96" i="111"/>
  <c r="D74" i="111"/>
  <c r="D76" i="111" s="1"/>
  <c r="D69" i="110"/>
  <c r="D85" i="110"/>
  <c r="D96" i="110"/>
  <c r="D74" i="110"/>
  <c r="D76" i="110" s="1"/>
  <c r="D123" i="110"/>
  <c r="D124" i="110" s="1"/>
  <c r="D106" i="110"/>
  <c r="D30" i="96"/>
  <c r="D54" i="99"/>
  <c r="D54" i="81"/>
  <c r="D54" i="80"/>
  <c r="D54" i="94"/>
  <c r="D54" i="96"/>
  <c r="D54" i="79"/>
  <c r="D54" i="93"/>
  <c r="D54" i="78"/>
  <c r="D54" i="77"/>
  <c r="D54" i="92"/>
  <c r="D54" i="76"/>
  <c r="D54" i="97"/>
  <c r="D54" i="75"/>
  <c r="D54" i="89"/>
  <c r="D54" i="74"/>
  <c r="D54" i="91"/>
  <c r="D54" i="73"/>
  <c r="D54" i="88"/>
  <c r="D54" i="72"/>
  <c r="D54" i="87"/>
  <c r="D54" i="71"/>
  <c r="D54" i="90"/>
  <c r="D54" i="70"/>
  <c r="D54" i="1"/>
  <c r="D54" i="86"/>
  <c r="D54" i="108"/>
  <c r="D54" i="107"/>
  <c r="D54" i="106"/>
  <c r="D54" i="105"/>
  <c r="D54" i="104"/>
  <c r="D54" i="103"/>
  <c r="D54" i="102"/>
  <c r="D54" i="101"/>
  <c r="C44" i="85"/>
  <c r="D44" i="85" s="1"/>
  <c r="C44" i="84"/>
  <c r="D44" i="84" s="1"/>
  <c r="D44" i="83"/>
  <c r="C44" i="83"/>
  <c r="D44" i="82"/>
  <c r="C44" i="82"/>
  <c r="D44" i="99"/>
  <c r="C44" i="99"/>
  <c r="D44" i="81"/>
  <c r="C44" i="81"/>
  <c r="D44" i="80"/>
  <c r="C44" i="80"/>
  <c r="D44" i="94"/>
  <c r="C44" i="94"/>
  <c r="D44" i="96"/>
  <c r="C44" i="96"/>
  <c r="D44" i="79"/>
  <c r="C44" i="79"/>
  <c r="D44" i="93"/>
  <c r="C44" i="93"/>
  <c r="D44" i="78"/>
  <c r="C44" i="78"/>
  <c r="D44" i="77"/>
  <c r="C44" i="77"/>
  <c r="D44" i="92"/>
  <c r="C44" i="92"/>
  <c r="D44" i="76"/>
  <c r="C44" i="76"/>
  <c r="D44" i="97"/>
  <c r="C44" i="97"/>
  <c r="D44" i="75"/>
  <c r="C44" i="75"/>
  <c r="D44" i="89"/>
  <c r="C44" i="89"/>
  <c r="D44" i="74"/>
  <c r="C44" i="74"/>
  <c r="D44" i="91"/>
  <c r="C44" i="91"/>
  <c r="D44" i="73"/>
  <c r="C44" i="73"/>
  <c r="D44" i="88"/>
  <c r="C44" i="88"/>
  <c r="D44" i="72"/>
  <c r="C44" i="72"/>
  <c r="D44" i="87"/>
  <c r="C44" i="87"/>
  <c r="D44" i="71"/>
  <c r="C44" i="71"/>
  <c r="D44" i="90"/>
  <c r="C44" i="90"/>
  <c r="D44" i="70"/>
  <c r="C44" i="70"/>
  <c r="C44" i="1"/>
  <c r="C44" i="86"/>
  <c r="D44" i="86" s="1"/>
  <c r="C44" i="108"/>
  <c r="C44" i="107"/>
  <c r="C44" i="106"/>
  <c r="C44" i="105"/>
  <c r="C44" i="104"/>
  <c r="C44" i="103"/>
  <c r="C44" i="102"/>
  <c r="C44" i="101"/>
  <c r="D44" i="1"/>
  <c r="D116" i="114" l="1"/>
  <c r="D125" i="114" s="1"/>
  <c r="D126" i="114" s="1"/>
  <c r="D130" i="114" s="1"/>
  <c r="D132" i="114" s="1"/>
  <c r="D134" i="114" s="1"/>
  <c r="D138" i="114" s="1"/>
  <c r="D139" i="114" s="1"/>
  <c r="K93" i="16"/>
  <c r="L93" i="16" s="1"/>
  <c r="I93" i="16"/>
  <c r="J93" i="16" s="1"/>
  <c r="K95" i="16"/>
  <c r="L95" i="16" s="1"/>
  <c r="I95" i="16"/>
  <c r="J95" i="16" s="1"/>
  <c r="K94" i="16"/>
  <c r="L94" i="16" s="1"/>
  <c r="I94" i="16"/>
  <c r="J94" i="16" s="1"/>
  <c r="D116" i="117"/>
  <c r="D125" i="117" s="1"/>
  <c r="D126" i="117" s="1"/>
  <c r="D130" i="117" s="1"/>
  <c r="D116" i="116"/>
  <c r="D125" i="116" s="1"/>
  <c r="D126" i="116" s="1"/>
  <c r="D130" i="116" s="1"/>
  <c r="D116" i="115"/>
  <c r="D125" i="115" s="1"/>
  <c r="D126" i="115" s="1"/>
  <c r="D130" i="115" s="1"/>
  <c r="D108" i="113"/>
  <c r="D108" i="112"/>
  <c r="D115" i="112" s="1"/>
  <c r="F114" i="112" s="1"/>
  <c r="F115" i="112" s="1"/>
  <c r="D108" i="111"/>
  <c r="D108" i="110"/>
  <c r="D30" i="100"/>
  <c r="F50" i="109"/>
  <c r="D137" i="114" l="1"/>
  <c r="M16" i="16"/>
  <c r="I79" i="16"/>
  <c r="H79" i="16"/>
  <c r="D137" i="117"/>
  <c r="D132" i="117"/>
  <c r="D134" i="117" s="1"/>
  <c r="D138" i="117" s="1"/>
  <c r="D137" i="116"/>
  <c r="H91" i="16" s="1"/>
  <c r="D132" i="116"/>
  <c r="D134" i="116" s="1"/>
  <c r="D138" i="116" s="1"/>
  <c r="D139" i="116" s="1"/>
  <c r="O23" i="16" s="1"/>
  <c r="D137" i="115"/>
  <c r="H90" i="16" s="1"/>
  <c r="D132" i="115"/>
  <c r="D134" i="115" s="1"/>
  <c r="D138" i="115" s="1"/>
  <c r="D139" i="115" s="1"/>
  <c r="O22" i="16" s="1"/>
  <c r="D115" i="113"/>
  <c r="F114" i="113" s="1"/>
  <c r="F115" i="113" s="1"/>
  <c r="D114" i="112"/>
  <c r="D113" i="112"/>
  <c r="D112" i="112"/>
  <c r="D115" i="111"/>
  <c r="F114" i="111" s="1"/>
  <c r="F115" i="111" s="1"/>
  <c r="D115" i="110"/>
  <c r="F114" i="110" s="1"/>
  <c r="F115" i="110" s="1"/>
  <c r="F43" i="109"/>
  <c r="F42" i="109"/>
  <c r="F41" i="109"/>
  <c r="F40" i="109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6" i="109"/>
  <c r="F15" i="109"/>
  <c r="F14" i="109"/>
  <c r="F13" i="109"/>
  <c r="F12" i="109"/>
  <c r="F11" i="109"/>
  <c r="F10" i="109"/>
  <c r="F9" i="109"/>
  <c r="F8" i="109"/>
  <c r="F7" i="109"/>
  <c r="F6" i="109"/>
  <c r="F5" i="109"/>
  <c r="F44" i="109" s="1"/>
  <c r="F45" i="109" s="1"/>
  <c r="F46" i="109" s="1"/>
  <c r="F48" i="109" s="1"/>
  <c r="D116" i="112" l="1"/>
  <c r="D125" i="112" s="1"/>
  <c r="D126" i="112" s="1"/>
  <c r="D130" i="112" s="1"/>
  <c r="D132" i="112" s="1"/>
  <c r="D134" i="112" s="1"/>
  <c r="D138" i="112" s="1"/>
  <c r="D139" i="117"/>
  <c r="O24" i="16" s="1"/>
  <c r="H92" i="16"/>
  <c r="K91" i="16"/>
  <c r="L91" i="16" s="1"/>
  <c r="I91" i="16"/>
  <c r="J91" i="16" s="1"/>
  <c r="K90" i="16"/>
  <c r="L90" i="16" s="1"/>
  <c r="I90" i="16"/>
  <c r="J90" i="16" s="1"/>
  <c r="D114" i="113"/>
  <c r="D113" i="113"/>
  <c r="D112" i="113"/>
  <c r="D137" i="112"/>
  <c r="D112" i="111"/>
  <c r="D114" i="111"/>
  <c r="D113" i="111"/>
  <c r="D112" i="110"/>
  <c r="D114" i="110"/>
  <c r="D113" i="110"/>
  <c r="D48" i="85"/>
  <c r="D47" i="85"/>
  <c r="D48" i="84"/>
  <c r="D47" i="84"/>
  <c r="D48" i="83"/>
  <c r="D47" i="83"/>
  <c r="D48" i="82"/>
  <c r="D47" i="82"/>
  <c r="D48" i="99"/>
  <c r="D47" i="99"/>
  <c r="D48" i="81"/>
  <c r="D47" i="81"/>
  <c r="D48" i="80"/>
  <c r="D47" i="80"/>
  <c r="D48" i="94"/>
  <c r="D47" i="94"/>
  <c r="D48" i="96"/>
  <c r="D47" i="96"/>
  <c r="D48" i="79"/>
  <c r="D47" i="79"/>
  <c r="D48" i="93"/>
  <c r="D47" i="93"/>
  <c r="D48" i="78"/>
  <c r="D47" i="78"/>
  <c r="D48" i="77"/>
  <c r="D47" i="77"/>
  <c r="D48" i="92"/>
  <c r="D47" i="92"/>
  <c r="D48" i="76"/>
  <c r="D47" i="76"/>
  <c r="D48" i="97"/>
  <c r="D47" i="97"/>
  <c r="D48" i="75"/>
  <c r="D47" i="75"/>
  <c r="D48" i="89"/>
  <c r="D47" i="89"/>
  <c r="D48" i="74"/>
  <c r="D47" i="74"/>
  <c r="D48" i="91"/>
  <c r="D47" i="91"/>
  <c r="D48" i="73"/>
  <c r="D47" i="73"/>
  <c r="D48" i="88"/>
  <c r="D47" i="88"/>
  <c r="D48" i="72"/>
  <c r="D47" i="72"/>
  <c r="D48" i="87"/>
  <c r="D47" i="87"/>
  <c r="D48" i="71"/>
  <c r="D47" i="71"/>
  <c r="D48" i="90"/>
  <c r="D47" i="90"/>
  <c r="D48" i="70"/>
  <c r="D47" i="70"/>
  <c r="D48" i="1"/>
  <c r="D47" i="1"/>
  <c r="D48" i="86"/>
  <c r="D47" i="86"/>
  <c r="D48" i="108"/>
  <c r="D48" i="107"/>
  <c r="D48" i="106"/>
  <c r="D48" i="105"/>
  <c r="D48" i="104"/>
  <c r="D48" i="103"/>
  <c r="D48" i="102"/>
  <c r="D48" i="101"/>
  <c r="D47" i="108"/>
  <c r="D47" i="107"/>
  <c r="D47" i="106"/>
  <c r="D47" i="105"/>
  <c r="D47" i="104"/>
  <c r="D47" i="103"/>
  <c r="D47" i="102"/>
  <c r="D47" i="101"/>
  <c r="K92" i="16" l="1"/>
  <c r="L92" i="16" s="1"/>
  <c r="I92" i="16"/>
  <c r="J92" i="16" s="1"/>
  <c r="D139" i="112"/>
  <c r="H87" i="16"/>
  <c r="D116" i="113"/>
  <c r="D125" i="113" s="1"/>
  <c r="D126" i="113" s="1"/>
  <c r="D130" i="113" s="1"/>
  <c r="D137" i="113" s="1"/>
  <c r="D116" i="111"/>
  <c r="D125" i="111" s="1"/>
  <c r="D126" i="111" s="1"/>
  <c r="D130" i="111" s="1"/>
  <c r="D116" i="110"/>
  <c r="D125" i="110" s="1"/>
  <c r="D126" i="110" s="1"/>
  <c r="D45" i="85"/>
  <c r="D45" i="84"/>
  <c r="D45" i="83"/>
  <c r="D45" i="82"/>
  <c r="D45" i="99"/>
  <c r="D45" i="81"/>
  <c r="D45" i="80"/>
  <c r="D45" i="94"/>
  <c r="D45" i="96"/>
  <c r="D45" i="79"/>
  <c r="D45" i="93"/>
  <c r="D45" i="78"/>
  <c r="D45" i="77"/>
  <c r="D45" i="92"/>
  <c r="D45" i="76"/>
  <c r="D45" i="97"/>
  <c r="D45" i="75"/>
  <c r="D45" i="89"/>
  <c r="D45" i="74"/>
  <c r="D45" i="91"/>
  <c r="D45" i="73"/>
  <c r="D45" i="88"/>
  <c r="D45" i="72"/>
  <c r="D45" i="87"/>
  <c r="D45" i="71"/>
  <c r="D45" i="90"/>
  <c r="D45" i="70"/>
  <c r="D45" i="1"/>
  <c r="D45" i="86"/>
  <c r="D45" i="108"/>
  <c r="D45" i="107"/>
  <c r="D45" i="106"/>
  <c r="D45" i="105"/>
  <c r="D45" i="104"/>
  <c r="D45" i="103"/>
  <c r="D45" i="102"/>
  <c r="D45" i="101"/>
  <c r="C23" i="81"/>
  <c r="D29" i="81" s="1"/>
  <c r="C23" i="80"/>
  <c r="D29" i="80" s="1"/>
  <c r="C23" i="79"/>
  <c r="D29" i="79" s="1"/>
  <c r="C23" i="78"/>
  <c r="D29" i="78" s="1"/>
  <c r="C23" i="77"/>
  <c r="D29" i="77" s="1"/>
  <c r="C23" i="76"/>
  <c r="D29" i="76" s="1"/>
  <c r="C23" i="75"/>
  <c r="D29" i="75" s="1"/>
  <c r="C23" i="74"/>
  <c r="D29" i="74" s="1"/>
  <c r="C23" i="73"/>
  <c r="D29" i="73" s="1"/>
  <c r="C23" i="72"/>
  <c r="D29" i="72" s="1"/>
  <c r="C23" i="71"/>
  <c r="D29" i="71" s="1"/>
  <c r="C23" i="70"/>
  <c r="D29" i="70" s="1"/>
  <c r="C23" i="1"/>
  <c r="D29" i="1" s="1"/>
  <c r="C23" i="107"/>
  <c r="D29" i="107" s="1"/>
  <c r="C23" i="105"/>
  <c r="D29" i="105" s="1"/>
  <c r="C23" i="103"/>
  <c r="D30" i="99"/>
  <c r="D30" i="94"/>
  <c r="D30" i="93"/>
  <c r="D30" i="92"/>
  <c r="D30" i="97"/>
  <c r="D30" i="89"/>
  <c r="D30" i="91"/>
  <c r="D30" i="88"/>
  <c r="D30" i="87"/>
  <c r="D30" i="90"/>
  <c r="D30" i="86"/>
  <c r="D30" i="108"/>
  <c r="D30" i="106"/>
  <c r="D30" i="104"/>
  <c r="D30" i="101"/>
  <c r="C23" i="99"/>
  <c r="D29" i="99" s="1"/>
  <c r="C23" i="94"/>
  <c r="D29" i="94" s="1"/>
  <c r="C23" i="96"/>
  <c r="D29" i="96" s="1"/>
  <c r="C23" i="93"/>
  <c r="D29" i="93" s="1"/>
  <c r="C23" i="92"/>
  <c r="D29" i="92" s="1"/>
  <c r="C23" i="97"/>
  <c r="D29" i="97" s="1"/>
  <c r="C23" i="89"/>
  <c r="D29" i="89" s="1"/>
  <c r="C23" i="91"/>
  <c r="D29" i="91" s="1"/>
  <c r="C23" i="88"/>
  <c r="D29" i="88" s="1"/>
  <c r="C23" i="87"/>
  <c r="D29" i="87" s="1"/>
  <c r="C23" i="90"/>
  <c r="D29" i="90" s="1"/>
  <c r="C23" i="86"/>
  <c r="D29" i="86" s="1"/>
  <c r="C23" i="108"/>
  <c r="C23" i="106"/>
  <c r="C23" i="104"/>
  <c r="C23" i="102"/>
  <c r="C23" i="101"/>
  <c r="D122" i="82"/>
  <c r="C23" i="82"/>
  <c r="C23" i="83"/>
  <c r="C23" i="84"/>
  <c r="C23" i="85"/>
  <c r="D29" i="85" s="1"/>
  <c r="D29" i="84"/>
  <c r="D132" i="113" l="1"/>
  <c r="D134" i="113" s="1"/>
  <c r="D138" i="113" s="1"/>
  <c r="D139" i="113" s="1"/>
  <c r="O21" i="16" s="1"/>
  <c r="K87" i="16"/>
  <c r="L87" i="16" s="1"/>
  <c r="I87" i="16"/>
  <c r="J87" i="16" s="1"/>
  <c r="D130" i="110"/>
  <c r="D137" i="110" s="1"/>
  <c r="H77" i="16"/>
  <c r="K77" i="16" s="1"/>
  <c r="L77" i="16" s="1"/>
  <c r="D137" i="111"/>
  <c r="D132" i="111"/>
  <c r="D134" i="111" s="1"/>
  <c r="D138" i="111" s="1"/>
  <c r="D132" i="110"/>
  <c r="D134" i="110" s="1"/>
  <c r="D138" i="110" s="1"/>
  <c r="D139" i="110" s="1"/>
  <c r="G50" i="16"/>
  <c r="G86" i="16"/>
  <c r="G85" i="16"/>
  <c r="G84" i="16"/>
  <c r="G83" i="16"/>
  <c r="G82" i="16"/>
  <c r="G81" i="16"/>
  <c r="G79" i="16"/>
  <c r="G74" i="16"/>
  <c r="G75" i="16"/>
  <c r="G76" i="16"/>
  <c r="G78" i="16"/>
  <c r="F113" i="108"/>
  <c r="C94" i="108"/>
  <c r="C81" i="108"/>
  <c r="C80" i="108"/>
  <c r="C73" i="108"/>
  <c r="C74" i="108" s="1"/>
  <c r="C69" i="108"/>
  <c r="C101" i="108" s="1"/>
  <c r="C67" i="108"/>
  <c r="D56" i="108"/>
  <c r="D55" i="108"/>
  <c r="D53" i="108"/>
  <c r="D57" i="108" s="1"/>
  <c r="D122" i="108" s="1"/>
  <c r="D46" i="108"/>
  <c r="D44" i="108"/>
  <c r="D37" i="108"/>
  <c r="D29" i="108"/>
  <c r="A142" i="107"/>
  <c r="F113" i="107"/>
  <c r="C94" i="107"/>
  <c r="C81" i="107"/>
  <c r="C80" i="107"/>
  <c r="C73" i="107"/>
  <c r="C74" i="107" s="1"/>
  <c r="C69" i="107"/>
  <c r="C83" i="107" s="1"/>
  <c r="C67" i="107"/>
  <c r="C56" i="107"/>
  <c r="D56" i="107" s="1"/>
  <c r="C55" i="107"/>
  <c r="D55" i="107" s="1"/>
  <c r="D53" i="107"/>
  <c r="D57" i="107" s="1"/>
  <c r="D122" i="107" s="1"/>
  <c r="D46" i="107"/>
  <c r="D44" i="107"/>
  <c r="D49" i="107" s="1"/>
  <c r="D121" i="107" s="1"/>
  <c r="D37" i="107"/>
  <c r="F113" i="106"/>
  <c r="C94" i="106"/>
  <c r="C81" i="106"/>
  <c r="C80" i="106"/>
  <c r="C73" i="106"/>
  <c r="C74" i="106" s="1"/>
  <c r="C69" i="106"/>
  <c r="C101" i="106" s="1"/>
  <c r="C67" i="106"/>
  <c r="D56" i="106"/>
  <c r="D55" i="106"/>
  <c r="D53" i="106"/>
  <c r="D57" i="106" s="1"/>
  <c r="D122" i="106" s="1"/>
  <c r="D46" i="106"/>
  <c r="D44" i="106"/>
  <c r="D49" i="106" s="1"/>
  <c r="D121" i="106" s="1"/>
  <c r="D37" i="106"/>
  <c r="D29" i="106"/>
  <c r="A142" i="105"/>
  <c r="F113" i="105"/>
  <c r="C94" i="105"/>
  <c r="C81" i="105"/>
  <c r="C80" i="105"/>
  <c r="C73" i="105"/>
  <c r="C74" i="105" s="1"/>
  <c r="C69" i="105"/>
  <c r="C83" i="105" s="1"/>
  <c r="C67" i="105"/>
  <c r="C56" i="105"/>
  <c r="D56" i="105" s="1"/>
  <c r="C55" i="105"/>
  <c r="D55" i="105" s="1"/>
  <c r="D53" i="105"/>
  <c r="D46" i="105"/>
  <c r="D44" i="105"/>
  <c r="D37" i="105"/>
  <c r="F113" i="104"/>
  <c r="C94" i="104"/>
  <c r="C81" i="104"/>
  <c r="C80" i="104"/>
  <c r="C73" i="104"/>
  <c r="C74" i="104" s="1"/>
  <c r="C67" i="104"/>
  <c r="C69" i="104" s="1"/>
  <c r="D56" i="104"/>
  <c r="D55" i="104"/>
  <c r="D53" i="104"/>
  <c r="D57" i="104" s="1"/>
  <c r="D122" i="104" s="1"/>
  <c r="D46" i="104"/>
  <c r="D44" i="104"/>
  <c r="D37" i="104"/>
  <c r="D29" i="104"/>
  <c r="D43" i="104" s="1"/>
  <c r="A142" i="103"/>
  <c r="F113" i="103"/>
  <c r="C94" i="103"/>
  <c r="C81" i="103"/>
  <c r="C80" i="103"/>
  <c r="C73" i="103"/>
  <c r="C74" i="103" s="1"/>
  <c r="C69" i="103"/>
  <c r="C83" i="103" s="1"/>
  <c r="C67" i="103"/>
  <c r="C56" i="103"/>
  <c r="D56" i="103" s="1"/>
  <c r="C55" i="103"/>
  <c r="D55" i="103" s="1"/>
  <c r="D53" i="103"/>
  <c r="D57" i="103" s="1"/>
  <c r="D122" i="103" s="1"/>
  <c r="D46" i="103"/>
  <c r="D44" i="103"/>
  <c r="D43" i="103"/>
  <c r="D37" i="103"/>
  <c r="D39" i="103" s="1"/>
  <c r="F113" i="102"/>
  <c r="C94" i="102"/>
  <c r="C81" i="102"/>
  <c r="C80" i="102"/>
  <c r="C73" i="102"/>
  <c r="C74" i="102" s="1"/>
  <c r="C69" i="102"/>
  <c r="C83" i="102" s="1"/>
  <c r="C67" i="102"/>
  <c r="D56" i="102"/>
  <c r="D55" i="102"/>
  <c r="D53" i="102"/>
  <c r="D57" i="102" s="1"/>
  <c r="D122" i="102" s="1"/>
  <c r="D46" i="102"/>
  <c r="D44" i="102"/>
  <c r="D37" i="102"/>
  <c r="D29" i="102"/>
  <c r="D133" i="101"/>
  <c r="F113" i="101"/>
  <c r="C94" i="101"/>
  <c r="C81" i="101"/>
  <c r="C80" i="101"/>
  <c r="C73" i="101"/>
  <c r="C74" i="101" s="1"/>
  <c r="C69" i="101"/>
  <c r="C83" i="101" s="1"/>
  <c r="C67" i="101"/>
  <c r="D56" i="101"/>
  <c r="D55" i="101"/>
  <c r="D53" i="101"/>
  <c r="D57" i="101" s="1"/>
  <c r="D122" i="101" s="1"/>
  <c r="D46" i="101"/>
  <c r="D44" i="101"/>
  <c r="D37" i="101"/>
  <c r="D29" i="101"/>
  <c r="C6" i="100"/>
  <c r="D133" i="86"/>
  <c r="H89" i="16" l="1"/>
  <c r="K89" i="16" s="1"/>
  <c r="L89" i="16" s="1"/>
  <c r="D49" i="105"/>
  <c r="D121" i="105" s="1"/>
  <c r="D49" i="108"/>
  <c r="D121" i="108" s="1"/>
  <c r="I89" i="16"/>
  <c r="J89" i="16" s="1"/>
  <c r="D139" i="111"/>
  <c r="O20" i="16" s="1"/>
  <c r="H88" i="16"/>
  <c r="D49" i="104"/>
  <c r="D121" i="104" s="1"/>
  <c r="D49" i="103"/>
  <c r="D121" i="103" s="1"/>
  <c r="D39" i="107"/>
  <c r="D94" i="107" s="1"/>
  <c r="D39" i="105"/>
  <c r="D93" i="105" s="1"/>
  <c r="D39" i="106"/>
  <c r="D120" i="106" s="1"/>
  <c r="C101" i="104"/>
  <c r="C83" i="104"/>
  <c r="C75" i="104"/>
  <c r="C76" i="104" s="1"/>
  <c r="C100" i="104" s="1"/>
  <c r="C95" i="104"/>
  <c r="C96" i="104" s="1"/>
  <c r="C103" i="104" s="1"/>
  <c r="C85" i="104"/>
  <c r="C102" i="104" s="1"/>
  <c r="C85" i="101"/>
  <c r="C102" i="101" s="1"/>
  <c r="C85" i="102"/>
  <c r="C102" i="102" s="1"/>
  <c r="D94" i="103"/>
  <c r="D93" i="103"/>
  <c r="D91" i="103"/>
  <c r="D89" i="103"/>
  <c r="D84" i="103"/>
  <c r="D81" i="103"/>
  <c r="D80" i="103"/>
  <c r="D79" i="103"/>
  <c r="D68" i="103"/>
  <c r="D65" i="103"/>
  <c r="D63" i="103"/>
  <c r="D61" i="103"/>
  <c r="D120" i="103"/>
  <c r="D92" i="103"/>
  <c r="D90" i="103"/>
  <c r="D88" i="103"/>
  <c r="D83" i="103"/>
  <c r="D82" i="103"/>
  <c r="D73" i="103"/>
  <c r="D72" i="103"/>
  <c r="D67" i="103"/>
  <c r="D66" i="103"/>
  <c r="D64" i="103"/>
  <c r="D62" i="103"/>
  <c r="C85" i="103"/>
  <c r="C102" i="103" s="1"/>
  <c r="D102" i="103" s="1"/>
  <c r="C95" i="101"/>
  <c r="C96" i="101" s="1"/>
  <c r="C103" i="101" s="1"/>
  <c r="C101" i="101"/>
  <c r="D43" i="102"/>
  <c r="D49" i="102" s="1"/>
  <c r="D121" i="102" s="1"/>
  <c r="C95" i="102"/>
  <c r="C96" i="102" s="1"/>
  <c r="C103" i="102" s="1"/>
  <c r="C101" i="102"/>
  <c r="C95" i="103"/>
  <c r="C96" i="103" s="1"/>
  <c r="C103" i="103" s="1"/>
  <c r="D103" i="103" s="1"/>
  <c r="C101" i="103"/>
  <c r="D101" i="103" s="1"/>
  <c r="D39" i="104"/>
  <c r="D94" i="105"/>
  <c r="D84" i="105"/>
  <c r="D68" i="105"/>
  <c r="D120" i="105"/>
  <c r="D83" i="105"/>
  <c r="D73" i="105"/>
  <c r="D72" i="105"/>
  <c r="D67" i="105"/>
  <c r="D66" i="105"/>
  <c r="D64" i="105"/>
  <c r="D62" i="105"/>
  <c r="D57" i="105"/>
  <c r="D122" i="105" s="1"/>
  <c r="D43" i="101"/>
  <c r="D49" i="101" s="1"/>
  <c r="D121" i="101" s="1"/>
  <c r="C75" i="101"/>
  <c r="C76" i="101" s="1"/>
  <c r="C100" i="101" s="1"/>
  <c r="C105" i="101" s="1"/>
  <c r="C75" i="102"/>
  <c r="C76" i="102" s="1"/>
  <c r="C100" i="102" s="1"/>
  <c r="C105" i="102" s="1"/>
  <c r="C75" i="103"/>
  <c r="C76" i="103" s="1"/>
  <c r="C100" i="103" s="1"/>
  <c r="C105" i="103" s="1"/>
  <c r="D105" i="103" s="1"/>
  <c r="C85" i="105"/>
  <c r="C102" i="105" s="1"/>
  <c r="D102" i="105" s="1"/>
  <c r="D88" i="106"/>
  <c r="D101" i="106"/>
  <c r="D89" i="106"/>
  <c r="D79" i="106"/>
  <c r="D61" i="106"/>
  <c r="C95" i="105"/>
  <c r="C96" i="105" s="1"/>
  <c r="C103" i="105" s="1"/>
  <c r="D103" i="105" s="1"/>
  <c r="C101" i="105"/>
  <c r="D101" i="105" s="1"/>
  <c r="C75" i="106"/>
  <c r="C76" i="106" s="1"/>
  <c r="C100" i="106" s="1"/>
  <c r="C83" i="106"/>
  <c r="C85" i="106" s="1"/>
  <c r="C102" i="106" s="1"/>
  <c r="D102" i="106" s="1"/>
  <c r="C85" i="107"/>
  <c r="C102" i="107" s="1"/>
  <c r="D39" i="108"/>
  <c r="C75" i="105"/>
  <c r="C76" i="105" s="1"/>
  <c r="C100" i="105" s="1"/>
  <c r="C105" i="105" s="1"/>
  <c r="D105" i="105" s="1"/>
  <c r="C95" i="106"/>
  <c r="C96" i="106" s="1"/>
  <c r="C103" i="106" s="1"/>
  <c r="D103" i="106" s="1"/>
  <c r="D79" i="107"/>
  <c r="D61" i="107"/>
  <c r="D92" i="107"/>
  <c r="D88" i="107"/>
  <c r="D82" i="107"/>
  <c r="D72" i="107"/>
  <c r="D66" i="107"/>
  <c r="D62" i="107"/>
  <c r="C95" i="107"/>
  <c r="C96" i="107" s="1"/>
  <c r="C103" i="107" s="1"/>
  <c r="C101" i="107"/>
  <c r="D101" i="107" s="1"/>
  <c r="C75" i="108"/>
  <c r="C76" i="108" s="1"/>
  <c r="C100" i="108" s="1"/>
  <c r="C83" i="108"/>
  <c r="C85" i="108" s="1"/>
  <c r="C102" i="108" s="1"/>
  <c r="C75" i="107"/>
  <c r="C76" i="107" s="1"/>
  <c r="C100" i="107" s="1"/>
  <c r="C105" i="107" s="1"/>
  <c r="C95" i="108"/>
  <c r="C96" i="108" s="1"/>
  <c r="C103" i="108" s="1"/>
  <c r="D65" i="107" l="1"/>
  <c r="D81" i="107"/>
  <c r="D65" i="106"/>
  <c r="D81" i="106"/>
  <c r="D93" i="106"/>
  <c r="D67" i="106"/>
  <c r="D90" i="105"/>
  <c r="D63" i="105"/>
  <c r="D80" i="105"/>
  <c r="D91" i="105"/>
  <c r="K88" i="16"/>
  <c r="L88" i="16" s="1"/>
  <c r="I88" i="16"/>
  <c r="J88" i="16" s="1"/>
  <c r="D89" i="107"/>
  <c r="D93" i="107"/>
  <c r="D105" i="107"/>
  <c r="D103" i="107"/>
  <c r="D64" i="107"/>
  <c r="D67" i="107"/>
  <c r="D73" i="107"/>
  <c r="D83" i="107"/>
  <c r="D90" i="107"/>
  <c r="D120" i="107"/>
  <c r="D63" i="107"/>
  <c r="D68" i="107"/>
  <c r="D80" i="107"/>
  <c r="D85" i="107" s="1"/>
  <c r="D84" i="107"/>
  <c r="D91" i="107"/>
  <c r="D102" i="107"/>
  <c r="D82" i="105"/>
  <c r="D88" i="105"/>
  <c r="D92" i="105"/>
  <c r="D61" i="105"/>
  <c r="D65" i="105"/>
  <c r="D79" i="105"/>
  <c r="D81" i="105"/>
  <c r="D89" i="105"/>
  <c r="D64" i="106"/>
  <c r="D73" i="106"/>
  <c r="D92" i="106"/>
  <c r="D63" i="106"/>
  <c r="D68" i="106"/>
  <c r="D80" i="106"/>
  <c r="D84" i="106"/>
  <c r="D91" i="106"/>
  <c r="D94" i="106"/>
  <c r="D62" i="106"/>
  <c r="D66" i="106"/>
  <c r="D69" i="106" s="1"/>
  <c r="D72" i="106"/>
  <c r="D82" i="106"/>
  <c r="D90" i="106"/>
  <c r="D120" i="104"/>
  <c r="D103" i="104"/>
  <c r="D102" i="104"/>
  <c r="D101" i="104"/>
  <c r="D100" i="104"/>
  <c r="D95" i="104"/>
  <c r="D94" i="104"/>
  <c r="D93" i="104"/>
  <c r="D91" i="104"/>
  <c r="D89" i="104"/>
  <c r="D84" i="104"/>
  <c r="D81" i="104"/>
  <c r="D80" i="104"/>
  <c r="D79" i="104"/>
  <c r="D68" i="104"/>
  <c r="D65" i="104"/>
  <c r="D63" i="104"/>
  <c r="D61" i="104"/>
  <c r="D92" i="104"/>
  <c r="D90" i="104"/>
  <c r="D88" i="104"/>
  <c r="D83" i="104"/>
  <c r="D82" i="104"/>
  <c r="D75" i="104"/>
  <c r="D73" i="104"/>
  <c r="D72" i="104"/>
  <c r="D67" i="104"/>
  <c r="D66" i="104"/>
  <c r="D64" i="104"/>
  <c r="D62" i="104"/>
  <c r="D123" i="107"/>
  <c r="D124" i="107" s="1"/>
  <c r="D106" i="107"/>
  <c r="D123" i="105"/>
  <c r="D106" i="105"/>
  <c r="D123" i="103"/>
  <c r="D106" i="103"/>
  <c r="D69" i="107"/>
  <c r="D95" i="107"/>
  <c r="D96" i="107" s="1"/>
  <c r="C105" i="106"/>
  <c r="D105" i="106" s="1"/>
  <c r="D95" i="106"/>
  <c r="D96" i="106" s="1"/>
  <c r="D74" i="106"/>
  <c r="D75" i="106"/>
  <c r="D83" i="106"/>
  <c r="D85" i="106" s="1"/>
  <c r="D69" i="105"/>
  <c r="D85" i="105"/>
  <c r="D95" i="105"/>
  <c r="D96" i="105" s="1"/>
  <c r="D74" i="103"/>
  <c r="D75" i="103"/>
  <c r="D124" i="103"/>
  <c r="D100" i="103"/>
  <c r="C105" i="104"/>
  <c r="D105" i="104" s="1"/>
  <c r="C105" i="108"/>
  <c r="D74" i="107"/>
  <c r="D75" i="107"/>
  <c r="D100" i="107"/>
  <c r="D120" i="108"/>
  <c r="D92" i="108"/>
  <c r="D90" i="108"/>
  <c r="D88" i="108"/>
  <c r="D83" i="108"/>
  <c r="D82" i="108"/>
  <c r="D75" i="108"/>
  <c r="D73" i="108"/>
  <c r="D72" i="108"/>
  <c r="D67" i="108"/>
  <c r="D66" i="108"/>
  <c r="D64" i="108"/>
  <c r="D62" i="108"/>
  <c r="D105" i="108"/>
  <c r="D103" i="108"/>
  <c r="D102" i="108"/>
  <c r="D101" i="108"/>
  <c r="D100" i="108"/>
  <c r="D95" i="108"/>
  <c r="D94" i="108"/>
  <c r="D93" i="108"/>
  <c r="D91" i="108"/>
  <c r="D89" i="108"/>
  <c r="D84" i="108"/>
  <c r="D81" i="108"/>
  <c r="D80" i="108"/>
  <c r="D79" i="108"/>
  <c r="D68" i="108"/>
  <c r="D65" i="108"/>
  <c r="D63" i="108"/>
  <c r="D61" i="108"/>
  <c r="D100" i="106"/>
  <c r="D74" i="105"/>
  <c r="D75" i="105"/>
  <c r="D124" i="105"/>
  <c r="D100" i="105"/>
  <c r="D69" i="103"/>
  <c r="D85" i="103"/>
  <c r="D95" i="103"/>
  <c r="D96" i="103" s="1"/>
  <c r="D69" i="108" l="1"/>
  <c r="D85" i="108"/>
  <c r="D96" i="108"/>
  <c r="D74" i="108"/>
  <c r="D76" i="106"/>
  <c r="D74" i="104"/>
  <c r="D76" i="104" s="1"/>
  <c r="D96" i="104"/>
  <c r="D123" i="104"/>
  <c r="D124" i="104" s="1"/>
  <c r="D106" i="104"/>
  <c r="D76" i="105"/>
  <c r="D106" i="108"/>
  <c r="D123" i="108"/>
  <c r="D124" i="108" s="1"/>
  <c r="D76" i="107"/>
  <c r="D76" i="103"/>
  <c r="D108" i="103"/>
  <c r="D108" i="105"/>
  <c r="D108" i="107"/>
  <c r="D76" i="108"/>
  <c r="D106" i="106"/>
  <c r="D123" i="106"/>
  <c r="D124" i="106" s="1"/>
  <c r="D69" i="104"/>
  <c r="D85" i="104"/>
  <c r="D108" i="106" l="1"/>
  <c r="D108" i="108"/>
  <c r="D115" i="108" s="1"/>
  <c r="F114" i="108" s="1"/>
  <c r="F115" i="108" s="1"/>
  <c r="D108" i="104"/>
  <c r="D115" i="104" s="1"/>
  <c r="F114" i="104" s="1"/>
  <c r="F115" i="104" s="1"/>
  <c r="D115" i="107"/>
  <c r="F114" i="107" s="1"/>
  <c r="F115" i="107" s="1"/>
  <c r="D115" i="105"/>
  <c r="F114" i="105" s="1"/>
  <c r="F115" i="105" s="1"/>
  <c r="D115" i="103"/>
  <c r="F114" i="103" s="1"/>
  <c r="F115" i="103" s="1"/>
  <c r="D112" i="108" l="1"/>
  <c r="D114" i="108"/>
  <c r="D113" i="108"/>
  <c r="D114" i="104"/>
  <c r="D113" i="104"/>
  <c r="D112" i="104"/>
  <c r="D114" i="103"/>
  <c r="D113" i="103"/>
  <c r="D112" i="103"/>
  <c r="D114" i="107"/>
  <c r="D113" i="107"/>
  <c r="D112" i="107"/>
  <c r="D114" i="105"/>
  <c r="D113" i="105"/>
  <c r="D112" i="105"/>
  <c r="D115" i="106"/>
  <c r="F114" i="106" s="1"/>
  <c r="F115" i="106" s="1"/>
  <c r="G113" i="16"/>
  <c r="H113" i="16" s="1"/>
  <c r="D116" i="103" l="1"/>
  <c r="D125" i="103" s="1"/>
  <c r="D126" i="103" s="1"/>
  <c r="D130" i="103" s="1"/>
  <c r="H81" i="16" s="1"/>
  <c r="K81" i="16" s="1"/>
  <c r="D116" i="104"/>
  <c r="D125" i="104" s="1"/>
  <c r="D126" i="104" s="1"/>
  <c r="D130" i="104" s="1"/>
  <c r="H82" i="16" s="1"/>
  <c r="I82" i="16" s="1"/>
  <c r="J82" i="16" s="1"/>
  <c r="D116" i="108"/>
  <c r="D125" i="108" s="1"/>
  <c r="D126" i="108" s="1"/>
  <c r="D130" i="108" s="1"/>
  <c r="H86" i="16" s="1"/>
  <c r="D112" i="106"/>
  <c r="D114" i="106"/>
  <c r="D113" i="106"/>
  <c r="D116" i="105"/>
  <c r="D125" i="105" s="1"/>
  <c r="D126" i="105" s="1"/>
  <c r="D130" i="105" s="1"/>
  <c r="H83" i="16" s="1"/>
  <c r="D116" i="107"/>
  <c r="D125" i="107" s="1"/>
  <c r="D126" i="107" s="1"/>
  <c r="D130" i="107" s="1"/>
  <c r="H85" i="16" s="1"/>
  <c r="G109" i="16"/>
  <c r="G111" i="16"/>
  <c r="H111" i="16" s="1"/>
  <c r="H109" i="16"/>
  <c r="G110" i="16"/>
  <c r="H110" i="16" s="1"/>
  <c r="D132" i="104" l="1"/>
  <c r="D134" i="104" s="1"/>
  <c r="D138" i="104" s="1"/>
  <c r="D139" i="104" s="1"/>
  <c r="D137" i="103"/>
  <c r="I81" i="16"/>
  <c r="J81" i="16" s="1"/>
  <c r="D132" i="103"/>
  <c r="D134" i="103" s="1"/>
  <c r="D138" i="103" s="1"/>
  <c r="D139" i="103" s="1"/>
  <c r="O17" i="16" s="1"/>
  <c r="K82" i="16"/>
  <c r="L82" i="16" s="1"/>
  <c r="D137" i="104"/>
  <c r="L81" i="16"/>
  <c r="I83" i="16"/>
  <c r="K83" i="16"/>
  <c r="I86" i="16"/>
  <c r="J86" i="16" s="1"/>
  <c r="K86" i="16"/>
  <c r="I85" i="16"/>
  <c r="J85" i="16" s="1"/>
  <c r="K85" i="16"/>
  <c r="L85" i="16" s="1"/>
  <c r="D137" i="108"/>
  <c r="J83" i="16"/>
  <c r="L86" i="16"/>
  <c r="D132" i="108"/>
  <c r="D134" i="108" s="1"/>
  <c r="D138" i="108" s="1"/>
  <c r="D139" i="108" s="1"/>
  <c r="D137" i="107"/>
  <c r="D132" i="107"/>
  <c r="D134" i="107" s="1"/>
  <c r="D138" i="107" s="1"/>
  <c r="D139" i="107" s="1"/>
  <c r="D137" i="105"/>
  <c r="L83" i="16" s="1"/>
  <c r="D132" i="105"/>
  <c r="D134" i="105" s="1"/>
  <c r="D138" i="105" s="1"/>
  <c r="D139" i="105" s="1"/>
  <c r="D116" i="106"/>
  <c r="D125" i="106" s="1"/>
  <c r="D126" i="106" s="1"/>
  <c r="D130" i="106" s="1"/>
  <c r="H84" i="16" s="1"/>
  <c r="O19" i="16" l="1"/>
  <c r="M17" i="16"/>
  <c r="I84" i="16"/>
  <c r="J84" i="16" s="1"/>
  <c r="K84" i="16"/>
  <c r="M19" i="16"/>
  <c r="L84" i="16"/>
  <c r="D137" i="106"/>
  <c r="D132" i="106"/>
  <c r="D134" i="106" s="1"/>
  <c r="D138" i="106" s="1"/>
  <c r="D139" i="106" s="1"/>
  <c r="M18" i="16" s="1"/>
  <c r="G61" i="16"/>
  <c r="O18" i="16" l="1"/>
  <c r="F113" i="99"/>
  <c r="C94" i="99"/>
  <c r="C81" i="99"/>
  <c r="C80" i="99"/>
  <c r="C73" i="99"/>
  <c r="C74" i="99" s="1"/>
  <c r="C69" i="99"/>
  <c r="C101" i="99" s="1"/>
  <c r="C67" i="99"/>
  <c r="D56" i="99"/>
  <c r="D55" i="99"/>
  <c r="D53" i="99"/>
  <c r="D46" i="99"/>
  <c r="D43" i="99"/>
  <c r="D37" i="99"/>
  <c r="D39" i="99" s="1"/>
  <c r="D49" i="99" l="1"/>
  <c r="D121" i="99" s="1"/>
  <c r="D120" i="99"/>
  <c r="D92" i="99"/>
  <c r="D90" i="99"/>
  <c r="D88" i="99"/>
  <c r="D82" i="99"/>
  <c r="D73" i="99"/>
  <c r="D72" i="99"/>
  <c r="D67" i="99"/>
  <c r="D66" i="99"/>
  <c r="D64" i="99"/>
  <c r="D62" i="99"/>
  <c r="D101" i="99"/>
  <c r="D94" i="99"/>
  <c r="D93" i="99"/>
  <c r="D91" i="99"/>
  <c r="D89" i="99"/>
  <c r="D84" i="99"/>
  <c r="D81" i="99"/>
  <c r="D80" i="99"/>
  <c r="D79" i="99"/>
  <c r="D68" i="99"/>
  <c r="D65" i="99"/>
  <c r="D63" i="99"/>
  <c r="D61" i="99"/>
  <c r="C75" i="99"/>
  <c r="C76" i="99" s="1"/>
  <c r="C100" i="99" s="1"/>
  <c r="D100" i="99" s="1"/>
  <c r="C83" i="99"/>
  <c r="D83" i="99" s="1"/>
  <c r="C95" i="99"/>
  <c r="C96" i="99" s="1"/>
  <c r="C103" i="99" s="1"/>
  <c r="D103" i="99" s="1"/>
  <c r="C85" i="99" l="1"/>
  <c r="C102" i="99" s="1"/>
  <c r="D102" i="99" s="1"/>
  <c r="D69" i="99"/>
  <c r="D85" i="99"/>
  <c r="D95" i="99"/>
  <c r="D96" i="99" s="1"/>
  <c r="D74" i="99"/>
  <c r="D75" i="99"/>
  <c r="D76" i="99" l="1"/>
  <c r="C105" i="99"/>
  <c r="D105" i="99" s="1"/>
  <c r="D123" i="99" l="1"/>
  <c r="D43" i="70" l="1"/>
  <c r="D39" i="85" l="1"/>
  <c r="D39" i="84"/>
  <c r="D39" i="81"/>
  <c r="D39" i="80"/>
  <c r="D39" i="94"/>
  <c r="D39" i="96"/>
  <c r="D39" i="79"/>
  <c r="D39" i="93"/>
  <c r="D39" i="78"/>
  <c r="D39" i="77"/>
  <c r="D39" i="92"/>
  <c r="D39" i="76"/>
  <c r="D39" i="97"/>
  <c r="D39" i="75"/>
  <c r="D39" i="89"/>
  <c r="D39" i="74"/>
  <c r="D39" i="91"/>
  <c r="D39" i="73"/>
  <c r="D39" i="88"/>
  <c r="D39" i="72"/>
  <c r="D39" i="87"/>
  <c r="D39" i="71"/>
  <c r="D39" i="90"/>
  <c r="D39" i="70"/>
  <c r="D39" i="1"/>
  <c r="D39" i="86"/>
  <c r="D46" i="85" l="1"/>
  <c r="D37" i="85"/>
  <c r="D43" i="85"/>
  <c r="D46" i="84"/>
  <c r="D43" i="84"/>
  <c r="D37" i="84"/>
  <c r="D46" i="83"/>
  <c r="D46" i="82"/>
  <c r="D46" i="81"/>
  <c r="D46" i="80"/>
  <c r="D46" i="94"/>
  <c r="D46" i="96"/>
  <c r="D46" i="79"/>
  <c r="D46" i="93"/>
  <c r="D46" i="78"/>
  <c r="D46" i="77"/>
  <c r="D46" i="92"/>
  <c r="D46" i="76"/>
  <c r="D46" i="97"/>
  <c r="D46" i="75"/>
  <c r="D46" i="89"/>
  <c r="D46" i="91"/>
  <c r="D46" i="74"/>
  <c r="D46" i="73"/>
  <c r="D46" i="88"/>
  <c r="D46" i="72" l="1"/>
  <c r="D46" i="87"/>
  <c r="D46" i="71" l="1"/>
  <c r="D46" i="90"/>
  <c r="D46" i="70"/>
  <c r="D46" i="1"/>
  <c r="D133" i="80" l="1"/>
  <c r="F72" i="16" l="1"/>
  <c r="F96" i="16" s="1"/>
  <c r="E72" i="16" l="1"/>
  <c r="E96" i="16" s="1"/>
  <c r="H32" i="16" l="1"/>
  <c r="G36" i="16" l="1"/>
  <c r="F113" i="97"/>
  <c r="C94" i="97"/>
  <c r="C81" i="97"/>
  <c r="C80" i="97"/>
  <c r="C73" i="97"/>
  <c r="C74" i="97" s="1"/>
  <c r="C69" i="97"/>
  <c r="C101" i="97" s="1"/>
  <c r="C67" i="97"/>
  <c r="D56" i="97"/>
  <c r="D55" i="97"/>
  <c r="D53" i="97"/>
  <c r="D43" i="97"/>
  <c r="D37" i="97"/>
  <c r="F113" i="96"/>
  <c r="C94" i="96"/>
  <c r="C81" i="96"/>
  <c r="C80" i="96"/>
  <c r="C73" i="96"/>
  <c r="C74" i="96" s="1"/>
  <c r="C69" i="96"/>
  <c r="C101" i="96" s="1"/>
  <c r="C67" i="96"/>
  <c r="D56" i="96"/>
  <c r="D55" i="96"/>
  <c r="D53" i="96"/>
  <c r="D43" i="96"/>
  <c r="D37" i="96"/>
  <c r="D49" i="96" l="1"/>
  <c r="D121" i="96" s="1"/>
  <c r="D49" i="97"/>
  <c r="D121" i="97" s="1"/>
  <c r="D120" i="97"/>
  <c r="D92" i="97"/>
  <c r="D90" i="97"/>
  <c r="D88" i="97"/>
  <c r="D82" i="97"/>
  <c r="D73" i="97"/>
  <c r="D72" i="97"/>
  <c r="D67" i="97"/>
  <c r="D66" i="97"/>
  <c r="D64" i="97"/>
  <c r="D62" i="97"/>
  <c r="D101" i="97"/>
  <c r="D94" i="97"/>
  <c r="D93" i="97"/>
  <c r="D91" i="97"/>
  <c r="D89" i="97"/>
  <c r="D84" i="97"/>
  <c r="D81" i="97"/>
  <c r="D80" i="97"/>
  <c r="D79" i="97"/>
  <c r="D68" i="97"/>
  <c r="D65" i="97"/>
  <c r="D63" i="97"/>
  <c r="D61" i="97"/>
  <c r="C75" i="97"/>
  <c r="C76" i="97" s="1"/>
  <c r="C100" i="97" s="1"/>
  <c r="C83" i="97"/>
  <c r="D83" i="97" s="1"/>
  <c r="C95" i="97"/>
  <c r="C96" i="97" s="1"/>
  <c r="C103" i="97" s="1"/>
  <c r="D103" i="97" s="1"/>
  <c r="D120" i="96"/>
  <c r="D92" i="96"/>
  <c r="D90" i="96"/>
  <c r="D88" i="96"/>
  <c r="D82" i="96"/>
  <c r="D73" i="96"/>
  <c r="D72" i="96"/>
  <c r="D67" i="96"/>
  <c r="D66" i="96"/>
  <c r="D64" i="96"/>
  <c r="D62" i="96"/>
  <c r="D101" i="96"/>
  <c r="D94" i="96"/>
  <c r="D93" i="96"/>
  <c r="D91" i="96"/>
  <c r="D89" i="96"/>
  <c r="D84" i="96"/>
  <c r="D81" i="96"/>
  <c r="D80" i="96"/>
  <c r="D79" i="96"/>
  <c r="D68" i="96"/>
  <c r="D65" i="96"/>
  <c r="D63" i="96"/>
  <c r="D61" i="96"/>
  <c r="C75" i="96"/>
  <c r="C76" i="96" s="1"/>
  <c r="C100" i="96" s="1"/>
  <c r="C83" i="96"/>
  <c r="C85" i="96" s="1"/>
  <c r="C102" i="96" s="1"/>
  <c r="D102" i="96" s="1"/>
  <c r="C95" i="96"/>
  <c r="C96" i="96" s="1"/>
  <c r="C103" i="96" s="1"/>
  <c r="D103" i="96" s="1"/>
  <c r="D69" i="97" l="1"/>
  <c r="D74" i="97"/>
  <c r="C105" i="97"/>
  <c r="D105" i="97" s="1"/>
  <c r="C85" i="97"/>
  <c r="C102" i="97" s="1"/>
  <c r="D102" i="97" s="1"/>
  <c r="D100" i="97"/>
  <c r="D85" i="97"/>
  <c r="D95" i="97"/>
  <c r="D96" i="97" s="1"/>
  <c r="D75" i="97"/>
  <c r="D76" i="97" s="1"/>
  <c r="C105" i="96"/>
  <c r="D105" i="96" s="1"/>
  <c r="D69" i="96"/>
  <c r="D95" i="96"/>
  <c r="D96" i="96" s="1"/>
  <c r="D74" i="96"/>
  <c r="D75" i="96"/>
  <c r="D83" i="96"/>
  <c r="D85" i="96" s="1"/>
  <c r="D100" i="96"/>
  <c r="D123" i="97" l="1"/>
  <c r="D123" i="96"/>
  <c r="D76" i="96"/>
  <c r="G69" i="16" l="1"/>
  <c r="D2" i="16"/>
  <c r="D32" i="16" s="1"/>
  <c r="G33" i="16" l="1"/>
  <c r="H6" i="95"/>
  <c r="F4" i="95"/>
  <c r="H3" i="95"/>
  <c r="H4" i="95" s="1"/>
  <c r="E4" i="95"/>
  <c r="D4" i="95"/>
  <c r="C4" i="95"/>
  <c r="G41" i="16" l="1"/>
  <c r="G43" i="16"/>
  <c r="G44" i="16"/>
  <c r="G45" i="16"/>
  <c r="G46" i="16"/>
  <c r="G47" i="16"/>
  <c r="G48" i="16"/>
  <c r="G49" i="16"/>
  <c r="G51" i="16"/>
  <c r="G52" i="16"/>
  <c r="G53" i="16"/>
  <c r="G54" i="16"/>
  <c r="G56" i="16"/>
  <c r="G57" i="16"/>
  <c r="G58" i="16"/>
  <c r="G59" i="16"/>
  <c r="G60" i="16"/>
  <c r="G62" i="16"/>
  <c r="G63" i="16"/>
  <c r="G64" i="16"/>
  <c r="G65" i="16"/>
  <c r="G66" i="16"/>
  <c r="G67" i="16"/>
  <c r="G71" i="16"/>
  <c r="G72" i="16"/>
  <c r="G73" i="16"/>
  <c r="G96" i="16" l="1"/>
  <c r="G70" i="16"/>
  <c r="G4" i="16" l="1"/>
  <c r="G5" i="16"/>
  <c r="G6" i="16"/>
  <c r="G7" i="16"/>
  <c r="G8" i="16"/>
  <c r="G9" i="16"/>
  <c r="G10" i="16"/>
  <c r="G11" i="16"/>
  <c r="G12" i="16"/>
  <c r="G13" i="16"/>
  <c r="G14" i="16"/>
  <c r="G27" i="16"/>
  <c r="G28" i="16"/>
  <c r="G29" i="16"/>
  <c r="G30" i="16"/>
  <c r="G3" i="16"/>
  <c r="G2" i="16"/>
  <c r="G32" i="16" l="1"/>
  <c r="D39" i="16"/>
  <c r="F113" i="94" l="1"/>
  <c r="C94" i="94"/>
  <c r="C81" i="94"/>
  <c r="C80" i="94"/>
  <c r="C73" i="94"/>
  <c r="C74" i="94" s="1"/>
  <c r="C69" i="94"/>
  <c r="C101" i="94" s="1"/>
  <c r="C67" i="94"/>
  <c r="D56" i="94"/>
  <c r="D55" i="94"/>
  <c r="D53" i="94"/>
  <c r="D43" i="94"/>
  <c r="D37" i="94"/>
  <c r="F113" i="93"/>
  <c r="C94" i="93"/>
  <c r="C81" i="93"/>
  <c r="C80" i="93"/>
  <c r="C73" i="93"/>
  <c r="C74" i="93" s="1"/>
  <c r="C69" i="93"/>
  <c r="C101" i="93" s="1"/>
  <c r="C67" i="93"/>
  <c r="D56" i="93"/>
  <c r="D55" i="93"/>
  <c r="D53" i="93"/>
  <c r="D43" i="93"/>
  <c r="D49" i="93" s="1"/>
  <c r="D121" i="93" s="1"/>
  <c r="D37" i="93"/>
  <c r="F113" i="92"/>
  <c r="C94" i="92"/>
  <c r="C81" i="92"/>
  <c r="C80" i="92"/>
  <c r="C73" i="92"/>
  <c r="C74" i="92" s="1"/>
  <c r="C69" i="92"/>
  <c r="C101" i="92" s="1"/>
  <c r="C67" i="92"/>
  <c r="D56" i="92"/>
  <c r="D55" i="92"/>
  <c r="D53" i="92"/>
  <c r="D43" i="92"/>
  <c r="D37" i="92"/>
  <c r="F113" i="91"/>
  <c r="C94" i="91"/>
  <c r="C81" i="91"/>
  <c r="C80" i="91"/>
  <c r="C73" i="91"/>
  <c r="C74" i="91" s="1"/>
  <c r="C69" i="91"/>
  <c r="C101" i="91" s="1"/>
  <c r="C67" i="91"/>
  <c r="D56" i="91"/>
  <c r="D55" i="91"/>
  <c r="D53" i="91"/>
  <c r="D43" i="91"/>
  <c r="D49" i="91" s="1"/>
  <c r="D121" i="91" s="1"/>
  <c r="D37" i="91"/>
  <c r="D37" i="76"/>
  <c r="D43" i="76"/>
  <c r="D49" i="76" s="1"/>
  <c r="D121" i="76" s="1"/>
  <c r="D53" i="76"/>
  <c r="C55" i="76"/>
  <c r="D55" i="76" s="1"/>
  <c r="C56" i="76"/>
  <c r="D56" i="76" s="1"/>
  <c r="C67" i="76"/>
  <c r="C69" i="76"/>
  <c r="C75" i="76" s="1"/>
  <c r="C76" i="76" s="1"/>
  <c r="C100" i="76" s="1"/>
  <c r="C73" i="76"/>
  <c r="C74" i="76"/>
  <c r="C80" i="76"/>
  <c r="C81" i="76"/>
  <c r="C94" i="76"/>
  <c r="C95" i="76"/>
  <c r="C96" i="76"/>
  <c r="C101" i="76"/>
  <c r="C103" i="76"/>
  <c r="C108" i="76"/>
  <c r="F113" i="76"/>
  <c r="C115" i="76"/>
  <c r="D133" i="76"/>
  <c r="F113" i="89"/>
  <c r="C94" i="89"/>
  <c r="C81" i="89"/>
  <c r="C80" i="89"/>
  <c r="C73" i="89"/>
  <c r="C74" i="89" s="1"/>
  <c r="C69" i="89"/>
  <c r="C101" i="89" s="1"/>
  <c r="C67" i="89"/>
  <c r="D56" i="89"/>
  <c r="D55" i="89"/>
  <c r="D53" i="89"/>
  <c r="D43" i="89"/>
  <c r="D37" i="89"/>
  <c r="F113" i="88"/>
  <c r="C94" i="88"/>
  <c r="C81" i="88"/>
  <c r="C80" i="88"/>
  <c r="C73" i="88"/>
  <c r="C74" i="88" s="1"/>
  <c r="C69" i="88"/>
  <c r="C101" i="88" s="1"/>
  <c r="C67" i="88"/>
  <c r="D56" i="88"/>
  <c r="D55" i="88"/>
  <c r="D53" i="88"/>
  <c r="D43" i="88"/>
  <c r="D49" i="88" s="1"/>
  <c r="D121" i="88" s="1"/>
  <c r="D37" i="88"/>
  <c r="F113" i="87"/>
  <c r="C94" i="87"/>
  <c r="C81" i="87"/>
  <c r="C80" i="87"/>
  <c r="C73" i="87"/>
  <c r="C74" i="87" s="1"/>
  <c r="C69" i="87"/>
  <c r="C101" i="87" s="1"/>
  <c r="C67" i="87"/>
  <c r="D56" i="87"/>
  <c r="D55" i="87"/>
  <c r="D53" i="87"/>
  <c r="D43" i="87"/>
  <c r="D37" i="87"/>
  <c r="F113" i="90"/>
  <c r="C94" i="90"/>
  <c r="C81" i="90"/>
  <c r="C80" i="90"/>
  <c r="C73" i="90"/>
  <c r="C74" i="90" s="1"/>
  <c r="C69" i="90"/>
  <c r="C101" i="90" s="1"/>
  <c r="C67" i="90"/>
  <c r="D56" i="90"/>
  <c r="D55" i="90"/>
  <c r="D53" i="90"/>
  <c r="D43" i="90"/>
  <c r="D37" i="90"/>
  <c r="D49" i="94" l="1"/>
  <c r="D121" i="94" s="1"/>
  <c r="D49" i="92"/>
  <c r="D121" i="92" s="1"/>
  <c r="D49" i="89"/>
  <c r="D121" i="89" s="1"/>
  <c r="D49" i="87"/>
  <c r="D121" i="87" s="1"/>
  <c r="D49" i="90"/>
  <c r="D121" i="90" s="1"/>
  <c r="D120" i="94"/>
  <c r="D92" i="94"/>
  <c r="D90" i="94"/>
  <c r="D88" i="94"/>
  <c r="D82" i="94"/>
  <c r="D73" i="94"/>
  <c r="D72" i="94"/>
  <c r="D67" i="94"/>
  <c r="D66" i="94"/>
  <c r="D64" i="94"/>
  <c r="D62" i="94"/>
  <c r="D101" i="94"/>
  <c r="D94" i="94"/>
  <c r="D93" i="94"/>
  <c r="D91" i="94"/>
  <c r="D89" i="94"/>
  <c r="D84" i="94"/>
  <c r="D81" i="94"/>
  <c r="D80" i="94"/>
  <c r="D79" i="94"/>
  <c r="D68" i="94"/>
  <c r="D65" i="94"/>
  <c r="D63" i="94"/>
  <c r="D61" i="94"/>
  <c r="C75" i="94"/>
  <c r="C76" i="94" s="1"/>
  <c r="C100" i="94" s="1"/>
  <c r="C83" i="94"/>
  <c r="C85" i="94" s="1"/>
  <c r="C102" i="94" s="1"/>
  <c r="D102" i="94" s="1"/>
  <c r="C95" i="94"/>
  <c r="C96" i="94" s="1"/>
  <c r="C103" i="94" s="1"/>
  <c r="D103" i="94" s="1"/>
  <c r="D120" i="93"/>
  <c r="D92" i="93"/>
  <c r="D90" i="93"/>
  <c r="D88" i="93"/>
  <c r="D82" i="93"/>
  <c r="D73" i="93"/>
  <c r="D72" i="93"/>
  <c r="D67" i="93"/>
  <c r="D66" i="93"/>
  <c r="D64" i="93"/>
  <c r="D62" i="93"/>
  <c r="D101" i="93"/>
  <c r="D94" i="93"/>
  <c r="D93" i="93"/>
  <c r="D91" i="93"/>
  <c r="D89" i="93"/>
  <c r="D84" i="93"/>
  <c r="D81" i="93"/>
  <c r="D80" i="93"/>
  <c r="D79" i="93"/>
  <c r="D68" i="93"/>
  <c r="D65" i="93"/>
  <c r="D63" i="93"/>
  <c r="D61" i="93"/>
  <c r="C75" i="93"/>
  <c r="C76" i="93" s="1"/>
  <c r="C100" i="93" s="1"/>
  <c r="C83" i="93"/>
  <c r="C85" i="93" s="1"/>
  <c r="C102" i="93" s="1"/>
  <c r="D102" i="93" s="1"/>
  <c r="C95" i="93"/>
  <c r="C96" i="93" s="1"/>
  <c r="C103" i="93" s="1"/>
  <c r="D103" i="93" s="1"/>
  <c r="D120" i="92"/>
  <c r="D92" i="92"/>
  <c r="D90" i="92"/>
  <c r="D88" i="92"/>
  <c r="D82" i="92"/>
  <c r="D73" i="92"/>
  <c r="D72" i="92"/>
  <c r="D67" i="92"/>
  <c r="D66" i="92"/>
  <c r="D64" i="92"/>
  <c r="D62" i="92"/>
  <c r="D101" i="92"/>
  <c r="D94" i="92"/>
  <c r="D93" i="92"/>
  <c r="D91" i="92"/>
  <c r="D89" i="92"/>
  <c r="D84" i="92"/>
  <c r="D81" i="92"/>
  <c r="D80" i="92"/>
  <c r="D79" i="92"/>
  <c r="D68" i="92"/>
  <c r="D65" i="92"/>
  <c r="D63" i="92"/>
  <c r="D61" i="92"/>
  <c r="C75" i="92"/>
  <c r="C76" i="92" s="1"/>
  <c r="C100" i="92" s="1"/>
  <c r="D100" i="92" s="1"/>
  <c r="C83" i="92"/>
  <c r="D83" i="92" s="1"/>
  <c r="C95" i="92"/>
  <c r="C96" i="92" s="1"/>
  <c r="C103" i="92" s="1"/>
  <c r="D103" i="92" s="1"/>
  <c r="D120" i="91"/>
  <c r="D92" i="91"/>
  <c r="D90" i="91"/>
  <c r="D88" i="91"/>
  <c r="D82" i="91"/>
  <c r="D73" i="91"/>
  <c r="D72" i="91"/>
  <c r="D67" i="91"/>
  <c r="D66" i="91"/>
  <c r="D64" i="91"/>
  <c r="D62" i="91"/>
  <c r="D101" i="91"/>
  <c r="D100" i="91"/>
  <c r="D94" i="91"/>
  <c r="D93" i="91"/>
  <c r="D91" i="91"/>
  <c r="D89" i="91"/>
  <c r="D84" i="91"/>
  <c r="D81" i="91"/>
  <c r="D80" i="91"/>
  <c r="D79" i="91"/>
  <c r="D68" i="91"/>
  <c r="D65" i="91"/>
  <c r="D63" i="91"/>
  <c r="D61" i="91"/>
  <c r="C75" i="91"/>
  <c r="C76" i="91" s="1"/>
  <c r="C100" i="91" s="1"/>
  <c r="C83" i="91"/>
  <c r="D83" i="91" s="1"/>
  <c r="C95" i="91"/>
  <c r="C96" i="91" s="1"/>
  <c r="C103" i="91" s="1"/>
  <c r="D103" i="91" s="1"/>
  <c r="D62" i="76"/>
  <c r="D64" i="76"/>
  <c r="D66" i="76"/>
  <c r="D67" i="76"/>
  <c r="D72" i="76"/>
  <c r="D73" i="76"/>
  <c r="D75" i="76"/>
  <c r="D82" i="76"/>
  <c r="D88" i="76"/>
  <c r="D90" i="76"/>
  <c r="D92" i="76"/>
  <c r="D120" i="76"/>
  <c r="D61" i="76"/>
  <c r="D63" i="76"/>
  <c r="D65" i="76"/>
  <c r="D68" i="76"/>
  <c r="D79" i="76"/>
  <c r="D80" i="76"/>
  <c r="D81" i="76"/>
  <c r="D84" i="76"/>
  <c r="D89" i="76"/>
  <c r="D91" i="76"/>
  <c r="D93" i="76"/>
  <c r="D94" i="76"/>
  <c r="D95" i="76"/>
  <c r="D100" i="76"/>
  <c r="D101" i="76"/>
  <c r="D103" i="76"/>
  <c r="C83" i="76"/>
  <c r="C85" i="76" s="1"/>
  <c r="C102" i="76" s="1"/>
  <c r="C105" i="76" s="1"/>
  <c r="D105" i="76" s="1"/>
  <c r="D120" i="89"/>
  <c r="D92" i="89"/>
  <c r="D90" i="89"/>
  <c r="D88" i="89"/>
  <c r="D82" i="89"/>
  <c r="D73" i="89"/>
  <c r="D72" i="89"/>
  <c r="D67" i="89"/>
  <c r="D66" i="89"/>
  <c r="D64" i="89"/>
  <c r="D62" i="89"/>
  <c r="D101" i="89"/>
  <c r="D94" i="89"/>
  <c r="D93" i="89"/>
  <c r="D91" i="89"/>
  <c r="D89" i="89"/>
  <c r="D84" i="89"/>
  <c r="D81" i="89"/>
  <c r="D80" i="89"/>
  <c r="D79" i="89"/>
  <c r="D68" i="89"/>
  <c r="D65" i="89"/>
  <c r="D63" i="89"/>
  <c r="D61" i="89"/>
  <c r="C75" i="89"/>
  <c r="C76" i="89" s="1"/>
  <c r="C100" i="89" s="1"/>
  <c r="C83" i="89"/>
  <c r="C85" i="89" s="1"/>
  <c r="C102" i="89" s="1"/>
  <c r="D102" i="89" s="1"/>
  <c r="C95" i="89"/>
  <c r="C96" i="89" s="1"/>
  <c r="C103" i="89" s="1"/>
  <c r="D103" i="89" s="1"/>
  <c r="D120" i="88"/>
  <c r="D92" i="88"/>
  <c r="D90" i="88"/>
  <c r="D88" i="88"/>
  <c r="D82" i="88"/>
  <c r="D73" i="88"/>
  <c r="D72" i="88"/>
  <c r="D67" i="88"/>
  <c r="D66" i="88"/>
  <c r="D64" i="88"/>
  <c r="D62" i="88"/>
  <c r="D101" i="88"/>
  <c r="D94" i="88"/>
  <c r="D93" i="88"/>
  <c r="D91" i="88"/>
  <c r="D89" i="88"/>
  <c r="D84" i="88"/>
  <c r="D81" i="88"/>
  <c r="D80" i="88"/>
  <c r="D79" i="88"/>
  <c r="D68" i="88"/>
  <c r="D65" i="88"/>
  <c r="D63" i="88"/>
  <c r="D61" i="88"/>
  <c r="C75" i="88"/>
  <c r="C76" i="88" s="1"/>
  <c r="C100" i="88" s="1"/>
  <c r="C83" i="88"/>
  <c r="C85" i="88" s="1"/>
  <c r="C102" i="88" s="1"/>
  <c r="D102" i="88" s="1"/>
  <c r="C95" i="88"/>
  <c r="C96" i="88" s="1"/>
  <c r="C103" i="88" s="1"/>
  <c r="D103" i="88" s="1"/>
  <c r="D120" i="87"/>
  <c r="D92" i="87"/>
  <c r="D90" i="87"/>
  <c r="D88" i="87"/>
  <c r="D82" i="87"/>
  <c r="D73" i="87"/>
  <c r="D72" i="87"/>
  <c r="D67" i="87"/>
  <c r="D66" i="87"/>
  <c r="D64" i="87"/>
  <c r="D62" i="87"/>
  <c r="D101" i="87"/>
  <c r="D94" i="87"/>
  <c r="D93" i="87"/>
  <c r="D91" i="87"/>
  <c r="D89" i="87"/>
  <c r="D84" i="87"/>
  <c r="D81" i="87"/>
  <c r="D80" i="87"/>
  <c r="D79" i="87"/>
  <c r="D68" i="87"/>
  <c r="D65" i="87"/>
  <c r="D63" i="87"/>
  <c r="D61" i="87"/>
  <c r="C75" i="87"/>
  <c r="C76" i="87" s="1"/>
  <c r="C100" i="87" s="1"/>
  <c r="C83" i="87"/>
  <c r="C85" i="87" s="1"/>
  <c r="C102" i="87" s="1"/>
  <c r="D102" i="87" s="1"/>
  <c r="C95" i="87"/>
  <c r="C96" i="87" s="1"/>
  <c r="C103" i="87" s="1"/>
  <c r="D103" i="87" s="1"/>
  <c r="D120" i="90"/>
  <c r="D92" i="90"/>
  <c r="D90" i="90"/>
  <c r="D88" i="90"/>
  <c r="D82" i="90"/>
  <c r="D73" i="90"/>
  <c r="D72" i="90"/>
  <c r="D67" i="90"/>
  <c r="D66" i="90"/>
  <c r="D64" i="90"/>
  <c r="D62" i="90"/>
  <c r="D101" i="90"/>
  <c r="D94" i="90"/>
  <c r="D93" i="90"/>
  <c r="D91" i="90"/>
  <c r="D89" i="90"/>
  <c r="D84" i="90"/>
  <c r="D81" i="90"/>
  <c r="D80" i="90"/>
  <c r="D79" i="90"/>
  <c r="D68" i="90"/>
  <c r="D65" i="90"/>
  <c r="D63" i="90"/>
  <c r="D61" i="90"/>
  <c r="C75" i="90"/>
  <c r="C76" i="90" s="1"/>
  <c r="C100" i="90" s="1"/>
  <c r="C83" i="90"/>
  <c r="C85" i="90" s="1"/>
  <c r="C102" i="90" s="1"/>
  <c r="D102" i="90" s="1"/>
  <c r="C95" i="90"/>
  <c r="C96" i="90" s="1"/>
  <c r="C103" i="90" s="1"/>
  <c r="D103" i="90" s="1"/>
  <c r="D74" i="92" l="1"/>
  <c r="D69" i="92"/>
  <c r="D74" i="76"/>
  <c r="D76" i="76" s="1"/>
  <c r="D69" i="94"/>
  <c r="D95" i="94"/>
  <c r="D96" i="94" s="1"/>
  <c r="D74" i="94"/>
  <c r="D75" i="94"/>
  <c r="D83" i="94"/>
  <c r="D85" i="94" s="1"/>
  <c r="C105" i="94"/>
  <c r="D105" i="94" s="1"/>
  <c r="D100" i="94"/>
  <c r="D69" i="93"/>
  <c r="D95" i="93"/>
  <c r="D96" i="93" s="1"/>
  <c r="D74" i="93"/>
  <c r="D75" i="93"/>
  <c r="D83" i="93"/>
  <c r="D85" i="93" s="1"/>
  <c r="C105" i="93"/>
  <c r="D105" i="93" s="1"/>
  <c r="D100" i="93"/>
  <c r="C85" i="92"/>
  <c r="C102" i="92" s="1"/>
  <c r="D102" i="92" s="1"/>
  <c r="D85" i="92"/>
  <c r="D95" i="92"/>
  <c r="D96" i="92" s="1"/>
  <c r="D75" i="92"/>
  <c r="D76" i="92" s="1"/>
  <c r="C85" i="91"/>
  <c r="C102" i="91" s="1"/>
  <c r="D102" i="91" s="1"/>
  <c r="D69" i="91"/>
  <c r="D85" i="91"/>
  <c r="D95" i="91"/>
  <c r="D96" i="91" s="1"/>
  <c r="D74" i="91"/>
  <c r="D75" i="91"/>
  <c r="D123" i="76"/>
  <c r="D96" i="76"/>
  <c r="D69" i="76"/>
  <c r="D102" i="76"/>
  <c r="D83" i="76"/>
  <c r="D85" i="76" s="1"/>
  <c r="D69" i="89"/>
  <c r="D95" i="89"/>
  <c r="D96" i="89" s="1"/>
  <c r="D74" i="89"/>
  <c r="D75" i="89"/>
  <c r="D83" i="89"/>
  <c r="D85" i="89" s="1"/>
  <c r="C105" i="89"/>
  <c r="D105" i="89" s="1"/>
  <c r="D100" i="89"/>
  <c r="D69" i="88"/>
  <c r="D95" i="88"/>
  <c r="D96" i="88" s="1"/>
  <c r="D74" i="88"/>
  <c r="D75" i="88"/>
  <c r="D83" i="88"/>
  <c r="D85" i="88" s="1"/>
  <c r="C105" i="88"/>
  <c r="D105" i="88" s="1"/>
  <c r="D100" i="88"/>
  <c r="D69" i="87"/>
  <c r="D95" i="87"/>
  <c r="D96" i="87" s="1"/>
  <c r="D74" i="87"/>
  <c r="D75" i="87"/>
  <c r="D83" i="87"/>
  <c r="D85" i="87" s="1"/>
  <c r="C105" i="87"/>
  <c r="D105" i="87" s="1"/>
  <c r="D100" i="87"/>
  <c r="C105" i="90"/>
  <c r="D105" i="90" s="1"/>
  <c r="D69" i="90"/>
  <c r="D95" i="90"/>
  <c r="D96" i="90" s="1"/>
  <c r="D74" i="90"/>
  <c r="D75" i="90"/>
  <c r="D83" i="90"/>
  <c r="D85" i="90" s="1"/>
  <c r="D100" i="90"/>
  <c r="D76" i="94" l="1"/>
  <c r="D76" i="89"/>
  <c r="D76" i="87"/>
  <c r="D76" i="93"/>
  <c r="D76" i="91"/>
  <c r="D76" i="88"/>
  <c r="D123" i="94"/>
  <c r="D123" i="93"/>
  <c r="C105" i="92"/>
  <c r="D105" i="92" s="1"/>
  <c r="C105" i="91"/>
  <c r="D105" i="91" s="1"/>
  <c r="D123" i="89"/>
  <c r="D123" i="88"/>
  <c r="D123" i="87"/>
  <c r="D76" i="90"/>
  <c r="D123" i="90"/>
  <c r="D123" i="92" l="1"/>
  <c r="D123" i="91"/>
  <c r="F113" i="86" l="1"/>
  <c r="C94" i="86"/>
  <c r="C81" i="86"/>
  <c r="C80" i="86"/>
  <c r="C73" i="86"/>
  <c r="C74" i="86" s="1"/>
  <c r="C69" i="86"/>
  <c r="C101" i="86" s="1"/>
  <c r="C67" i="86"/>
  <c r="D56" i="86"/>
  <c r="D55" i="86"/>
  <c r="D53" i="86"/>
  <c r="D46" i="86"/>
  <c r="D43" i="86"/>
  <c r="D37" i="86"/>
  <c r="D49" i="86" l="1"/>
  <c r="D121" i="86" s="1"/>
  <c r="D120" i="86"/>
  <c r="D92" i="86"/>
  <c r="D90" i="86"/>
  <c r="D88" i="86"/>
  <c r="D82" i="86"/>
  <c r="D73" i="86"/>
  <c r="D72" i="86"/>
  <c r="D67" i="86"/>
  <c r="D66" i="86"/>
  <c r="D64" i="86"/>
  <c r="D62" i="86"/>
  <c r="D101" i="86"/>
  <c r="D94" i="86"/>
  <c r="D93" i="86"/>
  <c r="D91" i="86"/>
  <c r="D89" i="86"/>
  <c r="D84" i="86"/>
  <c r="D81" i="86"/>
  <c r="D80" i="86"/>
  <c r="D79" i="86"/>
  <c r="D68" i="86"/>
  <c r="D65" i="86"/>
  <c r="D63" i="86"/>
  <c r="D61" i="86"/>
  <c r="C75" i="86"/>
  <c r="C76" i="86" s="1"/>
  <c r="C100" i="86" s="1"/>
  <c r="C83" i="86"/>
  <c r="C85" i="86" s="1"/>
  <c r="C102" i="86" s="1"/>
  <c r="D102" i="86" s="1"/>
  <c r="C95" i="86"/>
  <c r="C96" i="86" s="1"/>
  <c r="C103" i="86" s="1"/>
  <c r="D103" i="86" s="1"/>
  <c r="D69" i="86" l="1"/>
  <c r="D95" i="86"/>
  <c r="D96" i="86" s="1"/>
  <c r="D74" i="86"/>
  <c r="D75" i="86"/>
  <c r="D83" i="86"/>
  <c r="D85" i="86" s="1"/>
  <c r="C105" i="86"/>
  <c r="D105" i="86" s="1"/>
  <c r="D100" i="86"/>
  <c r="D76" i="86" l="1"/>
  <c r="D123" i="86"/>
  <c r="C32" i="16" l="1"/>
  <c r="B98" i="69" l="1"/>
  <c r="B100" i="69" s="1"/>
  <c r="D133" i="85"/>
  <c r="C115" i="85"/>
  <c r="F113" i="85"/>
  <c r="C108" i="85"/>
  <c r="C94" i="85"/>
  <c r="C81" i="85"/>
  <c r="C80" i="85"/>
  <c r="C73" i="85"/>
  <c r="C74" i="85" s="1"/>
  <c r="C67" i="85"/>
  <c r="C69" i="85" s="1"/>
  <c r="C83" i="85" s="1"/>
  <c r="D55" i="85"/>
  <c r="D54" i="85"/>
  <c r="D53" i="85"/>
  <c r="D133" i="84"/>
  <c r="C115" i="84"/>
  <c r="F113" i="84"/>
  <c r="C108" i="84"/>
  <c r="C94" i="84"/>
  <c r="C81" i="84"/>
  <c r="C80" i="84"/>
  <c r="C73" i="84"/>
  <c r="C74" i="84"/>
  <c r="C67" i="84"/>
  <c r="C69" i="84" s="1"/>
  <c r="C83" i="84" s="1"/>
  <c r="D55" i="84"/>
  <c r="D54" i="84"/>
  <c r="D53" i="84"/>
  <c r="D49" i="84"/>
  <c r="D121" i="84" s="1"/>
  <c r="D133" i="83"/>
  <c r="C115" i="83"/>
  <c r="F113" i="83"/>
  <c r="C108" i="83"/>
  <c r="C94" i="83"/>
  <c r="C81" i="83"/>
  <c r="C80" i="83"/>
  <c r="C73" i="83"/>
  <c r="C74" i="83" s="1"/>
  <c r="C67" i="83"/>
  <c r="C69" i="83" s="1"/>
  <c r="D55" i="83"/>
  <c r="D54" i="83"/>
  <c r="D53" i="83"/>
  <c r="D37" i="83"/>
  <c r="D29" i="83"/>
  <c r="D29" i="82"/>
  <c r="D38" i="82" s="1"/>
  <c r="D133" i="82"/>
  <c r="C115" i="82"/>
  <c r="F113" i="82"/>
  <c r="C108" i="82"/>
  <c r="C94" i="82"/>
  <c r="C81" i="82"/>
  <c r="C80" i="82"/>
  <c r="C73" i="82"/>
  <c r="C74" i="82" s="1"/>
  <c r="C67" i="82"/>
  <c r="C69" i="82" s="1"/>
  <c r="C83" i="82" s="1"/>
  <c r="D55" i="82"/>
  <c r="D54" i="82"/>
  <c r="D53" i="82"/>
  <c r="D37" i="82"/>
  <c r="C115" i="81"/>
  <c r="F113" i="81"/>
  <c r="C108" i="81"/>
  <c r="C94" i="81"/>
  <c r="C81" i="81"/>
  <c r="C80" i="81"/>
  <c r="C73" i="81"/>
  <c r="C74" i="81"/>
  <c r="C67" i="81"/>
  <c r="C69" i="81"/>
  <c r="D53" i="81"/>
  <c r="D43" i="81"/>
  <c r="D49" i="81" s="1"/>
  <c r="D121" i="81" s="1"/>
  <c r="D37" i="81"/>
  <c r="D120" i="81" s="1"/>
  <c r="C115" i="80"/>
  <c r="F113" i="80"/>
  <c r="C108" i="80"/>
  <c r="C94" i="80"/>
  <c r="C81" i="80"/>
  <c r="C80" i="80"/>
  <c r="C73" i="80"/>
  <c r="C74" i="80" s="1"/>
  <c r="C67" i="80"/>
  <c r="C69" i="80" s="1"/>
  <c r="C83" i="80" s="1"/>
  <c r="D53" i="80"/>
  <c r="D43" i="80"/>
  <c r="D49" i="80" s="1"/>
  <c r="D121" i="80" s="1"/>
  <c r="D37" i="80"/>
  <c r="C115" i="79"/>
  <c r="F113" i="79"/>
  <c r="C108" i="79"/>
  <c r="C94" i="79"/>
  <c r="C81" i="79"/>
  <c r="C80" i="79"/>
  <c r="C73" i="79"/>
  <c r="C74" i="79" s="1"/>
  <c r="C67" i="79"/>
  <c r="C69" i="79" s="1"/>
  <c r="C83" i="79" s="1"/>
  <c r="D53" i="79"/>
  <c r="D43" i="79"/>
  <c r="D49" i="79" s="1"/>
  <c r="D121" i="79" s="1"/>
  <c r="D37" i="79"/>
  <c r="D133" i="78"/>
  <c r="C115" i="78"/>
  <c r="F113" i="78"/>
  <c r="C108" i="78"/>
  <c r="C94" i="78"/>
  <c r="C81" i="78"/>
  <c r="C80" i="78"/>
  <c r="C73" i="78"/>
  <c r="C74" i="78" s="1"/>
  <c r="C67" i="78"/>
  <c r="C69" i="78" s="1"/>
  <c r="C83" i="78" s="1"/>
  <c r="D53" i="78"/>
  <c r="D43" i="78"/>
  <c r="D49" i="78" s="1"/>
  <c r="D121" i="78" s="1"/>
  <c r="D37" i="78"/>
  <c r="C115" i="77"/>
  <c r="F113" i="77"/>
  <c r="C108" i="77"/>
  <c r="C94" i="77"/>
  <c r="C81" i="77"/>
  <c r="C80" i="77"/>
  <c r="C73" i="77"/>
  <c r="C74" i="77" s="1"/>
  <c r="C67" i="77"/>
  <c r="C69" i="77" s="1"/>
  <c r="C83" i="77" s="1"/>
  <c r="D53" i="77"/>
  <c r="D43" i="77"/>
  <c r="D49" i="77" s="1"/>
  <c r="D121" i="77" s="1"/>
  <c r="D37" i="77"/>
  <c r="C115" i="75"/>
  <c r="F113" i="75"/>
  <c r="C108" i="75"/>
  <c r="C94" i="75"/>
  <c r="C81" i="75"/>
  <c r="C80" i="75"/>
  <c r="C73" i="75"/>
  <c r="C74" i="75"/>
  <c r="C67" i="75"/>
  <c r="C69" i="75" s="1"/>
  <c r="C83" i="75" s="1"/>
  <c r="D53" i="75"/>
  <c r="D43" i="75"/>
  <c r="D49" i="75" s="1"/>
  <c r="D121" i="75" s="1"/>
  <c r="D37" i="75"/>
  <c r="C115" i="74"/>
  <c r="F113" i="74"/>
  <c r="C108" i="74"/>
  <c r="C94" i="74"/>
  <c r="C81" i="74"/>
  <c r="C80" i="74"/>
  <c r="C73" i="74"/>
  <c r="C74" i="74"/>
  <c r="C67" i="74"/>
  <c r="C69" i="74" s="1"/>
  <c r="C83" i="74" s="1"/>
  <c r="D53" i="74"/>
  <c r="D43" i="74"/>
  <c r="D49" i="74" s="1"/>
  <c r="D121" i="74" s="1"/>
  <c r="D37" i="74"/>
  <c r="D133" i="73"/>
  <c r="C115" i="73"/>
  <c r="F113" i="73"/>
  <c r="C108" i="73"/>
  <c r="C94" i="73"/>
  <c r="C81" i="73"/>
  <c r="C80" i="73"/>
  <c r="C73" i="73"/>
  <c r="C74" i="73"/>
  <c r="C67" i="73"/>
  <c r="C69" i="73" s="1"/>
  <c r="C83" i="73" s="1"/>
  <c r="D53" i="73"/>
  <c r="D43" i="73"/>
  <c r="D49" i="73" s="1"/>
  <c r="D121" i="73" s="1"/>
  <c r="D37" i="73"/>
  <c r="C115" i="72"/>
  <c r="F113" i="72"/>
  <c r="C108" i="72"/>
  <c r="C94" i="72"/>
  <c r="C81" i="72"/>
  <c r="C80" i="72"/>
  <c r="C73" i="72"/>
  <c r="C74" i="72"/>
  <c r="C67" i="72"/>
  <c r="C69" i="72" s="1"/>
  <c r="C83" i="72" s="1"/>
  <c r="D53" i="72"/>
  <c r="D43" i="72"/>
  <c r="D49" i="72" s="1"/>
  <c r="D121" i="72" s="1"/>
  <c r="D37" i="72"/>
  <c r="C115" i="71"/>
  <c r="F113" i="71"/>
  <c r="C108" i="71"/>
  <c r="C94" i="71"/>
  <c r="C81" i="71"/>
  <c r="C80" i="71"/>
  <c r="C73" i="71"/>
  <c r="C74" i="71"/>
  <c r="C67" i="71"/>
  <c r="C69" i="71" s="1"/>
  <c r="C83" i="71" s="1"/>
  <c r="D53" i="71"/>
  <c r="D43" i="71"/>
  <c r="D49" i="71" s="1"/>
  <c r="D121" i="71" s="1"/>
  <c r="D37" i="71"/>
  <c r="C115" i="70"/>
  <c r="C108" i="70"/>
  <c r="D133" i="70"/>
  <c r="F113" i="70"/>
  <c r="C94" i="70"/>
  <c r="C81" i="70"/>
  <c r="C80" i="70"/>
  <c r="C73" i="70"/>
  <c r="C74" i="70" s="1"/>
  <c r="C67" i="70"/>
  <c r="C69" i="70" s="1"/>
  <c r="C101" i="70" s="1"/>
  <c r="D53" i="70"/>
  <c r="D37" i="70"/>
  <c r="B28" i="69"/>
  <c r="B43" i="69"/>
  <c r="C81" i="1"/>
  <c r="B16" i="69"/>
  <c r="E3" i="68"/>
  <c r="D3" i="68"/>
  <c r="D4" i="68"/>
  <c r="E4" i="68" s="1"/>
  <c r="D5" i="68"/>
  <c r="E5" i="68" s="1"/>
  <c r="D2" i="68"/>
  <c r="E2" i="68" s="1"/>
  <c r="D11" i="67"/>
  <c r="D12" i="67"/>
  <c r="D13" i="67" s="1"/>
  <c r="D14" i="67" s="1"/>
  <c r="G6" i="66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44" i="66" s="1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5" i="66"/>
  <c r="D43" i="1"/>
  <c r="C67" i="1"/>
  <c r="C69" i="1" s="1"/>
  <c r="C83" i="1" s="1"/>
  <c r="C73" i="1"/>
  <c r="C74" i="1" s="1"/>
  <c r="C80" i="1"/>
  <c r="C94" i="1"/>
  <c r="F113" i="1"/>
  <c r="D37" i="1"/>
  <c r="D53" i="1"/>
  <c r="D94" i="85"/>
  <c r="D93" i="85"/>
  <c r="D91" i="85"/>
  <c r="D89" i="85"/>
  <c r="D84" i="85"/>
  <c r="D81" i="85"/>
  <c r="D80" i="85"/>
  <c r="D79" i="85"/>
  <c r="D68" i="85"/>
  <c r="D65" i="85"/>
  <c r="D63" i="85"/>
  <c r="D61" i="85"/>
  <c r="D120" i="85"/>
  <c r="D92" i="85"/>
  <c r="D90" i="85"/>
  <c r="D88" i="85"/>
  <c r="D83" i="85"/>
  <c r="D82" i="85"/>
  <c r="D73" i="85"/>
  <c r="D72" i="85"/>
  <c r="D67" i="85"/>
  <c r="D66" i="85"/>
  <c r="D64" i="85"/>
  <c r="D62" i="85"/>
  <c r="C85" i="85"/>
  <c r="C102" i="85"/>
  <c r="D102" i="85" s="1"/>
  <c r="C95" i="85"/>
  <c r="C96" i="85" s="1"/>
  <c r="C103" i="85" s="1"/>
  <c r="D103" i="85" s="1"/>
  <c r="C101" i="85"/>
  <c r="D101" i="85" s="1"/>
  <c r="C75" i="85"/>
  <c r="C76" i="85" s="1"/>
  <c r="C100" i="85" s="1"/>
  <c r="C105" i="85" s="1"/>
  <c r="D105" i="85" s="1"/>
  <c r="C85" i="84"/>
  <c r="C102" i="84" s="1"/>
  <c r="C95" i="84"/>
  <c r="C96" i="84"/>
  <c r="C103" i="84" s="1"/>
  <c r="C101" i="84"/>
  <c r="C75" i="84"/>
  <c r="C76" i="84"/>
  <c r="C100" i="84" s="1"/>
  <c r="C105" i="84" s="1"/>
  <c r="C101" i="83"/>
  <c r="C95" i="83"/>
  <c r="C96" i="83"/>
  <c r="C103" i="83" s="1"/>
  <c r="C83" i="83"/>
  <c r="C85" i="83" s="1"/>
  <c r="C102" i="83" s="1"/>
  <c r="C75" i="83"/>
  <c r="C76" i="83"/>
  <c r="C100" i="83" s="1"/>
  <c r="C105" i="83" s="1"/>
  <c r="C85" i="82"/>
  <c r="C102" i="82" s="1"/>
  <c r="C95" i="82"/>
  <c r="C96" i="82"/>
  <c r="C103" i="82" s="1"/>
  <c r="C101" i="82"/>
  <c r="C75" i="82"/>
  <c r="C76" i="82"/>
  <c r="C100" i="82" s="1"/>
  <c r="C105" i="82" s="1"/>
  <c r="C101" i="81"/>
  <c r="C95" i="81"/>
  <c r="C96" i="81"/>
  <c r="C103" i="81" s="1"/>
  <c r="C83" i="81"/>
  <c r="C85" i="81" s="1"/>
  <c r="C102" i="81" s="1"/>
  <c r="D102" i="81" s="1"/>
  <c r="C75" i="81"/>
  <c r="C76" i="81"/>
  <c r="C100" i="81" s="1"/>
  <c r="D63" i="81"/>
  <c r="D68" i="81"/>
  <c r="D80" i="81"/>
  <c r="D84" i="81"/>
  <c r="D91" i="81"/>
  <c r="D94" i="81"/>
  <c r="D62" i="81"/>
  <c r="D66" i="81"/>
  <c r="D72" i="81"/>
  <c r="D75" i="81"/>
  <c r="D88" i="81"/>
  <c r="D92" i="81"/>
  <c r="D94" i="80"/>
  <c r="D93" i="80"/>
  <c r="D91" i="80"/>
  <c r="D89" i="80"/>
  <c r="D84" i="80"/>
  <c r="D81" i="80"/>
  <c r="D80" i="80"/>
  <c r="D79" i="80"/>
  <c r="D68" i="80"/>
  <c r="D65" i="80"/>
  <c r="D63" i="80"/>
  <c r="D61" i="80"/>
  <c r="D120" i="80"/>
  <c r="D92" i="80"/>
  <c r="D90" i="80"/>
  <c r="D88" i="80"/>
  <c r="D83" i="80"/>
  <c r="D82" i="80"/>
  <c r="D73" i="80"/>
  <c r="D72" i="80"/>
  <c r="D67" i="80"/>
  <c r="D66" i="80"/>
  <c r="D64" i="80"/>
  <c r="D62" i="80"/>
  <c r="C85" i="80"/>
  <c r="C102" i="80"/>
  <c r="D102" i="80" s="1"/>
  <c r="C95" i="80"/>
  <c r="C96" i="80" s="1"/>
  <c r="C103" i="80" s="1"/>
  <c r="D103" i="80" s="1"/>
  <c r="C101" i="80"/>
  <c r="D101" i="80" s="1"/>
  <c r="C75" i="80"/>
  <c r="C76" i="80" s="1"/>
  <c r="C100" i="80" s="1"/>
  <c r="C105" i="80" s="1"/>
  <c r="D105" i="80" s="1"/>
  <c r="D94" i="79"/>
  <c r="D93" i="79"/>
  <c r="D91" i="79"/>
  <c r="D89" i="79"/>
  <c r="D84" i="79"/>
  <c r="D81" i="79"/>
  <c r="D80" i="79"/>
  <c r="D79" i="79"/>
  <c r="D68" i="79"/>
  <c r="D65" i="79"/>
  <c r="D63" i="79"/>
  <c r="D61" i="79"/>
  <c r="D120" i="79"/>
  <c r="D92" i="79"/>
  <c r="D90" i="79"/>
  <c r="D88" i="79"/>
  <c r="D83" i="79"/>
  <c r="D82" i="79"/>
  <c r="D73" i="79"/>
  <c r="D72" i="79"/>
  <c r="D67" i="79"/>
  <c r="D66" i="79"/>
  <c r="D64" i="79"/>
  <c r="D62" i="79"/>
  <c r="C85" i="79"/>
  <c r="C102" i="79"/>
  <c r="D102" i="79" s="1"/>
  <c r="C95" i="79"/>
  <c r="C96" i="79" s="1"/>
  <c r="C103" i="79" s="1"/>
  <c r="D103" i="79" s="1"/>
  <c r="C101" i="79"/>
  <c r="D101" i="79" s="1"/>
  <c r="C75" i="79"/>
  <c r="C76" i="79" s="1"/>
  <c r="C100" i="79" s="1"/>
  <c r="C105" i="79" s="1"/>
  <c r="D105" i="79" s="1"/>
  <c r="D94" i="78"/>
  <c r="D93" i="78"/>
  <c r="D91" i="78"/>
  <c r="D89" i="78"/>
  <c r="D84" i="78"/>
  <c r="D81" i="78"/>
  <c r="D80" i="78"/>
  <c r="D79" i="78"/>
  <c r="D68" i="78"/>
  <c r="D65" i="78"/>
  <c r="D63" i="78"/>
  <c r="D61" i="78"/>
  <c r="D120" i="78"/>
  <c r="D92" i="78"/>
  <c r="D90" i="78"/>
  <c r="D88" i="78"/>
  <c r="D83" i="78"/>
  <c r="D82" i="78"/>
  <c r="D73" i="78"/>
  <c r="D72" i="78"/>
  <c r="D67" i="78"/>
  <c r="D66" i="78"/>
  <c r="D64" i="78"/>
  <c r="D62" i="78"/>
  <c r="C85" i="78"/>
  <c r="C102" i="78"/>
  <c r="D102" i="78" s="1"/>
  <c r="C95" i="78"/>
  <c r="C96" i="78" s="1"/>
  <c r="C103" i="78" s="1"/>
  <c r="D103" i="78" s="1"/>
  <c r="C101" i="78"/>
  <c r="D101" i="78" s="1"/>
  <c r="C75" i="78"/>
  <c r="C76" i="78" s="1"/>
  <c r="C100" i="78" s="1"/>
  <c r="C105" i="78" s="1"/>
  <c r="D105" i="78" s="1"/>
  <c r="D123" i="78" s="1"/>
  <c r="D94" i="77"/>
  <c r="D93" i="77"/>
  <c r="D91" i="77"/>
  <c r="D89" i="77"/>
  <c r="D84" i="77"/>
  <c r="D81" i="77"/>
  <c r="D80" i="77"/>
  <c r="D79" i="77"/>
  <c r="D68" i="77"/>
  <c r="D65" i="77"/>
  <c r="D63" i="77"/>
  <c r="D61" i="77"/>
  <c r="D120" i="77"/>
  <c r="D92" i="77"/>
  <c r="D90" i="77"/>
  <c r="D88" i="77"/>
  <c r="D83" i="77"/>
  <c r="D82" i="77"/>
  <c r="D73" i="77"/>
  <c r="D72" i="77"/>
  <c r="D67" i="77"/>
  <c r="D66" i="77"/>
  <c r="D64" i="77"/>
  <c r="D62" i="77"/>
  <c r="C85" i="77"/>
  <c r="C102" i="77"/>
  <c r="D102" i="77" s="1"/>
  <c r="C95" i="77"/>
  <c r="C96" i="77" s="1"/>
  <c r="C103" i="77" s="1"/>
  <c r="D103" i="77" s="1"/>
  <c r="C101" i="77"/>
  <c r="D101" i="77" s="1"/>
  <c r="C75" i="77"/>
  <c r="C76" i="77" s="1"/>
  <c r="C100" i="77" s="1"/>
  <c r="C105" i="77" s="1"/>
  <c r="D105" i="77" s="1"/>
  <c r="D94" i="75"/>
  <c r="D93" i="75"/>
  <c r="D91" i="75"/>
  <c r="D89" i="75"/>
  <c r="D84" i="75"/>
  <c r="D81" i="75"/>
  <c r="D80" i="75"/>
  <c r="D79" i="75"/>
  <c r="D68" i="75"/>
  <c r="D65" i="75"/>
  <c r="D63" i="75"/>
  <c r="D61" i="75"/>
  <c r="D120" i="75"/>
  <c r="D92" i="75"/>
  <c r="D90" i="75"/>
  <c r="D88" i="75"/>
  <c r="D83" i="75"/>
  <c r="D82" i="75"/>
  <c r="D73" i="75"/>
  <c r="D72" i="75"/>
  <c r="D67" i="75"/>
  <c r="D66" i="75"/>
  <c r="D64" i="75"/>
  <c r="D62" i="75"/>
  <c r="C85" i="75"/>
  <c r="C102" i="75"/>
  <c r="D102" i="75" s="1"/>
  <c r="C95" i="75"/>
  <c r="C96" i="75" s="1"/>
  <c r="C103" i="75"/>
  <c r="D103" i="75" s="1"/>
  <c r="C101" i="75"/>
  <c r="D101" i="75" s="1"/>
  <c r="C75" i="75"/>
  <c r="C76" i="75" s="1"/>
  <c r="C100" i="75" s="1"/>
  <c r="D94" i="74"/>
  <c r="D93" i="74"/>
  <c r="D91" i="74"/>
  <c r="D89" i="74"/>
  <c r="D84" i="74"/>
  <c r="D81" i="74"/>
  <c r="D80" i="74"/>
  <c r="D85" i="74" s="1"/>
  <c r="D79" i="74"/>
  <c r="D68" i="74"/>
  <c r="D65" i="74"/>
  <c r="D63" i="74"/>
  <c r="D61" i="74"/>
  <c r="D120" i="74"/>
  <c r="D92" i="74"/>
  <c r="D90" i="74"/>
  <c r="D88" i="74"/>
  <c r="D83" i="74"/>
  <c r="D82" i="74"/>
  <c r="D73" i="74"/>
  <c r="D72" i="74"/>
  <c r="D67" i="74"/>
  <c r="D66" i="74"/>
  <c r="D64" i="74"/>
  <c r="D62" i="74"/>
  <c r="C85" i="74"/>
  <c r="C102" i="74"/>
  <c r="D102" i="74" s="1"/>
  <c r="C95" i="74"/>
  <c r="C96" i="74" s="1"/>
  <c r="C103" i="74"/>
  <c r="D103" i="74" s="1"/>
  <c r="C101" i="74"/>
  <c r="D101" i="74" s="1"/>
  <c r="C75" i="74"/>
  <c r="C76" i="74" s="1"/>
  <c r="C100" i="74" s="1"/>
  <c r="D94" i="73"/>
  <c r="D93" i="73"/>
  <c r="D91" i="73"/>
  <c r="D89" i="73"/>
  <c r="D84" i="73"/>
  <c r="D81" i="73"/>
  <c r="D80" i="73"/>
  <c r="D79" i="73"/>
  <c r="D68" i="73"/>
  <c r="D65" i="73"/>
  <c r="D63" i="73"/>
  <c r="D61" i="73"/>
  <c r="D120" i="73"/>
  <c r="D92" i="73"/>
  <c r="D90" i="73"/>
  <c r="D88" i="73"/>
  <c r="D83" i="73"/>
  <c r="D82" i="73"/>
  <c r="D73" i="73"/>
  <c r="D72" i="73"/>
  <c r="D67" i="73"/>
  <c r="D66" i="73"/>
  <c r="D64" i="73"/>
  <c r="D62" i="73"/>
  <c r="C85" i="73"/>
  <c r="C102" i="73"/>
  <c r="D102" i="73" s="1"/>
  <c r="C95" i="73"/>
  <c r="C96" i="73" s="1"/>
  <c r="C103" i="73"/>
  <c r="D103" i="73" s="1"/>
  <c r="C101" i="73"/>
  <c r="D101" i="73" s="1"/>
  <c r="C75" i="73"/>
  <c r="C76" i="73" s="1"/>
  <c r="C100" i="73" s="1"/>
  <c r="D94" i="72"/>
  <c r="D93" i="72"/>
  <c r="D91" i="72"/>
  <c r="D89" i="72"/>
  <c r="D84" i="72"/>
  <c r="D81" i="72"/>
  <c r="D80" i="72"/>
  <c r="D79" i="72"/>
  <c r="D68" i="72"/>
  <c r="D65" i="72"/>
  <c r="D63" i="72"/>
  <c r="D61" i="72"/>
  <c r="D120" i="72"/>
  <c r="D92" i="72"/>
  <c r="D90" i="72"/>
  <c r="D88" i="72"/>
  <c r="D83" i="72"/>
  <c r="D82" i="72"/>
  <c r="D73" i="72"/>
  <c r="D72" i="72"/>
  <c r="D67" i="72"/>
  <c r="D66" i="72"/>
  <c r="D64" i="72"/>
  <c r="D62" i="72"/>
  <c r="C85" i="72"/>
  <c r="C102" i="72" s="1"/>
  <c r="D102" i="72" s="1"/>
  <c r="C95" i="72"/>
  <c r="C96" i="72"/>
  <c r="C103" i="72" s="1"/>
  <c r="D103" i="72" s="1"/>
  <c r="C101" i="72"/>
  <c r="D101" i="72" s="1"/>
  <c r="C75" i="72"/>
  <c r="C76" i="72" s="1"/>
  <c r="C100" i="72" s="1"/>
  <c r="D94" i="71"/>
  <c r="D93" i="71"/>
  <c r="D91" i="71"/>
  <c r="D89" i="71"/>
  <c r="D84" i="71"/>
  <c r="D81" i="71"/>
  <c r="D80" i="71"/>
  <c r="D79" i="71"/>
  <c r="D68" i="71"/>
  <c r="D65" i="71"/>
  <c r="D63" i="71"/>
  <c r="D61" i="71"/>
  <c r="D120" i="71"/>
  <c r="D92" i="71"/>
  <c r="D90" i="71"/>
  <c r="D88" i="71"/>
  <c r="D83" i="71"/>
  <c r="D82" i="71"/>
  <c r="D73" i="71"/>
  <c r="D72" i="71"/>
  <c r="D67" i="71"/>
  <c r="D66" i="71"/>
  <c r="D64" i="71"/>
  <c r="D62" i="71"/>
  <c r="C85" i="71"/>
  <c r="C102" i="71" s="1"/>
  <c r="D102" i="71" s="1"/>
  <c r="C95" i="71"/>
  <c r="C96" i="71"/>
  <c r="C103" i="71" s="1"/>
  <c r="D103" i="71" s="1"/>
  <c r="C101" i="71"/>
  <c r="D101" i="71" s="1"/>
  <c r="C75" i="71"/>
  <c r="C76" i="71" s="1"/>
  <c r="C100" i="71" s="1"/>
  <c r="D120" i="70"/>
  <c r="D92" i="70"/>
  <c r="D90" i="70"/>
  <c r="D88" i="70"/>
  <c r="D82" i="70"/>
  <c r="D73" i="70"/>
  <c r="D72" i="70"/>
  <c r="D67" i="70"/>
  <c r="D66" i="70"/>
  <c r="D64" i="70"/>
  <c r="D62" i="70"/>
  <c r="D101" i="70"/>
  <c r="D94" i="70"/>
  <c r="D93" i="70"/>
  <c r="D91" i="70"/>
  <c r="D89" i="70"/>
  <c r="D84" i="70"/>
  <c r="D81" i="70"/>
  <c r="D80" i="70"/>
  <c r="D79" i="70"/>
  <c r="D68" i="70"/>
  <c r="D65" i="70"/>
  <c r="D63" i="70"/>
  <c r="D61" i="70"/>
  <c r="C75" i="70"/>
  <c r="C76" i="70" s="1"/>
  <c r="C100" i="70" s="1"/>
  <c r="C83" i="70"/>
  <c r="D83" i="70"/>
  <c r="C95" i="70"/>
  <c r="C96" i="70"/>
  <c r="C103" i="70" s="1"/>
  <c r="D103" i="70" s="1"/>
  <c r="C85" i="1"/>
  <c r="C102" i="1" s="1"/>
  <c r="C95" i="1"/>
  <c r="C96" i="1" s="1"/>
  <c r="C103" i="1" s="1"/>
  <c r="C75" i="1"/>
  <c r="C76" i="1" s="1"/>
  <c r="C100" i="1" s="1"/>
  <c r="C101" i="1"/>
  <c r="D123" i="85"/>
  <c r="D69" i="85"/>
  <c r="D95" i="85"/>
  <c r="D96" i="85" s="1"/>
  <c r="D75" i="85"/>
  <c r="D100" i="85"/>
  <c r="D123" i="80"/>
  <c r="D74" i="80"/>
  <c r="D75" i="80"/>
  <c r="D100" i="80"/>
  <c r="D69" i="80"/>
  <c r="D85" i="80"/>
  <c r="D95" i="80"/>
  <c r="D96" i="80" s="1"/>
  <c r="D123" i="79"/>
  <c r="D74" i="79"/>
  <c r="D75" i="79"/>
  <c r="D100" i="79"/>
  <c r="D69" i="79"/>
  <c r="D85" i="79"/>
  <c r="D95" i="79"/>
  <c r="D96" i="79" s="1"/>
  <c r="D75" i="78"/>
  <c r="D100" i="78"/>
  <c r="D69" i="78"/>
  <c r="D95" i="78"/>
  <c r="D96" i="78" s="1"/>
  <c r="D123" i="77"/>
  <c r="D74" i="77"/>
  <c r="D75" i="77"/>
  <c r="D100" i="77"/>
  <c r="D69" i="77"/>
  <c r="D85" i="77"/>
  <c r="D95" i="77"/>
  <c r="D96" i="77" s="1"/>
  <c r="D74" i="75"/>
  <c r="D75" i="75"/>
  <c r="D69" i="75"/>
  <c r="D85" i="75"/>
  <c r="D95" i="75"/>
  <c r="D96" i="75" s="1"/>
  <c r="D74" i="74"/>
  <c r="D75" i="74"/>
  <c r="D69" i="74"/>
  <c r="D95" i="74"/>
  <c r="D96" i="74" s="1"/>
  <c r="D69" i="73"/>
  <c r="D85" i="73"/>
  <c r="D95" i="73"/>
  <c r="D96" i="73" s="1"/>
  <c r="D74" i="73"/>
  <c r="D75" i="73"/>
  <c r="D85" i="72"/>
  <c r="D95" i="72"/>
  <c r="D74" i="72"/>
  <c r="D75" i="72"/>
  <c r="D85" i="71"/>
  <c r="D95" i="71"/>
  <c r="D74" i="71"/>
  <c r="D75" i="71"/>
  <c r="C85" i="70"/>
  <c r="C102" i="70"/>
  <c r="D102" i="70" s="1"/>
  <c r="D85" i="70"/>
  <c r="D95" i="70"/>
  <c r="D96" i="70" s="1"/>
  <c r="D74" i="70"/>
  <c r="D75" i="70"/>
  <c r="D76" i="75"/>
  <c r="G5" i="95" l="1"/>
  <c r="G45" i="66"/>
  <c r="G46" i="66" s="1"/>
  <c r="G48" i="66" s="1"/>
  <c r="D69" i="71"/>
  <c r="D76" i="70"/>
  <c r="D43" i="83"/>
  <c r="D49" i="83" s="1"/>
  <c r="D121" i="83" s="1"/>
  <c r="D39" i="83"/>
  <c r="D85" i="85"/>
  <c r="D43" i="82"/>
  <c r="D49" i="82" s="1"/>
  <c r="D121" i="82" s="1"/>
  <c r="D39" i="82"/>
  <c r="D103" i="82" s="1"/>
  <c r="D74" i="78"/>
  <c r="D76" i="78" s="1"/>
  <c r="D96" i="71"/>
  <c r="D85" i="78"/>
  <c r="D76" i="74"/>
  <c r="D69" i="72"/>
  <c r="D94" i="1"/>
  <c r="D93" i="1"/>
  <c r="D90" i="1"/>
  <c r="D67" i="1"/>
  <c r="D83" i="1"/>
  <c r="D92" i="1"/>
  <c r="D120" i="1"/>
  <c r="D75" i="1"/>
  <c r="D82" i="1"/>
  <c r="D80" i="1"/>
  <c r="D73" i="1"/>
  <c r="D66" i="1"/>
  <c r="D64" i="1"/>
  <c r="D88" i="1"/>
  <c r="D62" i="1"/>
  <c r="D61" i="1"/>
  <c r="D81" i="1"/>
  <c r="D84" i="1"/>
  <c r="D89" i="1"/>
  <c r="D63" i="1"/>
  <c r="D72" i="1"/>
  <c r="D74" i="1" s="1"/>
  <c r="D91" i="1"/>
  <c r="D68" i="1"/>
  <c r="D79" i="1"/>
  <c r="D65" i="1"/>
  <c r="D95" i="1"/>
  <c r="D96" i="1" s="1"/>
  <c r="D101" i="1"/>
  <c r="D102" i="1"/>
  <c r="D103" i="1"/>
  <c r="D74" i="85"/>
  <c r="D76" i="85" s="1"/>
  <c r="D120" i="82"/>
  <c r="D76" i="79"/>
  <c r="D76" i="73"/>
  <c r="D76" i="72"/>
  <c r="D96" i="72"/>
  <c r="D76" i="71"/>
  <c r="D49" i="1"/>
  <c r="D121" i="1" s="1"/>
  <c r="D90" i="81"/>
  <c r="D82" i="81"/>
  <c r="D73" i="81"/>
  <c r="D74" i="81" s="1"/>
  <c r="D76" i="81" s="1"/>
  <c r="D67" i="81"/>
  <c r="D64" i="81"/>
  <c r="D95" i="81"/>
  <c r="D96" i="81" s="1"/>
  <c r="D93" i="81"/>
  <c r="D89" i="81"/>
  <c r="D81" i="81"/>
  <c r="D79" i="81"/>
  <c r="D65" i="81"/>
  <c r="D61" i="81"/>
  <c r="D103" i="81"/>
  <c r="D101" i="81"/>
  <c r="D76" i="80"/>
  <c r="D76" i="77"/>
  <c r="D49" i="70"/>
  <c r="D121" i="70" s="1"/>
  <c r="D69" i="70"/>
  <c r="D85" i="1"/>
  <c r="C105" i="71"/>
  <c r="D105" i="71" s="1"/>
  <c r="D123" i="71" s="1"/>
  <c r="D100" i="71"/>
  <c r="C105" i="73"/>
  <c r="D105" i="73" s="1"/>
  <c r="D123" i="73" s="1"/>
  <c r="D100" i="73"/>
  <c r="C105" i="74"/>
  <c r="D105" i="74" s="1"/>
  <c r="D123" i="74" s="1"/>
  <c r="D100" i="74"/>
  <c r="C105" i="75"/>
  <c r="D105" i="75" s="1"/>
  <c r="D123" i="75" s="1"/>
  <c r="D100" i="75"/>
  <c r="D100" i="1"/>
  <c r="C105" i="1"/>
  <c r="D105" i="1" s="1"/>
  <c r="D123" i="1" s="1"/>
  <c r="C105" i="70"/>
  <c r="D105" i="70" s="1"/>
  <c r="D123" i="70" s="1"/>
  <c r="D100" i="70"/>
  <c r="C105" i="72"/>
  <c r="D105" i="72" s="1"/>
  <c r="D123" i="72" s="1"/>
  <c r="D100" i="72"/>
  <c r="C105" i="81"/>
  <c r="D105" i="81" s="1"/>
  <c r="D123" i="81" s="1"/>
  <c r="D100" i="81"/>
  <c r="D83" i="81"/>
  <c r="D92" i="82"/>
  <c r="C55" i="77"/>
  <c r="D55" i="77" s="1"/>
  <c r="C55" i="75"/>
  <c r="D55" i="75" s="1"/>
  <c r="C55" i="74"/>
  <c r="D55" i="74" s="1"/>
  <c r="C55" i="72"/>
  <c r="D55" i="72" s="1"/>
  <c r="C55" i="1"/>
  <c r="D55" i="1" s="1"/>
  <c r="C55" i="81"/>
  <c r="D55" i="81" s="1"/>
  <c r="C55" i="80"/>
  <c r="D55" i="80" s="1"/>
  <c r="C55" i="79"/>
  <c r="D55" i="79" s="1"/>
  <c r="C55" i="78"/>
  <c r="D55" i="78" s="1"/>
  <c r="C55" i="73"/>
  <c r="D55" i="73" s="1"/>
  <c r="C55" i="71"/>
  <c r="D55" i="71" s="1"/>
  <c r="C55" i="70"/>
  <c r="D55" i="70" s="1"/>
  <c r="E6" i="68"/>
  <c r="D49" i="85"/>
  <c r="D121" i="85" s="1"/>
  <c r="D89" i="82" l="1"/>
  <c r="D66" i="82"/>
  <c r="D64" i="82"/>
  <c r="D69" i="1"/>
  <c r="D57" i="99"/>
  <c r="D57" i="96"/>
  <c r="D57" i="93"/>
  <c r="D57" i="76"/>
  <c r="D57" i="94"/>
  <c r="D57" i="79"/>
  <c r="D57" i="92"/>
  <c r="D57" i="97"/>
  <c r="D57" i="89"/>
  <c r="D57" i="91"/>
  <c r="D57" i="88"/>
  <c r="D57" i="87"/>
  <c r="D57" i="90"/>
  <c r="D57" i="86"/>
  <c r="D65" i="82"/>
  <c r="D82" i="82"/>
  <c r="D105" i="82"/>
  <c r="D123" i="82" s="1"/>
  <c r="D90" i="82"/>
  <c r="D83" i="82"/>
  <c r="D120" i="83"/>
  <c r="D90" i="83"/>
  <c r="D83" i="83"/>
  <c r="D75" i="83"/>
  <c r="D72" i="83"/>
  <c r="D66" i="83"/>
  <c r="D62" i="83"/>
  <c r="D103" i="83"/>
  <c r="D101" i="83"/>
  <c r="D95" i="83"/>
  <c r="D93" i="83"/>
  <c r="D89" i="83"/>
  <c r="D81" i="83"/>
  <c r="D79" i="83"/>
  <c r="D65" i="83"/>
  <c r="D61" i="83"/>
  <c r="D92" i="83"/>
  <c r="D88" i="83"/>
  <c r="D82" i="83"/>
  <c r="D73" i="83"/>
  <c r="D67" i="83"/>
  <c r="D64" i="83"/>
  <c r="D105" i="83"/>
  <c r="D123" i="83" s="1"/>
  <c r="D102" i="83"/>
  <c r="D100" i="83"/>
  <c r="D94" i="83"/>
  <c r="D91" i="83"/>
  <c r="D84" i="83"/>
  <c r="D80" i="83"/>
  <c r="D68" i="83"/>
  <c r="D63" i="83"/>
  <c r="D94" i="82"/>
  <c r="D93" i="82"/>
  <c r="D80" i="82"/>
  <c r="D91" i="82"/>
  <c r="D75" i="82"/>
  <c r="D67" i="82"/>
  <c r="D68" i="82"/>
  <c r="D84" i="82"/>
  <c r="D95" i="82"/>
  <c r="D96" i="82" s="1"/>
  <c r="D100" i="82"/>
  <c r="D81" i="82"/>
  <c r="D61" i="82"/>
  <c r="D69" i="82" s="1"/>
  <c r="D88" i="82"/>
  <c r="D72" i="82"/>
  <c r="D62" i="82"/>
  <c r="D63" i="82"/>
  <c r="D73" i="82"/>
  <c r="D79" i="82"/>
  <c r="D85" i="82" s="1"/>
  <c r="D102" i="82"/>
  <c r="D101" i="82"/>
  <c r="D85" i="81"/>
  <c r="D76" i="1"/>
  <c r="D93" i="84"/>
  <c r="D89" i="84"/>
  <c r="D81" i="84"/>
  <c r="D79" i="84"/>
  <c r="D65" i="84"/>
  <c r="D61" i="84"/>
  <c r="D92" i="84"/>
  <c r="D88" i="84"/>
  <c r="D82" i="84"/>
  <c r="D72" i="84"/>
  <c r="D66" i="84"/>
  <c r="D62" i="84"/>
  <c r="D75" i="84"/>
  <c r="D94" i="84"/>
  <c r="D91" i="84"/>
  <c r="D84" i="84"/>
  <c r="D80" i="84"/>
  <c r="D68" i="84"/>
  <c r="D63" i="84"/>
  <c r="D120" i="84"/>
  <c r="D90" i="84"/>
  <c r="D83" i="84"/>
  <c r="D73" i="84"/>
  <c r="D67" i="84"/>
  <c r="D64" i="84"/>
  <c r="D101" i="84"/>
  <c r="D95" i="84"/>
  <c r="D96" i="84" s="1"/>
  <c r="D100" i="84"/>
  <c r="D103" i="84"/>
  <c r="D102" i="84"/>
  <c r="D105" i="84"/>
  <c r="D123" i="84" s="1"/>
  <c r="D69" i="81"/>
  <c r="C56" i="85"/>
  <c r="D56" i="85" s="1"/>
  <c r="D57" i="85" s="1"/>
  <c r="C56" i="82"/>
  <c r="D56" i="82" s="1"/>
  <c r="D57" i="82" s="1"/>
  <c r="C56" i="80"/>
  <c r="D56" i="80" s="1"/>
  <c r="D57" i="80" s="1"/>
  <c r="D122" i="80" s="1"/>
  <c r="D124" i="80" s="1"/>
  <c r="C56" i="79"/>
  <c r="D56" i="79" s="1"/>
  <c r="C56" i="78"/>
  <c r="D56" i="78" s="1"/>
  <c r="D57" i="78" s="1"/>
  <c r="C56" i="77"/>
  <c r="D56" i="77" s="1"/>
  <c r="C56" i="70"/>
  <c r="D56" i="70" s="1"/>
  <c r="D57" i="70" s="1"/>
  <c r="D106" i="70" s="1"/>
  <c r="C56" i="1"/>
  <c r="D56" i="1" s="1"/>
  <c r="C56" i="84"/>
  <c r="D56" i="84" s="1"/>
  <c r="D57" i="84" s="1"/>
  <c r="C56" i="83"/>
  <c r="D56" i="83" s="1"/>
  <c r="D57" i="83" s="1"/>
  <c r="C56" i="81"/>
  <c r="D56" i="81" s="1"/>
  <c r="D57" i="81" s="1"/>
  <c r="C56" i="75"/>
  <c r="D56" i="75" s="1"/>
  <c r="C56" i="74"/>
  <c r="D56" i="74" s="1"/>
  <c r="D57" i="74" s="1"/>
  <c r="C56" i="73"/>
  <c r="D56" i="73" s="1"/>
  <c r="C56" i="72"/>
  <c r="D56" i="72" s="1"/>
  <c r="D57" i="72" s="1"/>
  <c r="C56" i="71"/>
  <c r="D56" i="71" s="1"/>
  <c r="D57" i="71" s="1"/>
  <c r="D57" i="75"/>
  <c r="D122" i="87" l="1"/>
  <c r="D124" i="87" s="1"/>
  <c r="D106" i="87"/>
  <c r="D108" i="87" s="1"/>
  <c r="D122" i="88"/>
  <c r="D124" i="88" s="1"/>
  <c r="D106" i="88"/>
  <c r="D108" i="88" s="1"/>
  <c r="D122" i="89"/>
  <c r="D124" i="89" s="1"/>
  <c r="D106" i="89"/>
  <c r="D108" i="89" s="1"/>
  <c r="D122" i="92"/>
  <c r="D124" i="92" s="1"/>
  <c r="D106" i="92"/>
  <c r="D108" i="92" s="1"/>
  <c r="D122" i="96"/>
  <c r="D124" i="96" s="1"/>
  <c r="D106" i="96"/>
  <c r="D108" i="96" s="1"/>
  <c r="D122" i="99"/>
  <c r="D124" i="99" s="1"/>
  <c r="D106" i="99"/>
  <c r="D57" i="73"/>
  <c r="D122" i="73" s="1"/>
  <c r="D124" i="73" s="1"/>
  <c r="D57" i="1"/>
  <c r="D122" i="1" s="1"/>
  <c r="D124" i="1" s="1"/>
  <c r="D57" i="77"/>
  <c r="D106" i="77" s="1"/>
  <c r="D122" i="86"/>
  <c r="D124" i="86" s="1"/>
  <c r="D106" i="86"/>
  <c r="D108" i="86" s="1"/>
  <c r="D122" i="90"/>
  <c r="D124" i="90" s="1"/>
  <c r="D106" i="90"/>
  <c r="D108" i="90" s="1"/>
  <c r="D122" i="91"/>
  <c r="D124" i="91" s="1"/>
  <c r="D106" i="91"/>
  <c r="D108" i="91" s="1"/>
  <c r="D122" i="97"/>
  <c r="D124" i="97" s="1"/>
  <c r="D106" i="97"/>
  <c r="D122" i="94"/>
  <c r="D124" i="94" s="1"/>
  <c r="D106" i="94"/>
  <c r="D122" i="76"/>
  <c r="D124" i="76" s="1"/>
  <c r="D106" i="76"/>
  <c r="D122" i="93"/>
  <c r="D124" i="93" s="1"/>
  <c r="D106" i="93"/>
  <c r="D108" i="93" s="1"/>
  <c r="D69" i="83"/>
  <c r="D85" i="83"/>
  <c r="D96" i="83"/>
  <c r="D74" i="83"/>
  <c r="D76" i="83" s="1"/>
  <c r="D74" i="82"/>
  <c r="D76" i="82" s="1"/>
  <c r="D106" i="80"/>
  <c r="D108" i="80" s="1"/>
  <c r="D115" i="80" s="1"/>
  <c r="F114" i="80" s="1"/>
  <c r="F115" i="80" s="1"/>
  <c r="D122" i="70"/>
  <c r="D124" i="70" s="1"/>
  <c r="D74" i="84"/>
  <c r="D76" i="84" s="1"/>
  <c r="D69" i="84"/>
  <c r="D85" i="84"/>
  <c r="D122" i="71"/>
  <c r="D124" i="71" s="1"/>
  <c r="D106" i="71"/>
  <c r="D106" i="81"/>
  <c r="D122" i="81"/>
  <c r="D124" i="81" s="1"/>
  <c r="D122" i="79"/>
  <c r="D124" i="79" s="1"/>
  <c r="D106" i="79"/>
  <c r="D106" i="75"/>
  <c r="D122" i="75"/>
  <c r="D124" i="75" s="1"/>
  <c r="D122" i="84"/>
  <c r="D124" i="84" s="1"/>
  <c r="D106" i="84"/>
  <c r="D122" i="78"/>
  <c r="D124" i="78" s="1"/>
  <c r="D106" i="78"/>
  <c r="D108" i="78" s="1"/>
  <c r="D115" i="78" s="1"/>
  <c r="F114" i="78" s="1"/>
  <c r="F115" i="78" s="1"/>
  <c r="D106" i="85"/>
  <c r="D122" i="85"/>
  <c r="D124" i="85" s="1"/>
  <c r="D122" i="72"/>
  <c r="D124" i="72" s="1"/>
  <c r="D106" i="72"/>
  <c r="D108" i="72" s="1"/>
  <c r="D106" i="74"/>
  <c r="D108" i="74" s="1"/>
  <c r="D115" i="74" s="1"/>
  <c r="F114" i="74" s="1"/>
  <c r="F115" i="74" s="1"/>
  <c r="D122" i="74"/>
  <c r="D124" i="74" s="1"/>
  <c r="D122" i="83"/>
  <c r="D124" i="83" s="1"/>
  <c r="D106" i="83"/>
  <c r="D124" i="82"/>
  <c r="D106" i="82"/>
  <c r="D108" i="82" s="1"/>
  <c r="D115" i="82" s="1"/>
  <c r="F114" i="82" s="1"/>
  <c r="F115" i="82" s="1"/>
  <c r="D114" i="82" s="1"/>
  <c r="D106" i="73"/>
  <c r="D108" i="70"/>
  <c r="D115" i="70" s="1"/>
  <c r="F114" i="70" s="1"/>
  <c r="F115" i="70" s="1"/>
  <c r="D122" i="77" l="1"/>
  <c r="D124" i="77" s="1"/>
  <c r="D108" i="99"/>
  <c r="D115" i="99" s="1"/>
  <c r="F114" i="99" s="1"/>
  <c r="F115" i="99" s="1"/>
  <c r="D115" i="96"/>
  <c r="F114" i="96" s="1"/>
  <c r="F115" i="96" s="1"/>
  <c r="D115" i="92"/>
  <c r="F114" i="92" s="1"/>
  <c r="F115" i="92" s="1"/>
  <c r="D115" i="89"/>
  <c r="F114" i="89" s="1"/>
  <c r="F115" i="89" s="1"/>
  <c r="D115" i="88"/>
  <c r="F114" i="88" s="1"/>
  <c r="F115" i="88" s="1"/>
  <c r="D115" i="87"/>
  <c r="F114" i="87" s="1"/>
  <c r="F115" i="87" s="1"/>
  <c r="D106" i="1"/>
  <c r="D108" i="1" s="1"/>
  <c r="D115" i="1" s="1"/>
  <c r="F114" i="1" s="1"/>
  <c r="F115" i="1" s="1"/>
  <c r="D114" i="1" s="1"/>
  <c r="D115" i="93"/>
  <c r="F114" i="93" s="1"/>
  <c r="F115" i="93" s="1"/>
  <c r="D108" i="76"/>
  <c r="D108" i="94"/>
  <c r="D108" i="97"/>
  <c r="D115" i="91"/>
  <c r="F114" i="91" s="1"/>
  <c r="F115" i="91" s="1"/>
  <c r="D115" i="90"/>
  <c r="F114" i="90" s="1"/>
  <c r="F115" i="90" s="1"/>
  <c r="D115" i="86"/>
  <c r="F114" i="86" s="1"/>
  <c r="F115" i="86" s="1"/>
  <c r="D112" i="82"/>
  <c r="D115" i="72"/>
  <c r="F114" i="72" s="1"/>
  <c r="F115" i="72" s="1"/>
  <c r="D112" i="72" s="1"/>
  <c r="D108" i="73"/>
  <c r="D115" i="73" s="1"/>
  <c r="F114" i="73" s="1"/>
  <c r="F115" i="73" s="1"/>
  <c r="D108" i="83"/>
  <c r="D115" i="83" s="1"/>
  <c r="F114" i="83" s="1"/>
  <c r="F115" i="83" s="1"/>
  <c r="D108" i="84"/>
  <c r="D115" i="84" s="1"/>
  <c r="F114" i="84" s="1"/>
  <c r="F115" i="84" s="1"/>
  <c r="D108" i="79"/>
  <c r="D115" i="79" s="1"/>
  <c r="F114" i="79" s="1"/>
  <c r="F115" i="79" s="1"/>
  <c r="D108" i="77"/>
  <c r="D115" i="77" s="1"/>
  <c r="F114" i="77" s="1"/>
  <c r="F115" i="77" s="1"/>
  <c r="D108" i="71"/>
  <c r="D115" i="71" s="1"/>
  <c r="F114" i="71" s="1"/>
  <c r="F115" i="71" s="1"/>
  <c r="D113" i="82"/>
  <c r="D116" i="82" s="1"/>
  <c r="D125" i="82" s="1"/>
  <c r="D126" i="82" s="1"/>
  <c r="D130" i="82" s="1"/>
  <c r="D108" i="85"/>
  <c r="D108" i="75"/>
  <c r="D115" i="75" s="1"/>
  <c r="F114" i="75" s="1"/>
  <c r="F115" i="75" s="1"/>
  <c r="D108" i="81"/>
  <c r="D115" i="81" s="1"/>
  <c r="F114" i="81" s="1"/>
  <c r="F115" i="81" s="1"/>
  <c r="D112" i="78"/>
  <c r="D113" i="78"/>
  <c r="D114" i="78"/>
  <c r="D112" i="74"/>
  <c r="D113" i="74"/>
  <c r="D114" i="74"/>
  <c r="D112" i="80"/>
  <c r="D113" i="80"/>
  <c r="D114" i="80"/>
  <c r="D112" i="70"/>
  <c r="D113" i="70"/>
  <c r="D114" i="70"/>
  <c r="D112" i="1" l="1"/>
  <c r="D113" i="1"/>
  <c r="D112" i="86"/>
  <c r="D113" i="86"/>
  <c r="D114" i="86"/>
  <c r="D112" i="90"/>
  <c r="D113" i="90"/>
  <c r="D114" i="90"/>
  <c r="D114" i="91"/>
  <c r="D112" i="91"/>
  <c r="D113" i="91"/>
  <c r="D114" i="93"/>
  <c r="D112" i="93"/>
  <c r="D113" i="93"/>
  <c r="D112" i="99"/>
  <c r="D113" i="99"/>
  <c r="D114" i="99"/>
  <c r="D115" i="97"/>
  <c r="F114" i="97" s="1"/>
  <c r="F115" i="97" s="1"/>
  <c r="D115" i="94"/>
  <c r="F114" i="94" s="1"/>
  <c r="F115" i="94" s="1"/>
  <c r="D115" i="76"/>
  <c r="F114" i="76" s="1"/>
  <c r="F115" i="76" s="1"/>
  <c r="D114" i="87"/>
  <c r="D112" i="87"/>
  <c r="D113" i="87"/>
  <c r="D112" i="88"/>
  <c r="D113" i="88"/>
  <c r="D114" i="88"/>
  <c r="D114" i="89"/>
  <c r="D112" i="89"/>
  <c r="D113" i="89"/>
  <c r="D112" i="92"/>
  <c r="D113" i="92"/>
  <c r="D114" i="92"/>
  <c r="D114" i="96"/>
  <c r="D112" i="96"/>
  <c r="D113" i="96"/>
  <c r="D116" i="70"/>
  <c r="D125" i="70" s="1"/>
  <c r="D126" i="70" s="1"/>
  <c r="D130" i="70" s="1"/>
  <c r="D137" i="70" s="1"/>
  <c r="D113" i="72"/>
  <c r="D114" i="72"/>
  <c r="D114" i="75"/>
  <c r="D112" i="75"/>
  <c r="D113" i="75"/>
  <c r="D137" i="82"/>
  <c r="D132" i="82"/>
  <c r="D134" i="82" s="1"/>
  <c r="D138" i="82" s="1"/>
  <c r="D113" i="81"/>
  <c r="D112" i="81"/>
  <c r="D114" i="81"/>
  <c r="D112" i="73"/>
  <c r="D114" i="73"/>
  <c r="D113" i="73"/>
  <c r="D112" i="71"/>
  <c r="D114" i="71"/>
  <c r="D113" i="71"/>
  <c r="D112" i="77"/>
  <c r="D114" i="77"/>
  <c r="D113" i="77"/>
  <c r="D113" i="79"/>
  <c r="D114" i="79"/>
  <c r="D112" i="79"/>
  <c r="D112" i="84"/>
  <c r="D114" i="84"/>
  <c r="D113" i="84"/>
  <c r="D114" i="83"/>
  <c r="D113" i="83"/>
  <c r="D112" i="83"/>
  <c r="D116" i="80"/>
  <c r="D125" i="80" s="1"/>
  <c r="D126" i="80" s="1"/>
  <c r="D130" i="80" s="1"/>
  <c r="D132" i="80" s="1"/>
  <c r="D134" i="80" s="1"/>
  <c r="D138" i="80" s="1"/>
  <c r="D139" i="80" s="1"/>
  <c r="D115" i="85"/>
  <c r="F114" i="85" s="1"/>
  <c r="F115" i="85" s="1"/>
  <c r="D116" i="78"/>
  <c r="D125" i="78" s="1"/>
  <c r="D126" i="78" s="1"/>
  <c r="D130" i="78" s="1"/>
  <c r="D116" i="74"/>
  <c r="D125" i="74" s="1"/>
  <c r="D126" i="74" s="1"/>
  <c r="D130" i="74" s="1"/>
  <c r="D116" i="93" l="1"/>
  <c r="D125" i="93" s="1"/>
  <c r="D126" i="93" s="1"/>
  <c r="D130" i="93" s="1"/>
  <c r="D137" i="93" s="1"/>
  <c r="H59" i="16" s="1"/>
  <c r="K59" i="16" s="1"/>
  <c r="D116" i="1"/>
  <c r="D125" i="1" s="1"/>
  <c r="D126" i="1" s="1"/>
  <c r="D130" i="1" s="1"/>
  <c r="D137" i="1" s="1"/>
  <c r="F2" i="16" s="1"/>
  <c r="H41" i="16"/>
  <c r="F27" i="16"/>
  <c r="D116" i="99"/>
  <c r="D125" i="99" s="1"/>
  <c r="D126" i="99" s="1"/>
  <c r="D130" i="99" s="1"/>
  <c r="D116" i="91"/>
  <c r="D125" i="91" s="1"/>
  <c r="D126" i="91" s="1"/>
  <c r="D130" i="91" s="1"/>
  <c r="D137" i="91" s="1"/>
  <c r="H69" i="16" s="1"/>
  <c r="K69" i="16" s="1"/>
  <c r="H57" i="16"/>
  <c r="K57" i="16" s="1"/>
  <c r="L57" i="16" s="1"/>
  <c r="F3" i="16"/>
  <c r="D114" i="94"/>
  <c r="D112" i="94"/>
  <c r="D113" i="94"/>
  <c r="D116" i="90"/>
  <c r="D125" i="90" s="1"/>
  <c r="D126" i="90" s="1"/>
  <c r="D130" i="90" s="1"/>
  <c r="D116" i="96"/>
  <c r="D125" i="96" s="1"/>
  <c r="D126" i="96" s="1"/>
  <c r="D130" i="96" s="1"/>
  <c r="D116" i="92"/>
  <c r="D125" i="92" s="1"/>
  <c r="D126" i="92" s="1"/>
  <c r="D130" i="92" s="1"/>
  <c r="D116" i="89"/>
  <c r="D125" i="89" s="1"/>
  <c r="D126" i="89" s="1"/>
  <c r="D130" i="89" s="1"/>
  <c r="D116" i="88"/>
  <c r="D125" i="88" s="1"/>
  <c r="D126" i="88" s="1"/>
  <c r="D130" i="88" s="1"/>
  <c r="D116" i="87"/>
  <c r="D125" i="87" s="1"/>
  <c r="D126" i="87" s="1"/>
  <c r="D130" i="87" s="1"/>
  <c r="D113" i="76"/>
  <c r="D112" i="76"/>
  <c r="D114" i="76"/>
  <c r="D114" i="97"/>
  <c r="D112" i="97"/>
  <c r="D113" i="97"/>
  <c r="D116" i="86"/>
  <c r="D125" i="86" s="1"/>
  <c r="D126" i="86" s="1"/>
  <c r="D130" i="86" s="1"/>
  <c r="D116" i="81"/>
  <c r="D125" i="81" s="1"/>
  <c r="D126" i="81" s="1"/>
  <c r="D130" i="81" s="1"/>
  <c r="D137" i="81" s="1"/>
  <c r="F14" i="16" s="1"/>
  <c r="D132" i="70"/>
  <c r="D134" i="70" s="1"/>
  <c r="D138" i="70" s="1"/>
  <c r="D139" i="70" s="1"/>
  <c r="I41" i="16"/>
  <c r="K41" i="16"/>
  <c r="D116" i="72"/>
  <c r="D125" i="72" s="1"/>
  <c r="D126" i="72" s="1"/>
  <c r="D130" i="72" s="1"/>
  <c r="D132" i="72" s="1"/>
  <c r="D134" i="72" s="1"/>
  <c r="D138" i="72" s="1"/>
  <c r="D139" i="72" s="1"/>
  <c r="O5" i="16" s="1"/>
  <c r="D116" i="73"/>
  <c r="D125" i="73" s="1"/>
  <c r="D126" i="73" s="1"/>
  <c r="D130" i="73" s="1"/>
  <c r="D132" i="73" s="1"/>
  <c r="D134" i="73" s="1"/>
  <c r="D138" i="73" s="1"/>
  <c r="D139" i="73" s="1"/>
  <c r="D139" i="82"/>
  <c r="I57" i="16"/>
  <c r="D137" i="80"/>
  <c r="F13" i="16" s="1"/>
  <c r="D116" i="83"/>
  <c r="D125" i="83" s="1"/>
  <c r="D126" i="83" s="1"/>
  <c r="D130" i="83" s="1"/>
  <c r="D116" i="79"/>
  <c r="D125" i="79" s="1"/>
  <c r="D126" i="79" s="1"/>
  <c r="D130" i="79" s="1"/>
  <c r="D116" i="71"/>
  <c r="D125" i="71" s="1"/>
  <c r="D126" i="71" s="1"/>
  <c r="D130" i="71" s="1"/>
  <c r="D116" i="75"/>
  <c r="D125" i="75" s="1"/>
  <c r="D126" i="75" s="1"/>
  <c r="D130" i="75" s="1"/>
  <c r="D113" i="85"/>
  <c r="D112" i="85"/>
  <c r="D114" i="85"/>
  <c r="D116" i="84"/>
  <c r="D125" i="84" s="1"/>
  <c r="D126" i="84" s="1"/>
  <c r="D130" i="84" s="1"/>
  <c r="D116" i="77"/>
  <c r="D125" i="77" s="1"/>
  <c r="D126" i="77" s="1"/>
  <c r="D130" i="77" s="1"/>
  <c r="D137" i="78"/>
  <c r="F11" i="16" s="1"/>
  <c r="D132" i="78"/>
  <c r="D134" i="78" s="1"/>
  <c r="D138" i="78" s="1"/>
  <c r="D139" i="78" s="1"/>
  <c r="O11" i="16" s="1"/>
  <c r="D137" i="74"/>
  <c r="F7" i="16" s="1"/>
  <c r="D132" i="74"/>
  <c r="D134" i="74" s="1"/>
  <c r="D138" i="74" s="1"/>
  <c r="D139" i="74" s="1"/>
  <c r="D132" i="93" l="1"/>
  <c r="D134" i="93" s="1"/>
  <c r="D138" i="93" s="1"/>
  <c r="I59" i="16" s="1"/>
  <c r="J59" i="16" s="1"/>
  <c r="M3" i="16"/>
  <c r="O3" i="16"/>
  <c r="D116" i="94"/>
  <c r="D125" i="94" s="1"/>
  <c r="D126" i="94" s="1"/>
  <c r="D130" i="94" s="1"/>
  <c r="D137" i="94" s="1"/>
  <c r="H73" i="16" s="1"/>
  <c r="K73" i="16" s="1"/>
  <c r="M27" i="16"/>
  <c r="O27" i="16"/>
  <c r="D116" i="76"/>
  <c r="D125" i="76" s="1"/>
  <c r="D126" i="76" s="1"/>
  <c r="D130" i="76" s="1"/>
  <c r="D137" i="76" s="1"/>
  <c r="F9" i="16" s="1"/>
  <c r="D132" i="91"/>
  <c r="D134" i="91" s="1"/>
  <c r="I69" i="16" s="1"/>
  <c r="J69" i="16" s="1"/>
  <c r="D132" i="87"/>
  <c r="D134" i="87" s="1"/>
  <c r="D138" i="87" s="1"/>
  <c r="D139" i="87" s="1"/>
  <c r="M5" i="16" s="1"/>
  <c r="D137" i="87"/>
  <c r="D132" i="89"/>
  <c r="D134" i="89" s="1"/>
  <c r="D138" i="89" s="1"/>
  <c r="D137" i="89"/>
  <c r="H71" i="16" s="1"/>
  <c r="K71" i="16" s="1"/>
  <c r="H78" i="16"/>
  <c r="K78" i="16" s="1"/>
  <c r="D132" i="96"/>
  <c r="D137" i="96"/>
  <c r="I78" i="16" s="1"/>
  <c r="J78" i="16" s="1"/>
  <c r="D137" i="90"/>
  <c r="H49" i="16" s="1"/>
  <c r="K49" i="16" s="1"/>
  <c r="D132" i="90"/>
  <c r="D134" i="90" s="1"/>
  <c r="D138" i="90" s="1"/>
  <c r="D137" i="86"/>
  <c r="D132" i="86"/>
  <c r="D116" i="97"/>
  <c r="D125" i="97" s="1"/>
  <c r="D126" i="97" s="1"/>
  <c r="D130" i="97" s="1"/>
  <c r="D137" i="88"/>
  <c r="H53" i="16" s="1"/>
  <c r="K53" i="16" s="1"/>
  <c r="D132" i="88"/>
  <c r="D134" i="88" s="1"/>
  <c r="D138" i="88" s="1"/>
  <c r="D132" i="92"/>
  <c r="D134" i="92" s="1"/>
  <c r="D138" i="92" s="1"/>
  <c r="D139" i="92" s="1"/>
  <c r="D137" i="92"/>
  <c r="L59" i="16"/>
  <c r="D137" i="99"/>
  <c r="I61" i="16" s="1"/>
  <c r="J61" i="16" s="1"/>
  <c r="D132" i="99"/>
  <c r="D134" i="99" s="1"/>
  <c r="D138" i="99" s="1"/>
  <c r="D139" i="99" s="1"/>
  <c r="H61" i="16"/>
  <c r="K61" i="16" s="1"/>
  <c r="L61" i="16" s="1"/>
  <c r="D132" i="81"/>
  <c r="D134" i="81" s="1"/>
  <c r="D138" i="81" s="1"/>
  <c r="D139" i="81" s="1"/>
  <c r="O14" i="16" s="1"/>
  <c r="H60" i="16"/>
  <c r="I60" i="16"/>
  <c r="J60" i="16" s="1"/>
  <c r="H72" i="16"/>
  <c r="K72" i="16" s="1"/>
  <c r="L72" i="16" s="1"/>
  <c r="H51" i="16"/>
  <c r="K51" i="16" s="1"/>
  <c r="L51" i="16" s="1"/>
  <c r="H68" i="16"/>
  <c r="K68" i="16" s="1"/>
  <c r="L68" i="16" s="1"/>
  <c r="I68" i="16"/>
  <c r="E7" i="16"/>
  <c r="D137" i="72"/>
  <c r="F5" i="16" s="1"/>
  <c r="H76" i="16"/>
  <c r="K76" i="16" s="1"/>
  <c r="H74" i="16"/>
  <c r="K74" i="16" s="1"/>
  <c r="I42" i="16"/>
  <c r="J42" i="16" s="1"/>
  <c r="I45" i="16"/>
  <c r="J45" i="16" s="1"/>
  <c r="E2" i="16"/>
  <c r="L41" i="16"/>
  <c r="J41" i="16"/>
  <c r="H44" i="16"/>
  <c r="K44" i="16" s="1"/>
  <c r="L44" i="16" s="1"/>
  <c r="H45" i="16"/>
  <c r="K45" i="16" s="1"/>
  <c r="L45" i="16" s="1"/>
  <c r="H43" i="16"/>
  <c r="K43" i="16" s="1"/>
  <c r="L43" i="16" s="1"/>
  <c r="H46" i="16"/>
  <c r="K46" i="16" s="1"/>
  <c r="D137" i="73"/>
  <c r="I72" i="16"/>
  <c r="I51" i="16"/>
  <c r="J57" i="16"/>
  <c r="I43" i="16"/>
  <c r="I46" i="16"/>
  <c r="J46" i="16" s="1"/>
  <c r="I44" i="16"/>
  <c r="D132" i="1"/>
  <c r="D132" i="77"/>
  <c r="D134" i="77" s="1"/>
  <c r="D138" i="77" s="1"/>
  <c r="D139" i="77" s="1"/>
  <c r="D137" i="77"/>
  <c r="F10" i="16" s="1"/>
  <c r="D132" i="83"/>
  <c r="D134" i="83" s="1"/>
  <c r="D138" i="83" s="1"/>
  <c r="D139" i="83" s="1"/>
  <c r="D137" i="83"/>
  <c r="D132" i="84"/>
  <c r="D134" i="84" s="1"/>
  <c r="D138" i="84" s="1"/>
  <c r="D139" i="84" s="1"/>
  <c r="D137" i="84"/>
  <c r="D116" i="85"/>
  <c r="D125" i="85" s="1"/>
  <c r="D126" i="85" s="1"/>
  <c r="D130" i="85" s="1"/>
  <c r="D137" i="75"/>
  <c r="F8" i="16" s="1"/>
  <c r="D132" i="75"/>
  <c r="D134" i="75" s="1"/>
  <c r="D138" i="75" s="1"/>
  <c r="D139" i="75" s="1"/>
  <c r="D132" i="79"/>
  <c r="D134" i="79" s="1"/>
  <c r="D137" i="79"/>
  <c r="F12" i="16" s="1"/>
  <c r="D132" i="71"/>
  <c r="D137" i="71"/>
  <c r="F4" i="16" s="1"/>
  <c r="D139" i="93" l="1"/>
  <c r="D132" i="94"/>
  <c r="D134" i="94" s="1"/>
  <c r="D138" i="94" s="1"/>
  <c r="I73" i="16" s="1"/>
  <c r="J73" i="16" s="1"/>
  <c r="M28" i="16"/>
  <c r="O28" i="16"/>
  <c r="M29" i="16"/>
  <c r="O29" i="16"/>
  <c r="O10" i="16"/>
  <c r="M10" i="16"/>
  <c r="F112" i="16"/>
  <c r="G112" i="16" s="1"/>
  <c r="H112" i="16" s="1"/>
  <c r="K60" i="16"/>
  <c r="L60" i="16" s="1"/>
  <c r="H62" i="16"/>
  <c r="K62" i="16" s="1"/>
  <c r="F29" i="16"/>
  <c r="H54" i="16"/>
  <c r="K54" i="16" s="1"/>
  <c r="L54" i="16" s="1"/>
  <c r="F28" i="16"/>
  <c r="M14" i="16"/>
  <c r="D132" i="76"/>
  <c r="D134" i="76" s="1"/>
  <c r="D138" i="76" s="1"/>
  <c r="D139" i="76" s="1"/>
  <c r="D138" i="91"/>
  <c r="D139" i="91" s="1"/>
  <c r="I52" i="16"/>
  <c r="F6" i="16"/>
  <c r="I55" i="16"/>
  <c r="J55" i="16" s="1"/>
  <c r="D134" i="86"/>
  <c r="D138" i="86" s="1"/>
  <c r="D139" i="86" s="1"/>
  <c r="I47" i="16"/>
  <c r="J47" i="16" s="1"/>
  <c r="L73" i="16"/>
  <c r="D139" i="94"/>
  <c r="D134" i="96"/>
  <c r="D138" i="96" s="1"/>
  <c r="D139" i="96" s="1"/>
  <c r="L78" i="16"/>
  <c r="H56" i="16"/>
  <c r="K56" i="16" s="1"/>
  <c r="I56" i="16"/>
  <c r="J56" i="16" s="1"/>
  <c r="L56" i="16"/>
  <c r="H66" i="16"/>
  <c r="K66" i="16" s="1"/>
  <c r="L66" i="16" s="1"/>
  <c r="I66" i="16"/>
  <c r="J66" i="16" s="1"/>
  <c r="E13" i="16"/>
  <c r="L69" i="16"/>
  <c r="H64" i="16"/>
  <c r="K64" i="16" s="1"/>
  <c r="L64" i="16" s="1"/>
  <c r="I64" i="16"/>
  <c r="J64" i="16" s="1"/>
  <c r="D139" i="88"/>
  <c r="L53" i="16"/>
  <c r="I53" i="16"/>
  <c r="J53" i="16" s="1"/>
  <c r="D137" i="97"/>
  <c r="D132" i="97"/>
  <c r="D134" i="97" s="1"/>
  <c r="D138" i="97" s="1"/>
  <c r="D139" i="97" s="1"/>
  <c r="I75" i="16"/>
  <c r="J75" i="16" s="1"/>
  <c r="H75" i="16"/>
  <c r="K75" i="16" s="1"/>
  <c r="L75" i="16" s="1"/>
  <c r="H47" i="16"/>
  <c r="K47" i="16" s="1"/>
  <c r="L47" i="16" s="1"/>
  <c r="D139" i="90"/>
  <c r="I49" i="16"/>
  <c r="J49" i="16" s="1"/>
  <c r="L49" i="16"/>
  <c r="L71" i="16"/>
  <c r="D139" i="89"/>
  <c r="M8" i="16" s="1"/>
  <c r="I71" i="16"/>
  <c r="J71" i="16" s="1"/>
  <c r="H58" i="16"/>
  <c r="K58" i="16" s="1"/>
  <c r="I58" i="16"/>
  <c r="E12" i="16"/>
  <c r="H63" i="16"/>
  <c r="K63" i="16" s="1"/>
  <c r="E10" i="16"/>
  <c r="H70" i="16"/>
  <c r="K70" i="16" s="1"/>
  <c r="L70" i="16" s="1"/>
  <c r="E8" i="16"/>
  <c r="E6" i="16"/>
  <c r="H55" i="16"/>
  <c r="K55" i="16" s="1"/>
  <c r="L55" i="16" s="1"/>
  <c r="E5" i="16"/>
  <c r="H48" i="16"/>
  <c r="K48" i="16" s="1"/>
  <c r="L48" i="16" s="1"/>
  <c r="E4" i="16"/>
  <c r="I74" i="16"/>
  <c r="J74" i="16" s="1"/>
  <c r="L76" i="16"/>
  <c r="L74" i="16"/>
  <c r="I76" i="16"/>
  <c r="J76" i="16" s="1"/>
  <c r="H42" i="16"/>
  <c r="G103" i="16"/>
  <c r="L33" i="16"/>
  <c r="L34" i="16" s="1"/>
  <c r="D138" i="79"/>
  <c r="D139" i="79" s="1"/>
  <c r="M12" i="16" s="1"/>
  <c r="H52" i="16"/>
  <c r="K52" i="16" s="1"/>
  <c r="L52" i="16" s="1"/>
  <c r="I62" i="16"/>
  <c r="J62" i="16" s="1"/>
  <c r="L62" i="16"/>
  <c r="I54" i="16"/>
  <c r="J54" i="16" s="1"/>
  <c r="J72" i="16"/>
  <c r="L58" i="16"/>
  <c r="J51" i="16"/>
  <c r="I63" i="16"/>
  <c r="I70" i="16"/>
  <c r="J68" i="16"/>
  <c r="J52" i="16"/>
  <c r="I48" i="16"/>
  <c r="D134" i="71"/>
  <c r="D138" i="71" s="1"/>
  <c r="D139" i="71" s="1"/>
  <c r="M4" i="16" s="1"/>
  <c r="D134" i="1"/>
  <c r="D138" i="1" s="1"/>
  <c r="D139" i="1" s="1"/>
  <c r="O2" i="16" s="1"/>
  <c r="L46" i="16"/>
  <c r="G3" i="95"/>
  <c r="G4" i="95" s="1"/>
  <c r="G6" i="95" s="1"/>
  <c r="J44" i="16"/>
  <c r="J43" i="16"/>
  <c r="D132" i="85"/>
  <c r="D134" i="85" s="1"/>
  <c r="D138" i="85" s="1"/>
  <c r="D139" i="85" s="1"/>
  <c r="D137" i="85"/>
  <c r="F30" i="16" s="1"/>
  <c r="M30" i="16" l="1"/>
  <c r="O30" i="16"/>
  <c r="M7" i="16"/>
  <c r="O7" i="16"/>
  <c r="O8" i="16"/>
  <c r="O4" i="16"/>
  <c r="M6" i="16"/>
  <c r="O6" i="16"/>
  <c r="M15" i="16"/>
  <c r="O15" i="16"/>
  <c r="M13" i="16"/>
  <c r="O13" i="16"/>
  <c r="O9" i="16"/>
  <c r="O12" i="16"/>
  <c r="F32" i="16"/>
  <c r="M9" i="16"/>
  <c r="M2" i="16"/>
  <c r="H67" i="16"/>
  <c r="K67" i="16" s="1"/>
  <c r="L67" i="16" s="1"/>
  <c r="I67" i="16"/>
  <c r="J67" i="16" s="1"/>
  <c r="E9" i="16"/>
  <c r="E32" i="16" s="1"/>
  <c r="H65" i="16"/>
  <c r="K65" i="16" s="1"/>
  <c r="I65" i="16"/>
  <c r="J58" i="16"/>
  <c r="L63" i="16"/>
  <c r="J63" i="16"/>
  <c r="J70" i="16"/>
  <c r="J48" i="16"/>
  <c r="G38" i="16"/>
  <c r="K97" i="16" l="1"/>
  <c r="L97" i="16" s="1"/>
  <c r="J65" i="16"/>
  <c r="L65" i="16"/>
  <c r="D39" i="101" l="1"/>
  <c r="D103" i="101" s="1"/>
  <c r="D105" i="101" l="1"/>
  <c r="D95" i="101"/>
  <c r="D61" i="101"/>
  <c r="D72" i="101"/>
  <c r="D120" i="101"/>
  <c r="D62" i="101"/>
  <c r="D63" i="101"/>
  <c r="D91" i="101"/>
  <c r="D64" i="101"/>
  <c r="D88" i="101"/>
  <c r="D89" i="101"/>
  <c r="D66" i="101"/>
  <c r="D68" i="101"/>
  <c r="D94" i="101"/>
  <c r="D67" i="101"/>
  <c r="D92" i="101"/>
  <c r="D93" i="101"/>
  <c r="D39" i="102"/>
  <c r="D75" i="101"/>
  <c r="D79" i="101"/>
  <c r="D83" i="101"/>
  <c r="D80" i="101"/>
  <c r="D100" i="101"/>
  <c r="D73" i="101"/>
  <c r="D65" i="101"/>
  <c r="D101" i="101"/>
  <c r="D90" i="101"/>
  <c r="D84" i="101"/>
  <c r="D102" i="101"/>
  <c r="D82" i="101"/>
  <c r="D81" i="101"/>
  <c r="D85" i="101" l="1"/>
  <c r="D102" i="102"/>
  <c r="D84" i="102"/>
  <c r="D90" i="102"/>
  <c r="D103" i="102"/>
  <c r="D81" i="102"/>
  <c r="D82" i="102"/>
  <c r="D100" i="102"/>
  <c r="D80" i="102"/>
  <c r="D83" i="102"/>
  <c r="D101" i="102"/>
  <c r="D65" i="102"/>
  <c r="D73" i="102"/>
  <c r="D61" i="102"/>
  <c r="D95" i="102"/>
  <c r="D79" i="102"/>
  <c r="D94" i="102"/>
  <c r="D68" i="102"/>
  <c r="D66" i="102"/>
  <c r="D93" i="102"/>
  <c r="D92" i="102"/>
  <c r="D67" i="102"/>
  <c r="D91" i="102"/>
  <c r="D63" i="102"/>
  <c r="D62" i="102"/>
  <c r="D89" i="102"/>
  <c r="D88" i="102"/>
  <c r="D64" i="102"/>
  <c r="D75" i="102"/>
  <c r="D72" i="102"/>
  <c r="D74" i="102" s="1"/>
  <c r="D120" i="102"/>
  <c r="D105" i="102"/>
  <c r="D74" i="101"/>
  <c r="D76" i="101" s="1"/>
  <c r="D96" i="101"/>
  <c r="D69" i="101"/>
  <c r="D123" i="101"/>
  <c r="D124" i="101" s="1"/>
  <c r="D106" i="101"/>
  <c r="D76" i="102" l="1"/>
  <c r="D108" i="101"/>
  <c r="D115" i="101" s="1"/>
  <c r="F114" i="101" s="1"/>
  <c r="F115" i="101" s="1"/>
  <c r="D123" i="102"/>
  <c r="D124" i="102" s="1"/>
  <c r="D106" i="102"/>
  <c r="D85" i="102"/>
  <c r="D69" i="102"/>
  <c r="D96" i="102"/>
  <c r="D108" i="102" l="1"/>
  <c r="D115" i="102" s="1"/>
  <c r="F114" i="102" s="1"/>
  <c r="F115" i="102" s="1"/>
  <c r="D114" i="101"/>
  <c r="D113" i="101"/>
  <c r="D112" i="101"/>
  <c r="D116" i="101" l="1"/>
  <c r="D125" i="101" s="1"/>
  <c r="D126" i="101" s="1"/>
  <c r="D130" i="101" s="1"/>
  <c r="D137" i="101" s="1"/>
  <c r="D112" i="102"/>
  <c r="D113" i="102"/>
  <c r="D114" i="102"/>
  <c r="D132" i="101" l="1"/>
  <c r="D134" i="101" s="1"/>
  <c r="D138" i="101" s="1"/>
  <c r="D139" i="101" s="1"/>
  <c r="M11" i="16" s="1"/>
  <c r="I50" i="16"/>
  <c r="J50" i="16" s="1"/>
  <c r="H50" i="16"/>
  <c r="K50" i="16" s="1"/>
  <c r="L50" i="16" s="1"/>
  <c r="D116" i="102"/>
  <c r="D125" i="102" s="1"/>
  <c r="D126" i="102" s="1"/>
  <c r="D130" i="102" s="1"/>
  <c r="D137" i="102" l="1"/>
  <c r="K79" i="16"/>
  <c r="L79" i="16" s="1"/>
  <c r="D132" i="102"/>
  <c r="D134" i="102" s="1"/>
  <c r="D138" i="102" s="1"/>
  <c r="D139" i="102" s="1"/>
  <c r="O16" i="16" s="1"/>
  <c r="I80" i="16" l="1"/>
  <c r="J80" i="16" s="1"/>
  <c r="H80" i="16"/>
  <c r="K80" i="16" s="1"/>
  <c r="L80" i="16" s="1"/>
  <c r="L96" i="16" s="1"/>
  <c r="M32" i="16"/>
  <c r="O32" i="16"/>
  <c r="J79" i="16"/>
  <c r="I96" i="16"/>
  <c r="K96" i="16" l="1"/>
  <c r="K99" i="16" s="1"/>
  <c r="M33" i="16"/>
  <c r="M34" i="16" s="1"/>
  <c r="J96" i="16"/>
  <c r="O33" i="16"/>
  <c r="O34" i="16" s="1"/>
</calcChain>
</file>

<file path=xl/comments1.xml><?xml version="1.0" encoding="utf-8"?>
<comments xmlns="http://schemas.openxmlformats.org/spreadsheetml/2006/main">
  <authors>
    <author>Nicolly</author>
  </authors>
  <commentList>
    <comment ref="E52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3 POSTOS TRANSFERIDOS DE FOZ DO IGUAÇU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1 POSTO TRANSFERIDO DO CAMPUS IVAIPORÃ</t>
        </r>
      </text>
    </comment>
    <comment ref="E67" authorId="0">
      <text>
        <r>
          <rPr>
            <b/>
            <sz val="9"/>
            <color indexed="81"/>
            <rFont val="Tahoma"/>
            <charset val="1"/>
          </rPr>
          <t>Nicolly: 
10º termo aditivo - acréscimo de 1 posto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3 POSTOS TRANSFERIDOS DE FOZ DO IGUAÇU</t>
        </r>
      </text>
    </comment>
    <comment ref="E80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10º termo aditivo - acréscimo de 2 postos
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1 POSTO TRANSFERIDO DE IVAIPORÃ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transferido de palmas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Nicolly:</t>
        </r>
        <r>
          <rPr>
            <sz val="9"/>
            <color indexed="81"/>
            <rFont val="Tahoma"/>
            <family val="2"/>
          </rPr>
          <t xml:space="preserve">
transferido de palmas 
</t>
        </r>
      </text>
    </comment>
    <comment ref="E91" authorId="0">
      <text>
        <r>
          <rPr>
            <b/>
            <sz val="9"/>
            <color indexed="81"/>
            <rFont val="Tahoma"/>
            <charset val="1"/>
          </rPr>
          <t>Nicolly:</t>
        </r>
        <r>
          <rPr>
            <sz val="9"/>
            <color indexed="81"/>
            <rFont val="Tahoma"/>
            <charset val="1"/>
          </rPr>
          <t xml:space="preserve">
10º termo aditivo - acréscimo de 1 posto
</t>
        </r>
      </text>
    </comment>
  </commentList>
</comments>
</file>

<file path=xl/sharedStrings.xml><?xml version="1.0" encoding="utf-8"?>
<sst xmlns="http://schemas.openxmlformats.org/spreadsheetml/2006/main" count="11326" uniqueCount="564">
  <si>
    <t xml:space="preserve">PLANILHA DE CUSTOS E FORMAÇÃO </t>
  </si>
  <si>
    <t>A</t>
  </si>
  <si>
    <t>B</t>
  </si>
  <si>
    <t>D</t>
  </si>
  <si>
    <t>C</t>
  </si>
  <si>
    <t>Data de apresentação da proposta (dia/mês/ano)</t>
  </si>
  <si>
    <t>Ano Acordo, convenção ou Sentença Normativa em Dissídio Coletivo</t>
  </si>
  <si>
    <t>N°. de meses de execução contratual</t>
  </si>
  <si>
    <t>Identificação do Serviço</t>
  </si>
  <si>
    <t>Tipo de Serviço</t>
  </si>
  <si>
    <t>Quantidade total a contratar (em função da unidade de medida)</t>
  </si>
  <si>
    <t>Mão-de-Obra vinculada à execução contratual</t>
  </si>
  <si>
    <t>Dados complementares para composição dos custos referente à mão-de-obra</t>
  </si>
  <si>
    <t>Tipo de serviço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</si>
  <si>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</si>
  <si>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</si>
  <si>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</si>
  <si>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</si>
  <si>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E</t>
  </si>
  <si>
    <t>F</t>
  </si>
  <si>
    <t>G</t>
  </si>
  <si>
    <t>H</t>
  </si>
  <si>
    <t>Salário Base</t>
  </si>
  <si>
    <t>Adicional de Periculosidade</t>
  </si>
  <si>
    <t>Adicional de Insalubridade</t>
  </si>
  <si>
    <t>Adicional Noturno</t>
  </si>
  <si>
    <t>Hora noturna adicional</t>
  </si>
  <si>
    <t>Adicional de Hora Extra</t>
  </si>
  <si>
    <t>Intervalo Intrajornada</t>
  </si>
  <si>
    <t>Outros</t>
  </si>
  <si>
    <t>Total da Remuneração</t>
  </si>
  <si>
    <t>Benefícios mensais e diários</t>
  </si>
  <si>
    <t>Auxilio Creche</t>
  </si>
  <si>
    <t>Fundo de Formação Profissional</t>
  </si>
  <si>
    <t>Total de Benefícios mensais e diários</t>
  </si>
  <si>
    <t>Insumos diversos</t>
  </si>
  <si>
    <t>Uniformes</t>
  </si>
  <si>
    <t xml:space="preserve">Materiais </t>
  </si>
  <si>
    <t>Equipamentos</t>
  </si>
  <si>
    <t>Total de Insumos diversos</t>
  </si>
  <si>
    <t>INSS</t>
  </si>
  <si>
    <t>SESI ou SESC</t>
  </si>
  <si>
    <t>INCRA</t>
  </si>
  <si>
    <t>Salário Educação</t>
  </si>
  <si>
    <t>FGTS</t>
  </si>
  <si>
    <t>SEBRAE</t>
  </si>
  <si>
    <t>Total</t>
  </si>
  <si>
    <t>13° Salário</t>
  </si>
  <si>
    <t>Adicional de Férias</t>
  </si>
  <si>
    <t>Subtotal</t>
  </si>
  <si>
    <t>Incidência do submódulo 4.1 sobre 13° salário e adicional de férias</t>
  </si>
  <si>
    <t xml:space="preserve">Total </t>
  </si>
  <si>
    <t>Aviso prévio indenizado</t>
  </si>
  <si>
    <t>Incidência do FGTS sobre aviso prévio indenizado</t>
  </si>
  <si>
    <t>Multa do FGTS do aviso prévio indenizado</t>
  </si>
  <si>
    <t>Aviso prévio trabalhado</t>
  </si>
  <si>
    <t>Incidência do sudmódulo 4.1 sobre aviso prévio trabalhado</t>
  </si>
  <si>
    <t>Multa do FGTS do aviso prévio trabalhado</t>
  </si>
  <si>
    <t>Férias</t>
  </si>
  <si>
    <t>Ausência por doença</t>
  </si>
  <si>
    <t>Ausências legais</t>
  </si>
  <si>
    <t>Ausência por acidente de trabalho</t>
  </si>
  <si>
    <t>Quadro resumo módulo 4 Encargos Sociais e Trabalhistas</t>
  </si>
  <si>
    <t>4.1</t>
  </si>
  <si>
    <t>4.2</t>
  </si>
  <si>
    <t>4.3</t>
  </si>
  <si>
    <t>4.4</t>
  </si>
  <si>
    <t>4.5</t>
  </si>
  <si>
    <t>Módulo 4 - Encargos sociais e trabalhistas</t>
  </si>
  <si>
    <t>13 salário + adicional de férias</t>
  </si>
  <si>
    <t xml:space="preserve">Custo de rescisão </t>
  </si>
  <si>
    <t>Custo de reposição do profissional ausente</t>
  </si>
  <si>
    <t>Custos Indiretos, Tributos e Lucro</t>
  </si>
  <si>
    <t xml:space="preserve">Custos Indiretos </t>
  </si>
  <si>
    <t>Tributos</t>
  </si>
  <si>
    <t>IRPJ</t>
  </si>
  <si>
    <t>CSLL</t>
  </si>
  <si>
    <t>PIS</t>
  </si>
  <si>
    <t>COFINS</t>
  </si>
  <si>
    <t>ISS</t>
  </si>
  <si>
    <t>Lucro</t>
  </si>
  <si>
    <t>Anexo III B - Quadro Resumo do custo por empregado</t>
  </si>
  <si>
    <t>Mão de Obra vinculada à execução contratual (valor por empregado)</t>
  </si>
  <si>
    <t>Módulo 1 - Composição da Remuneração</t>
  </si>
  <si>
    <t>Módulo 2 - Beneficios mensais e diários</t>
  </si>
  <si>
    <t>Módulo 3 - Insumos Diversos (uniformes, materiais, equipamentos e outros)</t>
  </si>
  <si>
    <t>Módulo 5 - Custos indiretos, tributos e Lucro</t>
  </si>
  <si>
    <t>Valor total por empregado</t>
  </si>
  <si>
    <t>Valor proposto por empregado</t>
  </si>
  <si>
    <t>Quantidade de empregados por posto</t>
  </si>
  <si>
    <t>Valor proposto por posto</t>
  </si>
  <si>
    <t>Quantidade de postos</t>
  </si>
  <si>
    <t>Valor total serviço</t>
  </si>
  <si>
    <t>Valor proposto por unidade de medida</t>
  </si>
  <si>
    <t>Valor mensal do serviço</t>
  </si>
  <si>
    <t>Valor global da proposta (valor mensal do serviço x n meses do contrato)</t>
  </si>
  <si>
    <t>Módulo I - Composição da Remuneração</t>
  </si>
  <si>
    <t>%</t>
  </si>
  <si>
    <t>R$</t>
  </si>
  <si>
    <t>Módulo II - Benefícios mensais e diários</t>
  </si>
  <si>
    <t>Módulo III - Insumos Diversos</t>
  </si>
  <si>
    <t>Módulo IV - Encargos Sociais e Trabalhistas</t>
  </si>
  <si>
    <t>Submódulo 4.1 - Encargos previdenciários e FGTS</t>
  </si>
  <si>
    <t>Submódulo 4.2 - 13° Salário e Adicional de Férias</t>
  </si>
  <si>
    <t>Incidência do sumódulo 4.1 sobre o custo de reposição</t>
  </si>
  <si>
    <t>B.1</t>
  </si>
  <si>
    <t>B.2</t>
  </si>
  <si>
    <t>B.3</t>
  </si>
  <si>
    <t>B.4</t>
  </si>
  <si>
    <t>B.5</t>
  </si>
  <si>
    <t>Anexo III C - Quadro Resumo - Valor mensal dos serviços</t>
  </si>
  <si>
    <t>Anexo III D - Quadro - Valor Global da Proposta</t>
  </si>
  <si>
    <t>TOTAL</t>
  </si>
  <si>
    <t>SERVENTE</t>
  </si>
  <si>
    <t>Município</t>
  </si>
  <si>
    <t>CURITIBA</t>
  </si>
  <si>
    <t>I</t>
  </si>
  <si>
    <t>PARANÁ</t>
  </si>
  <si>
    <t>UF</t>
  </si>
  <si>
    <t>Adicional de Risco</t>
  </si>
  <si>
    <t>R$ Unit</t>
  </si>
  <si>
    <t>Qtde</t>
  </si>
  <si>
    <t>Reflexo DSR</t>
  </si>
  <si>
    <t>SENAI ou SENAC</t>
  </si>
  <si>
    <t>Seguro Acidente de Trabalho (SAT X FAP 1,00)</t>
  </si>
  <si>
    <t>FAP</t>
  </si>
  <si>
    <t>Encargos previdenciários e FGTS</t>
  </si>
  <si>
    <t>Módulo 4 - Encargos Sociais e Trabalhistas</t>
  </si>
  <si>
    <t>Discriminação dos Serviços (dados referentes à contratação)</t>
  </si>
  <si>
    <t>Unidade de Medida</t>
  </si>
  <si>
    <t>ANEXO III A - MÃO-DE-OBRA</t>
  </si>
  <si>
    <t xml:space="preserve">Tipo de serviço (mesmo serviço com caracteristicas distintas) </t>
  </si>
  <si>
    <t>Auxilio Alimentação</t>
  </si>
  <si>
    <t xml:space="preserve">Vale Transporte </t>
  </si>
  <si>
    <t>ASSIS CHATEAUBRIAND</t>
  </si>
  <si>
    <t>FOZ DO IGUAÇU</t>
  </si>
  <si>
    <t>IRATI</t>
  </si>
  <si>
    <t>JACAREZINHO</t>
  </si>
  <si>
    <t>PALMAS</t>
  </si>
  <si>
    <t>UMUARAMA</t>
  </si>
  <si>
    <t>LONDRINA</t>
  </si>
  <si>
    <t>12 MESES</t>
  </si>
  <si>
    <t>POSTO</t>
  </si>
  <si>
    <t>Licitação N°. 59/2011</t>
  </si>
  <si>
    <t>Dia 15/12/2011 às 10:00 horas</t>
  </si>
  <si>
    <t>LIMPEZA E CONSERVAÇÃO</t>
  </si>
  <si>
    <t>TERCEIRIZADO</t>
  </si>
  <si>
    <t>CAMPO LARGO</t>
  </si>
  <si>
    <t>IVAIPORÃ</t>
  </si>
  <si>
    <t>PARANAGUÁ</t>
  </si>
  <si>
    <t>Consumo</t>
  </si>
  <si>
    <t>Unid.</t>
  </si>
  <si>
    <t>Especificação</t>
  </si>
  <si>
    <t>Marca</t>
  </si>
  <si>
    <t>Preço Unit.</t>
  </si>
  <si>
    <t>Preço Total</t>
  </si>
  <si>
    <t xml:space="preserve">Mensal </t>
  </si>
  <si>
    <t>(R$)</t>
  </si>
  <si>
    <t>Estimado*</t>
  </si>
  <si>
    <t>Lts</t>
  </si>
  <si>
    <t>Água sanitária de 1ª qualidade</t>
  </si>
  <si>
    <t>Qboa ou similar</t>
  </si>
  <si>
    <t>Álcool de 1ª qualidade, 92º a 93º</t>
  </si>
  <si>
    <t>Und</t>
  </si>
  <si>
    <t>Balde plástico preto 12 litros</t>
  </si>
  <si>
    <t xml:space="preserve">Vaselina liquida 1ª qualidade, 500 ml </t>
  </si>
  <si>
    <t>King ou similar</t>
  </si>
  <si>
    <t>Cera acrílica autobrilhante, antiderrapante</t>
  </si>
  <si>
    <t>Johnson ou similar</t>
  </si>
  <si>
    <t xml:space="preserve">Desodorizador de ar, 500 ml </t>
  </si>
  <si>
    <t>Bom Ar ou similar</t>
  </si>
  <si>
    <t>Detergente líq. 1ª qualidade, 500 ml p/ fórmica</t>
  </si>
  <si>
    <t>Veja ou similar</t>
  </si>
  <si>
    <t>Detergente líq. 1ª qualidade, 500 ml p/ pisos</t>
  </si>
  <si>
    <t xml:space="preserve">Disco amarelo para lavar piso </t>
  </si>
  <si>
    <t>3M - 380 ou similar</t>
  </si>
  <si>
    <t>Disco preto para lavar piso</t>
  </si>
  <si>
    <t>Escova de mão</t>
  </si>
  <si>
    <t>Monofil ou similar</t>
  </si>
  <si>
    <t>Esponja de fibra com dupla face</t>
  </si>
  <si>
    <t>3M ou similar</t>
  </si>
  <si>
    <t>Flanela branca 1ª qualidade, 50 x 50 cm</t>
  </si>
  <si>
    <t>Pct</t>
  </si>
  <si>
    <t>Lã de aço, pacote com 4 unidades</t>
  </si>
  <si>
    <t>Bombril ou similar</t>
  </si>
  <si>
    <t>Par</t>
  </si>
  <si>
    <t>Luvas de látex natural, 1ª qualidade</t>
  </si>
  <si>
    <t>Sanro ou similar</t>
  </si>
  <si>
    <t>Papel higiênico 1ª qualidade, folha dup., 30 mts, c/4</t>
  </si>
  <si>
    <t>Neve ou similar</t>
  </si>
  <si>
    <t>Fdo</t>
  </si>
  <si>
    <t>Papel interfolha branco, 1ª qualidade, 5000 folhas</t>
  </si>
  <si>
    <t>Pazinha de lixo de alumínio</t>
  </si>
  <si>
    <t xml:space="preserve">Polidor de metal, 1ª qualidade, 200 ml </t>
  </si>
  <si>
    <t>Brasso ou similar</t>
  </si>
  <si>
    <t xml:space="preserve">Rodo c/ 2 borrachas com cabo, 30 cm largura </t>
  </si>
  <si>
    <t xml:space="preserve">Rodo c/ 2 borrachas com cabo, 40 cm largura </t>
  </si>
  <si>
    <t>Kg</t>
  </si>
  <si>
    <t>Sabão em barra, 1ª qualidade</t>
  </si>
  <si>
    <t>Brilhante ou similar</t>
  </si>
  <si>
    <t>Sabonete liquido 1ª qualidade, ph neutro, conc, 5 lts</t>
  </si>
  <si>
    <t>Briosol ou similar</t>
  </si>
  <si>
    <t>Sabão em pó, pacote com 1 kg</t>
  </si>
  <si>
    <t>Ace ou similar</t>
  </si>
  <si>
    <t>Saco para limpeza de piso cor branca</t>
  </si>
  <si>
    <t>Saco para lixo, 100 lts, preto, com 100 unidades</t>
  </si>
  <si>
    <t>Saco para lixo, 40 lts, preto, com 100 unidades</t>
  </si>
  <si>
    <t>Estopa, 1ª qualidade, pct com150 g</t>
  </si>
  <si>
    <t>Vassoura de pelo com 40 cm de largura, com cabo</t>
  </si>
  <si>
    <t>Vassoura de pelo com 60 cm de largura, com cabo</t>
  </si>
  <si>
    <t>Vassoura de piaçava, com cabo</t>
  </si>
  <si>
    <t>Vassoura de nylon</t>
  </si>
  <si>
    <t>Vassourão com 40 cm, com cabo</t>
  </si>
  <si>
    <t>Vassourinha para limpar vaso</t>
  </si>
  <si>
    <t>Cera de polir (tipo Gran Prix), contendo 200 g</t>
  </si>
  <si>
    <t>Gal</t>
  </si>
  <si>
    <t>Limpa vidros concentrado, com 5 litros</t>
  </si>
  <si>
    <t>Detergente com ação desodorizadora, com 5 litros</t>
  </si>
  <si>
    <t xml:space="preserve">Lustra móveis, com 200 ml </t>
  </si>
  <si>
    <t>Desodorizante sanitário, com 30 unidades de 30 g</t>
  </si>
  <si>
    <t>Glade ou similar</t>
  </si>
  <si>
    <r>
      <t xml:space="preserve">TOTAL MENSAL PARA </t>
    </r>
    <r>
      <rPr>
        <b/>
        <sz val="9"/>
        <color indexed="10"/>
        <rFont val="Calibri"/>
        <family val="2"/>
      </rPr>
      <t>1 SERVENTE ( 600 mt2)</t>
    </r>
  </si>
  <si>
    <r>
      <t xml:space="preserve">TOTAL PARA </t>
    </r>
    <r>
      <rPr>
        <b/>
        <sz val="9"/>
        <color indexed="10"/>
        <rFont val="Calibri"/>
        <family val="2"/>
      </rPr>
      <t>124 SERVENTES ( 600 mt2)</t>
    </r>
  </si>
  <si>
    <r>
      <t xml:space="preserve">CUSTO TOTAL - RATEIO ENTRE </t>
    </r>
    <r>
      <rPr>
        <b/>
        <sz val="9"/>
        <color indexed="10"/>
        <rFont val="Calibri"/>
        <family val="2"/>
      </rPr>
      <t>144 SERVENTES</t>
    </r>
    <r>
      <rPr>
        <b/>
        <sz val="9"/>
        <color indexed="8"/>
        <rFont val="Calibri"/>
        <family val="2"/>
      </rPr>
      <t xml:space="preserve"> </t>
    </r>
  </si>
  <si>
    <t xml:space="preserve"> </t>
  </si>
  <si>
    <t>UND</t>
  </si>
  <si>
    <t>TIPO DE EQUIPAMENTO</t>
  </si>
  <si>
    <t>PREÇO (R$)</t>
  </si>
  <si>
    <t>Und.</t>
  </si>
  <si>
    <t>Aspiradores  de pó e água tipo industrial entre 1200W a 1600W, Ultralux 50 ou similar</t>
  </si>
  <si>
    <t>Cortador de grama</t>
  </si>
  <si>
    <t>Escada com 10 degraus de alumínio</t>
  </si>
  <si>
    <t>Dosador de produtos*</t>
  </si>
  <si>
    <t>Mts.</t>
  </si>
  <si>
    <t>Mangueira de borracha cor preta, reforçada, lonada 3/4" 50 metros</t>
  </si>
  <si>
    <t>TOTAL POR UNIDADE</t>
  </si>
  <si>
    <t>TOTAL PARA TODAS AS UNIDADES DO IFPR = (TOTAL POR UNIDADE X 17)</t>
  </si>
  <si>
    <t>Carrinho funcional Green 400, ou similar, com espremedor e 2  baldes de 6 litros cada e 2 de 15 litros, 3 fixadores para cabo.Cabo em alumínio</t>
  </si>
  <si>
    <t>Enceradeiras industrial 1 HP-CL350 para lavagem de piso, com escovas de 350mm (Cleaner ou similar)</t>
  </si>
  <si>
    <t>Máquina de limpeza de alta pressão, modelo HD 5/11 C, marca Karcher ou similar (lava-jato)</t>
  </si>
  <si>
    <t>Kit para Limpeza De Vidros - combinado rodo-lavador de 35 cm e raspador multiuso de 10 cm  para limpeza de vidros</t>
  </si>
  <si>
    <t>QUANT. POR EDIFÍCIOS-SEDE *</t>
  </si>
  <si>
    <t>TOTAL MENSAL(POR FUNCIONÁRIO)</t>
  </si>
  <si>
    <t>DESCRIÇÃO</t>
  </si>
  <si>
    <t>QUANT. ANUAL</t>
  </si>
  <si>
    <t>CUSTO ANUAL (R$)</t>
  </si>
  <si>
    <t>CUSTO MENSAL (R$)</t>
  </si>
  <si>
    <t>Avental PVC com forro preto 1,2 metros</t>
  </si>
  <si>
    <t>Luva de vaqueta mista</t>
  </si>
  <si>
    <t>Protetor facial incolor</t>
  </si>
  <si>
    <t>Protetor auricular</t>
  </si>
  <si>
    <t>Epi's</t>
  </si>
  <si>
    <t>TOTAL MENSAL(TOTAL DAS UNIDADES / 12)</t>
  </si>
  <si>
    <t>Sindicato da categoria</t>
  </si>
  <si>
    <t>SIEMACO - PR</t>
  </si>
  <si>
    <t>O valor da remuneração – salário – foi baseado no piso salarial constante Convenção Coletiva da categoria – SIEMACO-PR 2011/2012;</t>
  </si>
  <si>
    <t>Item</t>
  </si>
  <si>
    <t>Memória de Cálculo</t>
  </si>
  <si>
    <t>Fundamento</t>
  </si>
  <si>
    <t>-</t>
  </si>
  <si>
    <t>Art. 22, Inciso I, da Lei nº 8.212/91.</t>
  </si>
  <si>
    <t>Art. 15, Lei nº 8.030/90 e Art. 7º, III, CF.</t>
  </si>
  <si>
    <t>Art. 3º, Lei n.º 8.036/90.</t>
  </si>
  <si>
    <t>Decreto n.º 2.318/86.</t>
  </si>
  <si>
    <t>Lei n.º 7.787/89 e DL n.º 1.146/70.</t>
  </si>
  <si>
    <t>Art. 8º, Lei n.º 8.029/90 e Lei n.º 8.154/90.</t>
  </si>
  <si>
    <t>A.08 = RAT x FAP, em que:</t>
  </si>
  <si>
    <t xml:space="preserve">RAT – 3% (código 8121-4/00 – Limpeza em Prédios e Domicílios – Anexo V do Decreto n.º 3.048/1999) </t>
  </si>
  <si>
    <t xml:space="preserve">Total dos Encargos do grupo A </t>
  </si>
  <si>
    <t>Memória de cálculo</t>
  </si>
  <si>
    <t>[(1/12)x100] = 8,333%</t>
  </si>
  <si>
    <t>Art. 7º, VIII, CF/88.</t>
  </si>
  <si>
    <t>{[(1+1/3)/12]x100} = 11,111%</t>
  </si>
  <si>
    <t>Art. 7º, XVII, CF/88.</t>
  </si>
  <si>
    <t>{[(7/30)/12]x100} = 1,944%</t>
  </si>
  <si>
    <t>Art. 7º, XXI, CF/88, 477, 487 e 491 CLT.</t>
  </si>
  <si>
    <t>Art. 59 a 64 da Lei n.º 8.213/91.</t>
  </si>
  <si>
    <t>Art. 19 a 23 da Lei n.º 8.213/91.</t>
  </si>
  <si>
    <t>{[(1/30)/12]x100} = 0,277%</t>
  </si>
  <si>
    <t>Art. 473 da CLT.</t>
  </si>
  <si>
    <t>[(0,1111x0,02x0,333)x100] = 0,074%</t>
  </si>
  <si>
    <t>Impacto do item férias sobre a licença maternidade.</t>
  </si>
  <si>
    <t>{[(5/30)/12]x0,015}x 100 = 0,021%</t>
  </si>
  <si>
    <t>Art. 7º, XIX, CF/88 e 10, § 1º, da CLT.</t>
  </si>
  <si>
    <r>
      <t>1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 xml:space="preserve">Redução de 7 dias ou de 2h por dia. Percentual relativo a contrato de 12 (doze) meses. </t>
    </r>
  </si>
  <si>
    <r>
      <t>2</t>
    </r>
    <r>
      <rPr>
        <sz val="10"/>
        <rFont val="Calibri"/>
        <family val="2"/>
      </rPr>
      <t xml:space="preserve"> Estimativa de 5 (cinco) dias de licença p/ano.</t>
    </r>
  </si>
  <si>
    <r>
      <t>4</t>
    </r>
    <r>
      <rPr>
        <sz val="10"/>
        <rFont val="Calibri"/>
        <family val="2"/>
      </rPr>
      <t xml:space="preserve"> Estimativa de 1 (uma) ausência por ano. </t>
    </r>
  </si>
  <si>
    <r>
      <t>5</t>
    </r>
    <r>
      <rPr>
        <sz val="10"/>
        <rFont val="Calibri"/>
        <family val="2"/>
      </rPr>
      <t xml:space="preserve"> Estimativa de 2% (dois por cento) dos funcionários usufruindo de 4 (quatro) meses de licença por ano.</t>
    </r>
  </si>
  <si>
    <r>
      <t>6</t>
    </r>
    <r>
      <rPr>
        <sz val="10"/>
        <rFont val="Calibri"/>
        <family val="2"/>
      </rPr>
      <t xml:space="preserve"> Estimativa de 1,5% (um inteiro e cinco décimos por cento) dos funcionários usufruindo 5 (cinco) dias da licença por ano.</t>
    </r>
  </si>
  <si>
    <t>Cálculos do Grupo C</t>
  </si>
  <si>
    <r>
      <t>C.01 – Aviso prévio indenizado</t>
    </r>
    <r>
      <rPr>
        <b/>
        <vertAlign val="superscript"/>
        <sz val="10"/>
        <rFont val="Calibri"/>
        <family val="2"/>
      </rPr>
      <t>1</t>
    </r>
  </si>
  <si>
    <t>Art. 7º, XXI, CF/88, 477, 487 e 491 CLT</t>
  </si>
  <si>
    <r>
      <t>C.02 – Iden. adicional</t>
    </r>
    <r>
      <rPr>
        <b/>
        <vertAlign val="superscript"/>
        <sz val="10"/>
        <rFont val="Calibri"/>
        <family val="2"/>
      </rPr>
      <t>2</t>
    </r>
  </si>
  <si>
    <t>[0,02x(1/12)]x100 = 0,167%</t>
  </si>
  <si>
    <t>Art. 9º da Lei n.º 7.238/84</t>
  </si>
  <si>
    <r>
      <t>C.03 – Iden. 40% FGTS (100%)</t>
    </r>
    <r>
      <rPr>
        <b/>
        <vertAlign val="superscript"/>
        <sz val="10"/>
        <rFont val="Calibri"/>
        <family val="2"/>
      </rPr>
      <t>3</t>
    </r>
  </si>
  <si>
    <t>(1x0,40x0,08x100) = 3,200%</t>
  </si>
  <si>
    <t>Leis n.ºs 8.036/90 e 9.491/97</t>
  </si>
  <si>
    <r>
      <t>C.04 – Iden. 40% FGTS (5%)</t>
    </r>
    <r>
      <rPr>
        <b/>
        <vertAlign val="superscript"/>
        <sz val="10"/>
        <rFont val="Calibri"/>
        <family val="2"/>
      </rPr>
      <t>4</t>
    </r>
  </si>
  <si>
    <r>
      <t>C.05 – Iden. 10% FGTS (100%)</t>
    </r>
    <r>
      <rPr>
        <b/>
        <vertAlign val="superscript"/>
        <sz val="10"/>
        <rFont val="Calibri"/>
        <family val="2"/>
      </rPr>
      <t>5</t>
    </r>
  </si>
  <si>
    <t>(1x0,10x0,08x100) = 0,800%</t>
  </si>
  <si>
    <t>Lei Complementar n.º 110/01</t>
  </si>
  <si>
    <r>
      <t>C.06 – Iden. 10% FGTS (5%)</t>
    </r>
    <r>
      <rPr>
        <b/>
        <vertAlign val="superscript"/>
        <sz val="10"/>
        <rFont val="Calibri"/>
        <family val="2"/>
      </rPr>
      <t>6</t>
    </r>
  </si>
  <si>
    <r>
      <t>2</t>
    </r>
    <r>
      <rPr>
        <sz val="10"/>
        <rFont val="Calibri"/>
        <family val="2"/>
      </rPr>
      <t xml:space="preserve"> Estimativa de que 2% (dois por cento) dos funcionários serão demitidos em situação de recebimento de indenização adicional.</t>
    </r>
  </si>
  <si>
    <r>
      <t xml:space="preserve"> 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Multa de 40% do FGTS em relação aos trabalhadores inicialmente contratados. </t>
    </r>
  </si>
  <si>
    <r>
      <t>5</t>
    </r>
    <r>
      <rPr>
        <sz val="10"/>
        <rFont val="Calibri"/>
        <family val="2"/>
      </rPr>
      <t xml:space="preserve">  Contribuição de 10% do FGTS em relação aos trabalhadores inicialmente contratados. </t>
    </r>
  </si>
  <si>
    <r>
      <t>6</t>
    </r>
    <r>
      <rPr>
        <sz val="10"/>
        <rFont val="Calibri"/>
        <family val="2"/>
      </rPr>
      <t xml:space="preserve"> Contribuição de 10% do FGTS, considerando que 5% (cinco por cento) dos funcionários serão substituídos durante um ano. </t>
    </r>
  </si>
  <si>
    <t>Cálculos do Grupo D</t>
  </si>
  <si>
    <t>D.01 – Encargos do Grupo A sobre os Encargos do Grupo B:</t>
  </si>
  <si>
    <t>D.01 = 0,3980 x 0,23484 = 9,35%</t>
  </si>
  <si>
    <t>Cálculos do Grupo E</t>
  </si>
  <si>
    <t>E.01 – Inc. do FGTS exclusivamente sobre o aviso prévio indenizado.</t>
  </si>
  <si>
    <t xml:space="preserve">A.02 x C.01 = </t>
  </si>
  <si>
    <t>(0,08x0,00417)x100 = 0,033%</t>
  </si>
  <si>
    <t>Súmula n.º 305 do TST</t>
  </si>
  <si>
    <r>
      <t>E.02 – FGTS sobre  afastamento  superior a 15 dias por acidente de trabalho.</t>
    </r>
    <r>
      <rPr>
        <b/>
        <vertAlign val="superscript"/>
        <sz val="10"/>
        <rFont val="Calibri"/>
        <family val="2"/>
      </rPr>
      <t>1</t>
    </r>
  </si>
  <si>
    <t>A.02 x B.05 = (0,08x0,0033)x100 = 0,026%</t>
  </si>
  <si>
    <r>
      <t>1</t>
    </r>
    <r>
      <rPr>
        <sz val="10"/>
        <rFont val="Calibri"/>
        <family val="2"/>
      </rPr>
      <t xml:space="preserve">  Estimativa de que 8% (oito por cento) dos funcionários sofrem acidentes durante o ano, com ausência média de 30 dias durante o ano. O percentual do FGTS (8%) será aplicado somente sobre os 15 dias restantes do afastamento, porque os 15 primeiros dias já foram calculados no item B.05.</t>
    </r>
  </si>
  <si>
    <t>Cálculos do Grupo F</t>
  </si>
  <si>
    <t>F.01 – Encargos do Grupo A sobre salário maternidade:</t>
  </si>
  <si>
    <t>F.01 = (Encargos Grupo A) x (Salário + 13º/12) x 4/12 x 2%, em que:</t>
  </si>
  <si>
    <t>Encargos do Grupo A = 0,3980;</t>
  </si>
  <si>
    <t>Salário + 13º = 13 salários;</t>
  </si>
  <si>
    <t>12 = número de meses em um ano;</t>
  </si>
  <si>
    <t>4/12 = período de 4 meses de licença em um ano;</t>
  </si>
  <si>
    <t>2% = Estimativa de que 2% dos funcionários usufruirão da licença maternidade de 4 meses em um ano.</t>
  </si>
  <si>
    <t>F.01 = 0,3980x (13/12) x (4/12) x (2/100) = 0,287%</t>
  </si>
  <si>
    <t>Insumos</t>
  </si>
  <si>
    <t>Encarregado-Geral = 6% x Salário-Base = (6/100) x 975,00 = R$ 58,50;</t>
  </si>
  <si>
    <t>Encarregado = 6% x Salário-Base = (6/100) x 810,00 = R$48,60;</t>
  </si>
  <si>
    <t>Servente = 6% x Salário-Base = (6/100) x 621,00 = R$37,26.</t>
  </si>
  <si>
    <t>Bonificação e Outras Despesas</t>
  </si>
  <si>
    <t>Tributação</t>
  </si>
  <si>
    <t>Cálculo:</t>
  </si>
  <si>
    <t xml:space="preserve">{[Total (Remuneração + Encargos Sociais + Insumos) + Total (Bonificação e Outras Despesas)] x [1-(COFINS + PIS + ISS)]/100]} x Alíquota </t>
  </si>
  <si>
    <t>FAP – 1 –  conforme Decreto n.º 6.957/2009.</t>
  </si>
  <si>
    <t>A.08 = 3 x 1 = 3%</t>
  </si>
  <si>
    <t>A – INSS</t>
  </si>
  <si>
    <t>B – SESI/SESC</t>
  </si>
  <si>
    <t>C – SENAI/SENAC</t>
  </si>
  <si>
    <t>D – INCRA</t>
  </si>
  <si>
    <t>E – Sal. Educação</t>
  </si>
  <si>
    <t>F -  FGTS</t>
  </si>
  <si>
    <t>H – Riscos Ambientais do Trabalho RAT X FAP:</t>
  </si>
  <si>
    <t>G – SEBRAE</t>
  </si>
  <si>
    <t>Art. 3º, Inciso I, Decreto n.º 87.043/82</t>
  </si>
  <si>
    <t>A – 13º Salário</t>
  </si>
  <si>
    <t>B – Férias + 1/3</t>
  </si>
  <si>
    <t xml:space="preserve">Os tributos (ISS, COFINS e PIS) foram definidos utilizando o regime de tributação de Lucro Real, </t>
  </si>
  <si>
    <r>
      <t>C – Aviso prévio trabalhado</t>
    </r>
    <r>
      <rPr>
        <b/>
        <vertAlign val="superscript"/>
        <sz val="10"/>
        <rFont val="Calibri"/>
        <family val="2"/>
      </rPr>
      <t>1</t>
    </r>
  </si>
  <si>
    <r>
      <t>D – Auxílio Doença</t>
    </r>
    <r>
      <rPr>
        <b/>
        <vertAlign val="superscript"/>
        <sz val="10"/>
        <rFont val="Calibri"/>
        <family val="2"/>
      </rPr>
      <t>2</t>
    </r>
  </si>
  <si>
    <r>
      <t>E – Acidente de trabalho</t>
    </r>
    <r>
      <rPr>
        <b/>
        <vertAlign val="superscript"/>
        <sz val="10"/>
        <rFont val="Calibri"/>
        <family val="2"/>
      </rPr>
      <t>3</t>
    </r>
  </si>
  <si>
    <r>
      <t>F – Faltas legais</t>
    </r>
    <r>
      <rPr>
        <b/>
        <vertAlign val="superscript"/>
        <sz val="10"/>
        <rFont val="Calibri"/>
        <family val="2"/>
      </rPr>
      <t>4</t>
    </r>
  </si>
  <si>
    <r>
      <t>G – Férias sobre licença maternidade</t>
    </r>
    <r>
      <rPr>
        <b/>
        <vertAlign val="superscript"/>
        <sz val="10"/>
        <rFont val="Calibri"/>
        <family val="2"/>
      </rPr>
      <t>5</t>
    </r>
  </si>
  <si>
    <r>
      <t>H – Licença paternidade</t>
    </r>
    <r>
      <rPr>
        <b/>
        <vertAlign val="superscript"/>
        <sz val="10"/>
        <rFont val="Calibri"/>
        <family val="2"/>
      </rPr>
      <t>6</t>
    </r>
  </si>
  <si>
    <t>SUBMODULO 4.2, 4.3, 4.4</t>
  </si>
  <si>
    <t>Submódulo 4.3 - Provisão para rescisão</t>
  </si>
  <si>
    <t>Submódulo 4.4 - Custo de reposição do profissional ausente</t>
  </si>
  <si>
    <r>
      <t>1</t>
    </r>
    <r>
      <rPr>
        <sz val="10"/>
        <rFont val="Calibri"/>
        <family val="2"/>
      </rPr>
      <t xml:space="preserve">  Estimativa de que 2% (cinco por cento) dos funcionários serão substituídos durante um ano.</t>
    </r>
  </si>
  <si>
    <t>{[0,02x(1/12)]x100} = 0,167%</t>
  </si>
  <si>
    <t>Férias Licença Maternidade</t>
  </si>
  <si>
    <r>
      <t>4</t>
    </r>
    <r>
      <rPr>
        <sz val="10"/>
        <rFont val="Calibri"/>
        <family val="2"/>
      </rPr>
      <t xml:space="preserve">  Multa de 40% do FGTS, considerando que 2% (cinco por cento) dos funcionários serão substituídos durante um ano. </t>
    </r>
  </si>
  <si>
    <t>(0,02x0,40x0,08x100) = 0,160%</t>
  </si>
  <si>
    <t>(0,02x0,10x0,08 x 100) = 0,016%</t>
  </si>
  <si>
    <t>{[(2/30)/12]x100} = 1,389%</t>
  </si>
  <si>
    <r>
      <t>3</t>
    </r>
    <r>
      <rPr>
        <sz val="10"/>
        <rFont val="Calibri"/>
        <family val="2"/>
      </rPr>
      <t xml:space="preserve"> Estimativa de 1 (uma) licença de 15 (quinze) dias por ano para 2% (dois por cento) dos funcionários.</t>
    </r>
  </si>
  <si>
    <t>{[(15/30)/12]*0,02}x100 = 0,08%</t>
  </si>
  <si>
    <t>Licença Paternidade</t>
  </si>
  <si>
    <t>O valor dos uniformes foi definido com base em orçamento feito direto com o fabricante</t>
  </si>
  <si>
    <t>Os valores dos materiais de limpeza foram calculados com base orçamento feito por forncedores diversos</t>
  </si>
  <si>
    <t xml:space="preserve">O Plano de saúde foi definido de acordo com a Cláusula 15ª da Convenção Coletiva (R$ 27,75); </t>
  </si>
  <si>
    <t xml:space="preserve">O auxílio-alimentação foi estabelecido de acordo com a Cláusula 13ª da Convenção Coletiva (R$ 7,36), adotando-se média de 25 dias úteis por mês. </t>
  </si>
  <si>
    <t>Auxílio-Alimentação (Demais Categorias) = 7,36x25 = R$184,00.</t>
  </si>
  <si>
    <t>Foram considerados 25 (vinte e cinco) tíquetes no valor individual de R$ 7,36 (sete reais e trinta e seis centavos), autorizado o desconto de 01 tíquete para cada dia de falta;</t>
  </si>
  <si>
    <t>Assistência Médica</t>
  </si>
  <si>
    <t>Assistência Social Familiar</t>
  </si>
  <si>
    <t xml:space="preserve">O vale-transporte foi baseado no preço da passagem do transporte coletivo de cada cidade trajeto de ida e volta residência/rodoviária/IFPR e IFPR/rodoviária/residência p/ média de 22 dias úteis por mês. </t>
  </si>
  <si>
    <r>
      <rPr>
        <sz val="7"/>
        <rFont val="Times New Roman"/>
        <family val="1"/>
      </rPr>
      <t xml:space="preserve"> </t>
    </r>
    <r>
      <rPr>
        <sz val="10"/>
        <rFont val="Calibri"/>
        <family val="2"/>
      </rPr>
      <t>Vale-Transporte = Valor do vale x 22 = Valor total</t>
    </r>
  </si>
  <si>
    <t>Dedução legal do vale-transporte.</t>
  </si>
  <si>
    <t>Silvana Maciel Fiametti</t>
  </si>
  <si>
    <t>Sócia Gerente</t>
  </si>
  <si>
    <t>HABITUAL HIGIENIZAÇÃO LTDA.</t>
  </si>
  <si>
    <t>Curitiba, 15 de Dezembro de 2011</t>
  </si>
  <si>
    <t>FOZ DO IGUÇU</t>
  </si>
  <si>
    <t>PARANAGUA</t>
  </si>
  <si>
    <t>PARANAVAI</t>
  </si>
  <si>
    <t>TELEMACO</t>
  </si>
  <si>
    <t>ASSIS</t>
  </si>
  <si>
    <t>TELEMACO BORBA</t>
  </si>
  <si>
    <t>ENCARREGADO GERAL</t>
  </si>
  <si>
    <t>ENCARREGADO FOZ</t>
  </si>
  <si>
    <t>ENCARREGADO PALMAS</t>
  </si>
  <si>
    <t>ENCARREGADO LONDRINA</t>
  </si>
  <si>
    <t>TOTAL ANUAL</t>
  </si>
  <si>
    <t>FOLHA DE PAGAMENTO ADMINISTRATIVO</t>
  </si>
  <si>
    <t>TELEFONE</t>
  </si>
  <si>
    <t>CORREIOS</t>
  </si>
  <si>
    <t>COMBUSTIVEL</t>
  </si>
  <si>
    <t>INTERNET</t>
  </si>
  <si>
    <t>MÉDICO DO TRABALHO</t>
  </si>
  <si>
    <t>CARTÓRIO</t>
  </si>
  <si>
    <t>DEPRECIAÇÃO/MANUTENÇÃO DE EQUIPAMENTOS</t>
  </si>
  <si>
    <t>DESPESAS EVENTUAIS</t>
  </si>
  <si>
    <t>TOTAL DE DESPESAS OPERACIONAIS</t>
  </si>
  <si>
    <t>TOTAL MEDIO DE FUNCIONÁRIOS</t>
  </si>
  <si>
    <t>TOTAL POR FUNCIONÁRIO(TOTAL DAS DESPESAS / N° DOS FUNCIONÁRIOS)</t>
  </si>
  <si>
    <t>Lucro, incluindo todos os impostos e contribuições não repercutíveis, incidentes sobre o total da Remuneração + Encargos Sociais + Insumos, foi definido em 1 %,  enquanto as despesas administrativas/operacionais foi estabelecida em R$ 26,43 ou 1,56% ( dos modulo I, II, III e IV da função predominante)</t>
  </si>
  <si>
    <t xml:space="preserve">CURITIBA </t>
  </si>
  <si>
    <t>R. João Negrão, 1285</t>
  </si>
  <si>
    <t>ASSIS CHATEUBRIAND</t>
  </si>
  <si>
    <t>R. São Luis, S/N</t>
  </si>
  <si>
    <t>R. Eng. Tourinho, 829 - Vila Solene</t>
  </si>
  <si>
    <t>Av. Araucária, 780</t>
  </si>
  <si>
    <t>R. Pedro Koppe, 100</t>
  </si>
  <si>
    <t>PR 466 - Gleba Pindaúva</t>
  </si>
  <si>
    <t>Av. Dr. Tito, S/N</t>
  </si>
  <si>
    <t>R. João XXIII, 600</t>
  </si>
  <si>
    <t>Rod. PR280, Trevo da Codapar</t>
  </si>
  <si>
    <t>R. Antônio Carlos Rodrigues, 453</t>
  </si>
  <si>
    <t>PARANAVAÍ</t>
  </si>
  <si>
    <t>R. José Felipe Tequinha, 1400</t>
  </si>
  <si>
    <t>TELÊMACO BORBA</t>
  </si>
  <si>
    <t>Rod. PR160 - KM 19,5</t>
  </si>
  <si>
    <t>Rod. PR 322, S/N</t>
  </si>
  <si>
    <t>Subitem</t>
  </si>
  <si>
    <t>Servente</t>
  </si>
  <si>
    <t>Endereço das Unidades</t>
  </si>
  <si>
    <t>TOTAL DE ENCARREGADOS/SERVENTES</t>
  </si>
  <si>
    <t xml:space="preserve">Encarregado Geral </t>
  </si>
  <si>
    <t>Encarregado Regional I</t>
  </si>
  <si>
    <t>Encarregado Regional  II</t>
  </si>
  <si>
    <t>Encarregado Regional III</t>
  </si>
  <si>
    <t>Cidades / Pontos Base</t>
  </si>
  <si>
    <t>R. Senador Salgado Filho 1474</t>
  </si>
  <si>
    <t>SUPERVISOR</t>
  </si>
  <si>
    <t>PREGÃO</t>
  </si>
  <si>
    <t>Rua Alcides Vieira Arcoverde, 1225 - Jardim das Américas</t>
  </si>
  <si>
    <t>Rua Voluntários da Pátria, 475, Salas 2003 - 2012 ED. ASA</t>
  </si>
  <si>
    <t>Adicional de Função</t>
  </si>
  <si>
    <t>Servente + copeira</t>
  </si>
  <si>
    <t>SERVENTE COPEIRA</t>
  </si>
  <si>
    <t>Curitiba, 14 de abril de 2012</t>
  </si>
  <si>
    <t>2º Termo aditivo</t>
  </si>
  <si>
    <t xml:space="preserve"> 1º termo aditivo</t>
  </si>
  <si>
    <t>Quantidade de postos CONTRATADOS*</t>
  </si>
  <si>
    <t>Custo Mensal R$/mês contratado</t>
  </si>
  <si>
    <t>Custo Total R$/ano contratado</t>
  </si>
  <si>
    <t xml:space="preserve">Valor com a regularização </t>
  </si>
  <si>
    <t>postos disponíveis para contratação</t>
  </si>
  <si>
    <t>CIDADES</t>
  </si>
  <si>
    <t>ENDEREÇO DAS UNIDADES</t>
  </si>
  <si>
    <t>I) ÁREA INTERNA</t>
  </si>
  <si>
    <t>(m²)</t>
  </si>
  <si>
    <t>II) ÁREA EXTERNA</t>
  </si>
  <si>
    <t>SOLL</t>
  </si>
  <si>
    <t>III) ESQUADRIAS</t>
  </si>
  <si>
    <t>IV) FACHADA ENVIDRAÇADA</t>
  </si>
  <si>
    <t>HABITUAL - CONTRATO Nº 02/2012</t>
  </si>
  <si>
    <t>MATERIAL E EQUIPAMENTOS</t>
  </si>
  <si>
    <t>FINAL</t>
  </si>
  <si>
    <t>CASCAVEL</t>
  </si>
  <si>
    <t>Até o terceiro</t>
  </si>
  <si>
    <t>Os valores das encarregadas são divididas entrs as unidades que são atendidas</t>
  </si>
  <si>
    <t xml:space="preserve">Av. Victor Ferreira do Amaral, nº 306 - Tarumã, 2º andar </t>
  </si>
  <si>
    <t>4º Termo aditivo</t>
  </si>
  <si>
    <t>3º Termo de apostilamento</t>
  </si>
  <si>
    <t>A) SALÁRIO - Cláusula Terceira- Novos pisos salariais para os colaboardores abrangidos pela CCT</t>
  </si>
  <si>
    <t>HABITUAL</t>
  </si>
  <si>
    <t>IFPR</t>
  </si>
  <si>
    <t>B) ENCARGOS SOCIAIS  - Readequados de acordo com a remuneração por ter incidência direta</t>
  </si>
  <si>
    <t>C) ASSIDUIDADE - Cláusula Terceira - Parágrafo Oitavo - Adicional de assiduidade a todas as Categorias abrangidas pela CCT de 5% do salário base, a partir de Fevereiro de 2013</t>
  </si>
  <si>
    <t>D) AUXÍLIO SAÚDE- Cláusula Décima Quinta - contribuição mensal de R$35,00 (trinta e cinco reais) por colaborador para assitência saúde</t>
  </si>
  <si>
    <t>Auxílio Saúde  CCT 2013/2015</t>
  </si>
  <si>
    <t>E) Assistência Social Familiar - Cláusula Décima Sexta - Assitência social familiar a todas as categorias abrangidas pela presente CTT no valor mensal de R$12,00</t>
  </si>
  <si>
    <t xml:space="preserve"> Assistência Social Familiar - DO PREGÃO ATÉ 31/01/2013</t>
  </si>
  <si>
    <t xml:space="preserve"> Assistência Social Familiar -  CCT 2013/2015</t>
  </si>
  <si>
    <t>F) Fundo de Formação Profissiobal - Cláusula Vigèsima Segunda - contribuição R$11,00 mensais por cada colaborador da categoria</t>
  </si>
  <si>
    <t>) Fundo de Formação Profissiobal DO PREGÃO ATÉ 31/01/2013</t>
  </si>
  <si>
    <t>) Fundo de Formação Profissiobal CCT 2013/2015</t>
  </si>
  <si>
    <t>G) Impostos - Incidência direta sobre os valores das notas emitidas, sofre variação conforme planilha</t>
  </si>
  <si>
    <t>Encarregada Geral</t>
  </si>
  <si>
    <t>Encaregada Regional</t>
  </si>
  <si>
    <t>REPACTUAÇÃO 2012</t>
  </si>
  <si>
    <t>REPACTUAÇÃO 2013</t>
  </si>
  <si>
    <t>repactuação 2012</t>
  </si>
  <si>
    <t>pregão</t>
  </si>
  <si>
    <t>repactuação de 2013</t>
  </si>
  <si>
    <t>J</t>
  </si>
  <si>
    <t xml:space="preserve">Assiduidade </t>
  </si>
  <si>
    <t>Incluido pelo SIEMACO 2013</t>
  </si>
  <si>
    <t>x</t>
  </si>
  <si>
    <t>EAD - R. Emílio Bertolini, 44 B</t>
  </si>
  <si>
    <t>Horto - R. Sen. Salgado Filho, 1050</t>
  </si>
  <si>
    <t xml:space="preserve">R$803 + R$57 </t>
  </si>
  <si>
    <t>CARGO</t>
  </si>
  <si>
    <t>Custo Mensal  do posto</t>
  </si>
  <si>
    <t xml:space="preserve">Custo total  Mensal R$/mês </t>
  </si>
  <si>
    <t xml:space="preserve">Custo total R$/ano </t>
  </si>
  <si>
    <t>Descrição</t>
  </si>
  <si>
    <t>Curitiba, 10 de abril de 2012</t>
  </si>
  <si>
    <t>OS. Nº 06/2013</t>
  </si>
  <si>
    <t>UMUARMA</t>
  </si>
  <si>
    <t>Valor Atualizado Repactuação 2013</t>
  </si>
  <si>
    <t>5º Termo aditivo</t>
  </si>
  <si>
    <t>Repactuação 2012</t>
  </si>
  <si>
    <t>DIFERENÇA</t>
  </si>
  <si>
    <t>Av. Cardeal, 1309 - Residencial Clarito . CEP 85.814-780</t>
  </si>
  <si>
    <t>Período de Setembro a dezembro de 2013</t>
  </si>
  <si>
    <t>Quantidade de postos pelo 5º Termo Aditivo</t>
  </si>
  <si>
    <t>C= A XB</t>
  </si>
  <si>
    <t>D= C X 4 meses</t>
  </si>
  <si>
    <t>Quantidade de postos Licitados / Adicionados e Suprimidos</t>
  </si>
  <si>
    <t>SUPRESSÃO</t>
  </si>
  <si>
    <t>ACRESCIMO</t>
  </si>
  <si>
    <t>6º Termo aditivo</t>
  </si>
  <si>
    <t>supressão</t>
  </si>
  <si>
    <t>R. João Negrão, 1327 (Mate Real)</t>
  </si>
  <si>
    <t>OS. Nº 08/2013</t>
  </si>
  <si>
    <t>7º Termo aditivo</t>
  </si>
  <si>
    <t>REPACTUAÇÃO 2014</t>
  </si>
  <si>
    <t>ASSIDUIDADE</t>
  </si>
  <si>
    <t>2014/2016</t>
  </si>
  <si>
    <t>Curitiba, 20 de Fevereiro de 2014.</t>
  </si>
  <si>
    <t>JAGUARIAIVA</t>
  </si>
  <si>
    <t>PINHAIS</t>
  </si>
  <si>
    <t>PITANGA</t>
  </si>
  <si>
    <t>UNIÃO DA VITÓRIA</t>
  </si>
  <si>
    <t>vinculação</t>
  </si>
  <si>
    <t>ok</t>
  </si>
  <si>
    <t>formula própria</t>
  </si>
  <si>
    <t>fórmula própria</t>
  </si>
  <si>
    <t>repactuação de 2014.</t>
  </si>
  <si>
    <t>H) Material de Limpeza</t>
  </si>
  <si>
    <t>Valor Atualizado Repactuação 2014</t>
  </si>
  <si>
    <t>TOTAL CONSIDERANDO APENAS O REAJUSTE 2014</t>
  </si>
  <si>
    <t xml:space="preserve">I) auxílio alimentação </t>
  </si>
  <si>
    <t>servente</t>
  </si>
  <si>
    <t>ASTORGA</t>
  </si>
  <si>
    <t>CEL. VIVIDA</t>
  </si>
  <si>
    <t>BARRACÃO</t>
  </si>
  <si>
    <t>CAPANEMA</t>
  </si>
  <si>
    <t>COLOMBO</t>
  </si>
  <si>
    <t>GOIOERÊ</t>
  </si>
  <si>
    <t>QUEDAS DO IGUAÇU</t>
  </si>
  <si>
    <t>SERVENTE+COPEIRA</t>
  </si>
  <si>
    <t>9º Termo aditivo</t>
  </si>
  <si>
    <t>Rodovia PR 151, Km 23</t>
  </si>
  <si>
    <t xml:space="preserve">CEP 84200-000 </t>
  </si>
  <si>
    <t>Rua Humberto de Alencar Castelo Branco, 1615 – Jardim Amélia</t>
  </si>
  <si>
    <t>CEP 83330-200</t>
  </si>
  <si>
    <t>Rua José de Alencar, 880 – Jardim Planalto</t>
  </si>
  <si>
    <t>CEP 85200-000 </t>
  </si>
  <si>
    <t>Avenida Paulo Freitas, s/n – São Braz</t>
  </si>
  <si>
    <t>CEP 84600-000 </t>
  </si>
  <si>
    <t>Rodovia PR 454, Contorno Norte</t>
  </si>
  <si>
    <t>CEP 86730-000 </t>
  </si>
  <si>
    <t>Rodovia PR 562 – Flor da Serra CEP 85550-000</t>
  </si>
  <si>
    <t>Rodovia PR 163, Km 01
CEP 85700-000</t>
  </si>
  <si>
    <t>Rua Cariris, s/n, Lote 52, Gleba 135 CP
CEP 85760-000</t>
  </si>
  <si>
    <t>Rua Antônio Chemin, s/n – Roça Grande
CEP: 83403-515</t>
  </si>
  <si>
    <t>Lote AA, Rio das Cobras – Fazenda São Jorge
CEP 85460-000</t>
  </si>
  <si>
    <t>Rodovia PR 180 – Trevo da UEM
CEP 87360-000</t>
  </si>
  <si>
    <t>REPACTUAÇÃO 2015</t>
  </si>
  <si>
    <t>repactuação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</si>
</sst>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* #,##0_-;\-* #,##0_-;_-* &quot;-&quot;??_-;_-@_-"/>
    <numFmt numFmtId="167" formatCode="&quot;R$ &quot;#,##0.00"/>
    <numFmt numFmtId="168" formatCode="&quot;R$&quot;\ #,##0.0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2"/>
      <name val="Calibri"/>
      <family val="2"/>
    </font>
    <font>
      <vertAlign val="superscript"/>
      <sz val="10"/>
      <name val="Calibri"/>
      <family val="2"/>
    </font>
    <font>
      <sz val="7"/>
      <name val="Times New Roman"/>
      <family val="1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55555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0" fontId="0" fillId="0" borderId="0" xfId="4" applyNumberFormat="1" applyFont="1"/>
    <xf numFmtId="10" fontId="3" fillId="0" borderId="1" xfId="4" applyNumberFormat="1" applyFont="1" applyBorder="1" applyAlignment="1">
      <alignment horizontal="center"/>
    </xf>
    <xf numFmtId="10" fontId="0" fillId="0" borderId="1" xfId="4" applyNumberFormat="1" applyFont="1" applyBorder="1"/>
    <xf numFmtId="43" fontId="0" fillId="0" borderId="0" xfId="5" applyFont="1"/>
    <xf numFmtId="43" fontId="3" fillId="0" borderId="1" xfId="5" applyFont="1" applyBorder="1" applyAlignment="1">
      <alignment horizontal="center"/>
    </xf>
    <xf numFmtId="43" fontId="0" fillId="0" borderId="1" xfId="5" applyFont="1" applyBorder="1"/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0" xfId="5" applyFont="1" applyAlignment="1">
      <alignment horizontal="center"/>
    </xf>
    <xf numFmtId="10" fontId="0" fillId="0" borderId="0" xfId="4" applyNumberFormat="1" applyFont="1" applyAlignment="1">
      <alignment horizontal="right"/>
    </xf>
    <xf numFmtId="166" fontId="0" fillId="0" borderId="1" xfId="5" applyNumberFormat="1" applyFont="1" applyBorder="1"/>
    <xf numFmtId="9" fontId="0" fillId="0" borderId="1" xfId="4" applyFont="1" applyBorder="1"/>
    <xf numFmtId="43" fontId="0" fillId="0" borderId="1" xfId="5" applyNumberFormat="1" applyFont="1" applyBorder="1"/>
    <xf numFmtId="43" fontId="0" fillId="0" borderId="0" xfId="0" applyNumberFormat="1"/>
    <xf numFmtId="43" fontId="3" fillId="0" borderId="1" xfId="5" applyFont="1" applyBorder="1"/>
    <xf numFmtId="43" fontId="0" fillId="0" borderId="1" xfId="4" applyNumberFormat="1" applyFont="1" applyBorder="1"/>
    <xf numFmtId="10" fontId="3" fillId="0" borderId="1" xfId="4" applyNumberFormat="1" applyFont="1" applyBorder="1"/>
    <xf numFmtId="0" fontId="0" fillId="0" borderId="2" xfId="0" applyBorder="1" applyAlignment="1"/>
    <xf numFmtId="10" fontId="0" fillId="0" borderId="1" xfId="0" applyNumberFormat="1" applyBorder="1" applyAlignment="1"/>
    <xf numFmtId="10" fontId="3" fillId="0" borderId="1" xfId="0" applyNumberFormat="1" applyFont="1" applyBorder="1" applyAlignment="1"/>
    <xf numFmtId="43" fontId="6" fillId="0" borderId="0" xfId="5" applyFont="1"/>
    <xf numFmtId="44" fontId="0" fillId="0" borderId="0" xfId="1" applyFont="1"/>
    <xf numFmtId="0" fontId="4" fillId="0" borderId="0" xfId="0" applyFont="1"/>
    <xf numFmtId="44" fontId="0" fillId="0" borderId="0" xfId="0" applyNumberFormat="1"/>
    <xf numFmtId="166" fontId="0" fillId="0" borderId="0" xfId="5" applyNumberFormat="1" applyFont="1"/>
    <xf numFmtId="0" fontId="20" fillId="0" borderId="0" xfId="0" applyFont="1"/>
    <xf numFmtId="43" fontId="20" fillId="0" borderId="0" xfId="0" applyNumberFormat="1" applyFont="1"/>
    <xf numFmtId="10" fontId="20" fillId="0" borderId="0" xfId="0" applyNumberFormat="1" applyFont="1"/>
    <xf numFmtId="166" fontId="20" fillId="0" borderId="0" xfId="5" applyNumberFormat="1" applyFont="1"/>
    <xf numFmtId="0" fontId="20" fillId="0" borderId="0" xfId="0" applyFont="1" applyBorder="1"/>
    <xf numFmtId="2" fontId="20" fillId="0" borderId="0" xfId="0" applyNumberFormat="1" applyFont="1" applyBorder="1"/>
    <xf numFmtId="10" fontId="23" fillId="0" borderId="0" xfId="0" applyNumberFormat="1" applyFont="1" applyBorder="1" applyAlignment="1">
      <alignment horizontal="center"/>
    </xf>
    <xf numFmtId="43" fontId="20" fillId="0" borderId="0" xfId="0" applyNumberFormat="1" applyFont="1" applyBorder="1"/>
    <xf numFmtId="43" fontId="20" fillId="0" borderId="0" xfId="5" applyFont="1" applyBorder="1"/>
    <xf numFmtId="0" fontId="9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0" xfId="0" applyFont="1" applyAlignment="1">
      <alignment vertical="center"/>
    </xf>
    <xf numFmtId="4" fontId="24" fillId="0" borderId="7" xfId="0" applyNumberFormat="1" applyFont="1" applyBorder="1" applyAlignment="1">
      <alignment horizontal="right" vertical="center"/>
    </xf>
    <xf numFmtId="8" fontId="24" fillId="0" borderId="7" xfId="0" applyNumberFormat="1" applyFont="1" applyBorder="1" applyAlignment="1">
      <alignment horizontal="right" vertical="center"/>
    </xf>
    <xf numFmtId="8" fontId="28" fillId="0" borderId="7" xfId="0" applyNumberFormat="1" applyFont="1" applyBorder="1" applyAlignment="1">
      <alignment horizontal="right" vertical="center"/>
    </xf>
    <xf numFmtId="44" fontId="29" fillId="0" borderId="0" xfId="1" applyFont="1"/>
    <xf numFmtId="2" fontId="24" fillId="0" borderId="7" xfId="0" applyNumberFormat="1" applyFont="1" applyBorder="1" applyAlignment="1">
      <alignment horizontal="right" vertical="center"/>
    </xf>
    <xf numFmtId="44" fontId="9" fillId="0" borderId="7" xfId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0" fillId="0" borderId="9" xfId="0" applyBorder="1"/>
    <xf numFmtId="0" fontId="4" fillId="0" borderId="10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4" fontId="4" fillId="0" borderId="4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4" fillId="0" borderId="11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4" fontId="4" fillId="0" borderId="5" xfId="1" applyFont="1" applyBorder="1" applyAlignment="1">
      <alignment horizontal="center" vertical="center" wrapText="1"/>
    </xf>
    <xf numFmtId="44" fontId="3" fillId="0" borderId="11" xfId="0" applyNumberFormat="1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4" fontId="9" fillId="0" borderId="7" xfId="0" applyNumberFormat="1" applyFont="1" applyBorder="1" applyAlignment="1">
      <alignment horizontal="right" vertical="center" wrapText="1"/>
    </xf>
    <xf numFmtId="44" fontId="12" fillId="0" borderId="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10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2" fillId="0" borderId="21" xfId="0" applyFont="1" applyBorder="1" applyAlignment="1">
      <alignment vertical="center" wrapText="1"/>
    </xf>
    <xf numFmtId="10" fontId="12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24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2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9" fontId="0" fillId="0" borderId="0" xfId="4" applyFont="1"/>
    <xf numFmtId="10" fontId="30" fillId="0" borderId="0" xfId="4" applyNumberFormat="1" applyFont="1"/>
    <xf numFmtId="0" fontId="9" fillId="0" borderId="25" xfId="0" applyFont="1" applyFill="1" applyBorder="1" applyAlignment="1">
      <alignment vertical="center" wrapText="1"/>
    </xf>
    <xf numFmtId="43" fontId="4" fillId="0" borderId="0" xfId="5" applyFont="1"/>
    <xf numFmtId="2" fontId="4" fillId="0" borderId="0" xfId="0" applyNumberFormat="1" applyFont="1"/>
    <xf numFmtId="0" fontId="30" fillId="0" borderId="0" xfId="0" applyFont="1"/>
    <xf numFmtId="44" fontId="30" fillId="0" borderId="0" xfId="1" applyFont="1"/>
    <xf numFmtId="166" fontId="30" fillId="0" borderId="0" xfId="5" applyNumberFormat="1" applyFont="1"/>
    <xf numFmtId="44" fontId="3" fillId="0" borderId="0" xfId="1" applyFont="1"/>
    <xf numFmtId="0" fontId="32" fillId="4" borderId="17" xfId="0" applyFont="1" applyFill="1" applyBorder="1" applyAlignment="1">
      <alignment horizontal="center" wrapText="1"/>
    </xf>
    <xf numFmtId="0" fontId="31" fillId="4" borderId="17" xfId="0" applyFont="1" applyFill="1" applyBorder="1" applyAlignment="1">
      <alignment horizontal="center" wrapText="1"/>
    </xf>
    <xf numFmtId="0" fontId="32" fillId="4" borderId="1" xfId="0" applyFont="1" applyFill="1" applyBorder="1" applyAlignment="1">
      <alignment horizontal="left" wrapText="1"/>
    </xf>
    <xf numFmtId="0" fontId="3" fillId="2" borderId="10" xfId="0" applyFont="1" applyFill="1" applyBorder="1"/>
    <xf numFmtId="44" fontId="3" fillId="2" borderId="11" xfId="0" applyNumberFormat="1" applyFont="1" applyFill="1" applyBorder="1"/>
    <xf numFmtId="167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1" fillId="0" borderId="1" xfId="4" applyNumberFormat="1" applyFont="1" applyBorder="1"/>
    <xf numFmtId="0" fontId="36" fillId="0" borderId="0" xfId="0" applyFont="1"/>
    <xf numFmtId="0" fontId="1" fillId="0" borderId="0" xfId="0" applyFont="1" applyBorder="1"/>
    <xf numFmtId="9" fontId="0" fillId="0" borderId="0" xfId="0" applyNumberFormat="1"/>
    <xf numFmtId="0" fontId="1" fillId="0" borderId="0" xfId="0" applyFont="1" applyFill="1" applyBorder="1"/>
    <xf numFmtId="44" fontId="4" fillId="6" borderId="0" xfId="0" applyNumberFormat="1" applyFont="1" applyFill="1"/>
    <xf numFmtId="0" fontId="32" fillId="4" borderId="1" xfId="0" applyFont="1" applyFill="1" applyBorder="1" applyAlignment="1">
      <alignment horizontal="center" wrapText="1"/>
    </xf>
    <xf numFmtId="0" fontId="0" fillId="0" borderId="0" xfId="0" applyAlignment="1"/>
    <xf numFmtId="44" fontId="3" fillId="2" borderId="11" xfId="0" applyNumberFormat="1" applyFont="1" applyFill="1" applyBorder="1" applyAlignment="1"/>
    <xf numFmtId="44" fontId="29" fillId="0" borderId="0" xfId="1" applyFont="1" applyAlignment="1"/>
    <xf numFmtId="44" fontId="4" fillId="0" borderId="0" xfId="0" applyNumberFormat="1" applyFont="1" applyAlignment="1"/>
    <xf numFmtId="0" fontId="32" fillId="4" borderId="1" xfId="0" applyFont="1" applyFill="1" applyBorder="1" applyAlignment="1">
      <alignment wrapText="1"/>
    </xf>
    <xf numFmtId="44" fontId="0" fillId="0" borderId="0" xfId="0" applyNumberFormat="1" applyAlignment="1">
      <alignment horizontal="center"/>
    </xf>
    <xf numFmtId="44" fontId="3" fillId="2" borderId="1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168" fontId="1" fillId="0" borderId="0" xfId="0" applyNumberFormat="1" applyFont="1"/>
    <xf numFmtId="0" fontId="37" fillId="8" borderId="31" xfId="0" applyFont="1" applyFill="1" applyBorder="1" applyAlignment="1">
      <alignment horizontal="center" vertical="center" wrapText="1"/>
    </xf>
    <xf numFmtId="0" fontId="37" fillId="9" borderId="30" xfId="0" applyFont="1" applyFill="1" applyBorder="1" applyAlignment="1">
      <alignment horizontal="center" vertical="center" wrapText="1"/>
    </xf>
    <xf numFmtId="0" fontId="37" fillId="11" borderId="8" xfId="0" applyFont="1" applyFill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168" fontId="1" fillId="0" borderId="11" xfId="0" applyNumberFormat="1" applyFont="1" applyBorder="1"/>
    <xf numFmtId="10" fontId="1" fillId="0" borderId="0" xfId="4" applyNumberFormat="1" applyFont="1"/>
    <xf numFmtId="43" fontId="1" fillId="0" borderId="0" xfId="5" applyFont="1"/>
    <xf numFmtId="0" fontId="37" fillId="8" borderId="37" xfId="0" applyFont="1" applyFill="1" applyBorder="1" applyAlignment="1">
      <alignment vertical="center" wrapText="1"/>
    </xf>
    <xf numFmtId="0" fontId="37" fillId="9" borderId="38" xfId="0" applyFont="1" applyFill="1" applyBorder="1" applyAlignment="1">
      <alignment vertical="center" wrapText="1"/>
    </xf>
    <xf numFmtId="0" fontId="37" fillId="11" borderId="4" xfId="0" applyFont="1" applyFill="1" applyBorder="1" applyAlignment="1">
      <alignment horizontal="center" vertical="center" wrapText="1"/>
    </xf>
    <xf numFmtId="0" fontId="37" fillId="12" borderId="37" xfId="0" applyFont="1" applyFill="1" applyBorder="1" applyAlignment="1">
      <alignment horizontal="center" vertical="center" wrapText="1"/>
    </xf>
    <xf numFmtId="0" fontId="37" fillId="10" borderId="8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4" fontId="29" fillId="0" borderId="7" xfId="0" applyNumberFormat="1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0" fontId="29" fillId="0" borderId="31" xfId="0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4" fontId="37" fillId="0" borderId="8" xfId="0" applyNumberFormat="1" applyFont="1" applyBorder="1" applyAlignment="1">
      <alignment horizontal="right" vertical="center" wrapText="1"/>
    </xf>
    <xf numFmtId="168" fontId="37" fillId="0" borderId="8" xfId="0" applyNumberFormat="1" applyFont="1" applyBorder="1" applyAlignment="1">
      <alignment horizontal="right" vertical="center" wrapText="1"/>
    </xf>
    <xf numFmtId="0" fontId="3" fillId="0" borderId="38" xfId="0" applyFont="1" applyBorder="1"/>
    <xf numFmtId="0" fontId="20" fillId="0" borderId="37" xfId="0" applyFont="1" applyBorder="1"/>
    <xf numFmtId="8" fontId="1" fillId="0" borderId="37" xfId="0" applyNumberFormat="1" applyFont="1" applyBorder="1"/>
    <xf numFmtId="168" fontId="1" fillId="0" borderId="36" xfId="0" applyNumberFormat="1" applyFont="1" applyBorder="1"/>
    <xf numFmtId="0" fontId="3" fillId="0" borderId="30" xfId="0" applyFont="1" applyBorder="1"/>
    <xf numFmtId="0" fontId="20" fillId="0" borderId="31" xfId="0" applyFont="1" applyBorder="1"/>
    <xf numFmtId="8" fontId="1" fillId="0" borderId="31" xfId="0" applyNumberFormat="1" applyFont="1" applyBorder="1"/>
    <xf numFmtId="8" fontId="1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left"/>
    </xf>
    <xf numFmtId="0" fontId="0" fillId="0" borderId="2" xfId="0" applyBorder="1" applyAlignment="1"/>
    <xf numFmtId="4" fontId="0" fillId="0" borderId="0" xfId="0" applyNumberFormat="1"/>
    <xf numFmtId="44" fontId="0" fillId="0" borderId="39" xfId="1" applyFont="1" applyBorder="1" applyAlignment="1">
      <alignment horizontal="center"/>
    </xf>
    <xf numFmtId="44" fontId="0" fillId="0" borderId="39" xfId="0" applyNumberFormat="1" applyBorder="1" applyAlignment="1">
      <alignment horizontal="center"/>
    </xf>
    <xf numFmtId="44" fontId="0" fillId="0" borderId="40" xfId="0" applyNumberFormat="1" applyBorder="1" applyAlignment="1">
      <alignment horizontal="center"/>
    </xf>
    <xf numFmtId="43" fontId="1" fillId="0" borderId="0" xfId="0" applyNumberFormat="1" applyFont="1" applyBorder="1"/>
    <xf numFmtId="4" fontId="0" fillId="0" borderId="0" xfId="0" applyNumberFormat="1" applyAlignment="1">
      <alignment horizontal="center"/>
    </xf>
    <xf numFmtId="0" fontId="0" fillId="4" borderId="0" xfId="0" applyFill="1"/>
    <xf numFmtId="44" fontId="3" fillId="2" borderId="0" xfId="0" applyNumberFormat="1" applyFont="1" applyFill="1" applyBorder="1" applyAlignment="1">
      <alignment horizontal="center"/>
    </xf>
    <xf numFmtId="0" fontId="38" fillId="5" borderId="0" xfId="0" applyFont="1" applyFill="1"/>
    <xf numFmtId="0" fontId="38" fillId="0" borderId="0" xfId="0" applyFont="1"/>
    <xf numFmtId="168" fontId="0" fillId="4" borderId="0" xfId="0" applyNumberFormat="1" applyFill="1"/>
    <xf numFmtId="168" fontId="0" fillId="0" borderId="0" xfId="0" applyNumberFormat="1"/>
    <xf numFmtId="0" fontId="0" fillId="5" borderId="0" xfId="0" applyFill="1"/>
    <xf numFmtId="0" fontId="39" fillId="0" borderId="0" xfId="0" applyFont="1" applyAlignment="1">
      <alignment horizontal="justify" vertical="center"/>
    </xf>
    <xf numFmtId="0" fontId="40" fillId="0" borderId="0" xfId="6"/>
    <xf numFmtId="43" fontId="2" fillId="0" borderId="0" xfId="5" applyFont="1"/>
    <xf numFmtId="43" fontId="41" fillId="0" borderId="0" xfId="5" applyFont="1"/>
    <xf numFmtId="43" fontId="1" fillId="0" borderId="0" xfId="0" applyNumberFormat="1" applyFont="1"/>
    <xf numFmtId="10" fontId="1" fillId="0" borderId="0" xfId="0" applyNumberFormat="1" applyFont="1"/>
    <xf numFmtId="166" fontId="1" fillId="0" borderId="0" xfId="5" applyNumberFormat="1" applyFont="1"/>
    <xf numFmtId="0" fontId="1" fillId="6" borderId="0" xfId="0" applyFont="1" applyFill="1"/>
    <xf numFmtId="43" fontId="0" fillId="6" borderId="1" xfId="5" applyFont="1" applyFill="1" applyBorder="1"/>
    <xf numFmtId="43" fontId="1" fillId="6" borderId="0" xfId="5" applyFont="1" applyFill="1"/>
    <xf numFmtId="0" fontId="0" fillId="6" borderId="0" xfId="0" applyFill="1"/>
    <xf numFmtId="10" fontId="0" fillId="4" borderId="0" xfId="4" applyNumberFormat="1" applyFont="1" applyFill="1"/>
    <xf numFmtId="43" fontId="0" fillId="4" borderId="0" xfId="5" applyFont="1" applyFill="1"/>
    <xf numFmtId="10" fontId="0" fillId="4" borderId="0" xfId="4" applyNumberFormat="1" applyFont="1" applyFill="1" applyAlignment="1">
      <alignment horizontal="right"/>
    </xf>
    <xf numFmtId="43" fontId="0" fillId="4" borderId="0" xfId="5" applyFont="1" applyFill="1" applyAlignment="1">
      <alignment horizontal="center"/>
    </xf>
    <xf numFmtId="10" fontId="3" fillId="4" borderId="1" xfId="4" applyNumberFormat="1" applyFont="1" applyFill="1" applyBorder="1" applyAlignment="1">
      <alignment horizontal="center"/>
    </xf>
    <xf numFmtId="43" fontId="3" fillId="4" borderId="1" xfId="5" applyFont="1" applyFill="1" applyBorder="1" applyAlignment="1">
      <alignment horizontal="center"/>
    </xf>
    <xf numFmtId="166" fontId="0" fillId="4" borderId="1" xfId="5" applyNumberFormat="1" applyFont="1" applyFill="1" applyBorder="1"/>
    <xf numFmtId="43" fontId="0" fillId="4" borderId="1" xfId="5" applyFont="1" applyFill="1" applyBorder="1"/>
    <xf numFmtId="9" fontId="0" fillId="4" borderId="1" xfId="4" applyFont="1" applyFill="1" applyBorder="1"/>
    <xf numFmtId="43" fontId="0" fillId="4" borderId="1" xfId="5" applyNumberFormat="1" applyFont="1" applyFill="1" applyBorder="1"/>
    <xf numFmtId="43" fontId="3" fillId="4" borderId="1" xfId="5" applyFont="1" applyFill="1" applyBorder="1"/>
    <xf numFmtId="10" fontId="0" fillId="4" borderId="1" xfId="4" applyNumberFormat="1" applyFont="1" applyFill="1" applyBorder="1"/>
    <xf numFmtId="43" fontId="0" fillId="4" borderId="1" xfId="4" applyNumberFormat="1" applyFont="1" applyFill="1" applyBorder="1"/>
    <xf numFmtId="10" fontId="3" fillId="4" borderId="1" xfId="4" applyNumberFormat="1" applyFont="1" applyFill="1" applyBorder="1"/>
    <xf numFmtId="10" fontId="0" fillId="4" borderId="1" xfId="0" applyNumberFormat="1" applyFill="1" applyBorder="1" applyAlignment="1"/>
    <xf numFmtId="0" fontId="0" fillId="4" borderId="1" xfId="0" applyFill="1" applyBorder="1" applyAlignment="1"/>
    <xf numFmtId="10" fontId="3" fillId="4" borderId="1" xfId="0" applyNumberFormat="1" applyFont="1" applyFill="1" applyBorder="1" applyAlignment="1"/>
    <xf numFmtId="43" fontId="6" fillId="4" borderId="0" xfId="5" applyFont="1" applyFill="1"/>
    <xf numFmtId="10" fontId="4" fillId="4" borderId="1" xfId="4" applyNumberFormat="1" applyFont="1" applyFill="1" applyBorder="1"/>
    <xf numFmtId="44" fontId="0" fillId="4" borderId="20" xfId="1" applyFont="1" applyFill="1" applyBorder="1"/>
    <xf numFmtId="165" fontId="1" fillId="0" borderId="0" xfId="0" applyNumberFormat="1" applyFont="1"/>
    <xf numFmtId="0" fontId="20" fillId="6" borderId="0" xfId="0" applyFont="1" applyFill="1"/>
    <xf numFmtId="0" fontId="1" fillId="0" borderId="0" xfId="3" applyFont="1" applyBorder="1"/>
    <xf numFmtId="0" fontId="4" fillId="0" borderId="0" xfId="3"/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4" fillId="0" borderId="42" xfId="0" applyFont="1" applyBorder="1"/>
    <xf numFmtId="0" fontId="4" fillId="0" borderId="43" xfId="0" applyFont="1" applyBorder="1"/>
    <xf numFmtId="44" fontId="0" fillId="0" borderId="44" xfId="1" applyFont="1" applyBorder="1" applyAlignment="1">
      <alignment horizontal="center"/>
    </xf>
    <xf numFmtId="164" fontId="0" fillId="0" borderId="41" xfId="0" applyNumberFormat="1" applyBorder="1" applyAlignment="1"/>
    <xf numFmtId="164" fontId="0" fillId="0" borderId="42" xfId="0" applyNumberFormat="1" applyBorder="1" applyAlignment="1"/>
    <xf numFmtId="164" fontId="0" fillId="0" borderId="43" xfId="0" applyNumberFormat="1" applyBorder="1" applyAlignment="1"/>
    <xf numFmtId="44" fontId="0" fillId="0" borderId="40" xfId="1" applyFont="1" applyBorder="1" applyAlignment="1">
      <alignment horizontal="center"/>
    </xf>
    <xf numFmtId="44" fontId="0" fillId="0" borderId="41" xfId="1" applyFont="1" applyBorder="1"/>
    <xf numFmtId="44" fontId="0" fillId="0" borderId="42" xfId="1" applyFont="1" applyBorder="1"/>
    <xf numFmtId="44" fontId="0" fillId="0" borderId="42" xfId="0" applyNumberFormat="1" applyBorder="1"/>
    <xf numFmtId="44" fontId="0" fillId="0" borderId="43" xfId="0" applyNumberFormat="1" applyBorder="1"/>
    <xf numFmtId="0" fontId="3" fillId="0" borderId="0" xfId="0" applyFont="1"/>
    <xf numFmtId="168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44" fontId="0" fillId="4" borderId="39" xfId="1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 wrapText="1"/>
    </xf>
    <xf numFmtId="168" fontId="0" fillId="0" borderId="1" xfId="0" applyNumberFormat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1" fillId="5" borderId="0" xfId="0" applyFont="1" applyFill="1"/>
    <xf numFmtId="0" fontId="1" fillId="5" borderId="0" xfId="0" applyFont="1" applyFill="1" applyBorder="1"/>
    <xf numFmtId="10" fontId="3" fillId="5" borderId="0" xfId="0" applyNumberFormat="1" applyFont="1" applyFill="1" applyBorder="1" applyAlignment="1">
      <alignment horizontal="center"/>
    </xf>
    <xf numFmtId="43" fontId="1" fillId="5" borderId="0" xfId="0" applyNumberFormat="1" applyFont="1" applyFill="1" applyBorder="1"/>
    <xf numFmtId="43" fontId="1" fillId="5" borderId="0" xfId="5" applyFont="1" applyFill="1" applyBorder="1"/>
    <xf numFmtId="44" fontId="1" fillId="0" borderId="42" xfId="1" applyFont="1" applyBorder="1"/>
    <xf numFmtId="0" fontId="20" fillId="0" borderId="0" xfId="0" applyFont="1" applyBorder="1" applyAlignment="1">
      <alignment horizontal="center"/>
    </xf>
    <xf numFmtId="44" fontId="20" fillId="0" borderId="0" xfId="0" applyNumberFormat="1" applyFont="1" applyBorder="1" applyAlignment="1">
      <alignment horizontal="center"/>
    </xf>
    <xf numFmtId="10" fontId="20" fillId="0" borderId="0" xfId="0" applyNumberFormat="1" applyFont="1" applyBorder="1" applyAlignment="1">
      <alignment horizontal="center"/>
    </xf>
    <xf numFmtId="44" fontId="23" fillId="4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right"/>
    </xf>
    <xf numFmtId="168" fontId="3" fillId="0" borderId="0" xfId="0" applyNumberFormat="1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31" fillId="2" borderId="45" xfId="0" applyFont="1" applyFill="1" applyBorder="1" applyAlignment="1">
      <alignment horizontal="center" wrapText="1"/>
    </xf>
    <xf numFmtId="0" fontId="31" fillId="2" borderId="46" xfId="0" applyFont="1" applyFill="1" applyBorder="1" applyAlignment="1">
      <alignment horizontal="left" wrapText="1"/>
    </xf>
    <xf numFmtId="0" fontId="31" fillId="2" borderId="46" xfId="0" applyFont="1" applyFill="1" applyBorder="1" applyAlignment="1">
      <alignment wrapText="1"/>
    </xf>
    <xf numFmtId="0" fontId="31" fillId="2" borderId="46" xfId="0" applyFont="1" applyFill="1" applyBorder="1" applyAlignment="1">
      <alignment horizontal="center" wrapText="1"/>
    </xf>
    <xf numFmtId="0" fontId="31" fillId="2" borderId="47" xfId="0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1" applyFont="1"/>
    <xf numFmtId="8" fontId="0" fillId="0" borderId="0" xfId="0" applyNumberFormat="1" applyAlignment="1">
      <alignment horizontal="center"/>
    </xf>
    <xf numFmtId="0" fontId="1" fillId="0" borderId="0" xfId="8" applyFont="1"/>
    <xf numFmtId="0" fontId="1" fillId="0" borderId="0" xfId="8"/>
    <xf numFmtId="0" fontId="1" fillId="0" borderId="1" xfId="8" applyBorder="1" applyAlignment="1">
      <alignment horizontal="center"/>
    </xf>
    <xf numFmtId="0" fontId="1" fillId="0" borderId="1" xfId="8" applyBorder="1"/>
    <xf numFmtId="0" fontId="20" fillId="0" borderId="0" xfId="8" applyFont="1" applyBorder="1"/>
    <xf numFmtId="0" fontId="1" fillId="0" borderId="0" xfId="8" applyAlignment="1">
      <alignment horizontal="left"/>
    </xf>
    <xf numFmtId="0" fontId="1" fillId="6" borderId="0" xfId="8" applyFont="1" applyFill="1"/>
    <xf numFmtId="0" fontId="1" fillId="0" borderId="3" xfId="8" applyFont="1" applyBorder="1" applyAlignment="1"/>
    <xf numFmtId="0" fontId="7" fillId="0" borderId="3" xfId="8" applyFont="1" applyBorder="1" applyAlignment="1"/>
    <xf numFmtId="0" fontId="3" fillId="0" borderId="1" xfId="8" applyFont="1" applyBorder="1" applyAlignment="1">
      <alignment horizontal="center"/>
    </xf>
    <xf numFmtId="0" fontId="3" fillId="0" borderId="1" xfId="8" applyFont="1" applyBorder="1" applyAlignment="1"/>
    <xf numFmtId="166" fontId="0" fillId="13" borderId="1" xfId="5" applyNumberFormat="1" applyFont="1" applyFill="1" applyBorder="1"/>
    <xf numFmtId="43" fontId="0" fillId="13" borderId="1" xfId="5" applyFont="1" applyFill="1" applyBorder="1"/>
    <xf numFmtId="9" fontId="0" fillId="13" borderId="1" xfId="4" applyFont="1" applyFill="1" applyBorder="1"/>
    <xf numFmtId="0" fontId="1" fillId="0" borderId="1" xfId="9" applyFont="1" applyBorder="1" applyAlignment="1">
      <alignment horizontal="center"/>
    </xf>
    <xf numFmtId="0" fontId="1" fillId="0" borderId="1" xfId="9" applyFont="1" applyBorder="1"/>
    <xf numFmtId="166" fontId="0" fillId="13" borderId="1" xfId="7" applyNumberFormat="1" applyFont="1" applyFill="1" applyBorder="1"/>
    <xf numFmtId="43" fontId="0" fillId="13" borderId="1" xfId="7" applyFont="1" applyFill="1" applyBorder="1"/>
    <xf numFmtId="0" fontId="1" fillId="6" borderId="0" xfId="9" applyFont="1" applyFill="1"/>
    <xf numFmtId="0" fontId="1" fillId="0" borderId="0" xfId="9" applyFont="1" applyBorder="1"/>
    <xf numFmtId="0" fontId="1" fillId="0" borderId="0" xfId="9"/>
    <xf numFmtId="0" fontId="3" fillId="0" borderId="1" xfId="8" applyFont="1" applyBorder="1"/>
    <xf numFmtId="0" fontId="1" fillId="0" borderId="1" xfId="8" applyNumberFormat="1" applyBorder="1"/>
    <xf numFmtId="0" fontId="1" fillId="0" borderId="1" xfId="8" applyNumberFormat="1" applyFont="1" applyBorder="1"/>
    <xf numFmtId="43" fontId="1" fillId="6" borderId="0" xfId="8" applyNumberFormat="1" applyFont="1" applyFill="1"/>
    <xf numFmtId="0" fontId="1" fillId="0" borderId="0" xfId="8" applyAlignment="1">
      <alignment horizontal="center"/>
    </xf>
    <xf numFmtId="0" fontId="1" fillId="0" borderId="1" xfId="8" applyFont="1" applyBorder="1"/>
    <xf numFmtId="43" fontId="0" fillId="13" borderId="1" xfId="4" applyNumberFormat="1" applyFont="1" applyFill="1" applyBorder="1"/>
    <xf numFmtId="43" fontId="1" fillId="0" borderId="0" xfId="8" applyNumberFormat="1" applyFont="1"/>
    <xf numFmtId="0" fontId="1" fillId="0" borderId="1" xfId="8" applyFont="1" applyBorder="1" applyAlignment="1">
      <alignment horizontal="center"/>
    </xf>
    <xf numFmtId="2" fontId="20" fillId="0" borderId="0" xfId="8" applyNumberFormat="1" applyFont="1" applyBorder="1"/>
    <xf numFmtId="10" fontId="1" fillId="0" borderId="0" xfId="8" applyNumberFormat="1" applyFont="1"/>
    <xf numFmtId="0" fontId="1" fillId="0" borderId="2" xfId="8" applyBorder="1" applyAlignment="1"/>
    <xf numFmtId="10" fontId="1" fillId="0" borderId="1" xfId="8" applyNumberFormat="1" applyBorder="1" applyAlignment="1"/>
    <xf numFmtId="0" fontId="1" fillId="0" borderId="1" xfId="8" applyBorder="1" applyAlignment="1"/>
    <xf numFmtId="0" fontId="3" fillId="0" borderId="2" xfId="8" applyFont="1" applyBorder="1" applyAlignment="1">
      <alignment horizontal="center"/>
    </xf>
    <xf numFmtId="10" fontId="3" fillId="0" borderId="1" xfId="8" applyNumberFormat="1" applyFont="1" applyBorder="1" applyAlignment="1"/>
    <xf numFmtId="0" fontId="1" fillId="0" borderId="1" xfId="8" applyFill="1" applyBorder="1" applyAlignment="1">
      <alignment horizontal="center"/>
    </xf>
    <xf numFmtId="10" fontId="23" fillId="0" borderId="0" xfId="8" applyNumberFormat="1" applyFont="1" applyBorder="1" applyAlignment="1">
      <alignment horizontal="center"/>
    </xf>
    <xf numFmtId="43" fontId="20" fillId="0" borderId="0" xfId="8" applyNumberFormat="1" applyFont="1" applyBorder="1"/>
    <xf numFmtId="0" fontId="36" fillId="0" borderId="0" xfId="8" applyFont="1"/>
    <xf numFmtId="0" fontId="1" fillId="0" borderId="0" xfId="8" applyFont="1" applyBorder="1"/>
    <xf numFmtId="43" fontId="1" fillId="0" borderId="0" xfId="8" applyNumberFormat="1" applyFont="1" applyBorder="1"/>
    <xf numFmtId="9" fontId="1" fillId="0" borderId="0" xfId="8" applyNumberFormat="1"/>
    <xf numFmtId="0" fontId="1" fillId="0" borderId="0" xfId="8" applyFont="1" applyFill="1" applyBorder="1"/>
    <xf numFmtId="0" fontId="1" fillId="0" borderId="0" xfId="9" applyFont="1"/>
    <xf numFmtId="0" fontId="1" fillId="0" borderId="1" xfId="9" applyBorder="1" applyAlignment="1">
      <alignment horizontal="center"/>
    </xf>
    <xf numFmtId="0" fontId="1" fillId="0" borderId="1" xfId="9" applyBorder="1"/>
    <xf numFmtId="0" fontId="20" fillId="0" borderId="0" xfId="9" applyFont="1" applyBorder="1"/>
    <xf numFmtId="0" fontId="1" fillId="0" borderId="0" xfId="9" applyAlignment="1">
      <alignment horizontal="left"/>
    </xf>
    <xf numFmtId="0" fontId="1" fillId="0" borderId="3" xfId="9" applyFont="1" applyBorder="1" applyAlignment="1"/>
    <xf numFmtId="0" fontId="7" fillId="0" borderId="3" xfId="9" applyFont="1" applyBorder="1" applyAlignment="1"/>
    <xf numFmtId="0" fontId="3" fillId="0" borderId="1" xfId="9" applyFont="1" applyBorder="1" applyAlignment="1">
      <alignment horizontal="center"/>
    </xf>
    <xf numFmtId="0" fontId="3" fillId="0" borderId="1" xfId="9" applyFont="1" applyBorder="1" applyAlignment="1"/>
    <xf numFmtId="0" fontId="3" fillId="0" borderId="1" xfId="9" applyFont="1" applyBorder="1"/>
    <xf numFmtId="0" fontId="1" fillId="0" borderId="1" xfId="9" applyNumberFormat="1" applyBorder="1"/>
    <xf numFmtId="0" fontId="1" fillId="0" borderId="1" xfId="9" applyNumberFormat="1" applyFont="1" applyBorder="1"/>
    <xf numFmtId="43" fontId="1" fillId="6" borderId="0" xfId="9" applyNumberFormat="1" applyFont="1" applyFill="1"/>
    <xf numFmtId="0" fontId="1" fillId="0" borderId="0" xfId="9" applyAlignment="1">
      <alignment horizontal="center"/>
    </xf>
    <xf numFmtId="43" fontId="1" fillId="0" borderId="0" xfId="9" applyNumberFormat="1" applyFont="1"/>
    <xf numFmtId="2" fontId="20" fillId="0" borderId="0" xfId="9" applyNumberFormat="1" applyFont="1" applyBorder="1"/>
    <xf numFmtId="10" fontId="1" fillId="0" borderId="0" xfId="9" applyNumberFormat="1" applyFont="1"/>
    <xf numFmtId="0" fontId="1" fillId="0" borderId="2" xfId="9" applyBorder="1" applyAlignment="1"/>
    <xf numFmtId="10" fontId="1" fillId="0" borderId="1" xfId="9" applyNumberFormat="1" applyBorder="1" applyAlignment="1"/>
    <xf numFmtId="0" fontId="1" fillId="0" borderId="1" xfId="9" applyBorder="1" applyAlignment="1"/>
    <xf numFmtId="0" fontId="3" fillId="0" borderId="2" xfId="9" applyFont="1" applyBorder="1" applyAlignment="1">
      <alignment horizontal="center"/>
    </xf>
    <xf numFmtId="10" fontId="3" fillId="0" borderId="1" xfId="9" applyNumberFormat="1" applyFont="1" applyBorder="1" applyAlignment="1"/>
    <xf numFmtId="0" fontId="1" fillId="0" borderId="1" xfId="9" applyFill="1" applyBorder="1" applyAlignment="1">
      <alignment horizontal="center"/>
    </xf>
    <xf numFmtId="10" fontId="23" fillId="0" borderId="0" xfId="9" applyNumberFormat="1" applyFont="1" applyBorder="1" applyAlignment="1">
      <alignment horizontal="center"/>
    </xf>
    <xf numFmtId="43" fontId="20" fillId="0" borderId="0" xfId="9" applyNumberFormat="1" applyFont="1" applyBorder="1"/>
    <xf numFmtId="0" fontId="36" fillId="0" borderId="0" xfId="9" applyFont="1"/>
    <xf numFmtId="43" fontId="1" fillId="0" borderId="0" xfId="9" applyNumberFormat="1" applyFont="1" applyBorder="1"/>
    <xf numFmtId="9" fontId="1" fillId="0" borderId="0" xfId="9" applyNumberFormat="1"/>
    <xf numFmtId="0" fontId="1" fillId="0" borderId="0" xfId="9" applyFont="1" applyFill="1" applyBorder="1"/>
    <xf numFmtId="10" fontId="1" fillId="4" borderId="1" xfId="9" applyNumberFormat="1" applyFill="1" applyBorder="1" applyAlignment="1"/>
    <xf numFmtId="0" fontId="1" fillId="4" borderId="1" xfId="9" applyFill="1" applyBorder="1" applyAlignment="1"/>
    <xf numFmtId="10" fontId="3" fillId="4" borderId="1" xfId="9" applyNumberFormat="1" applyFont="1" applyFill="1" applyBorder="1" applyAlignment="1"/>
    <xf numFmtId="10" fontId="1" fillId="4" borderId="1" xfId="4" applyNumberFormat="1" applyFont="1" applyFill="1" applyBorder="1"/>
    <xf numFmtId="165" fontId="1" fillId="0" borderId="0" xfId="9" applyNumberFormat="1" applyFont="1"/>
    <xf numFmtId="10" fontId="0" fillId="4" borderId="0" xfId="4" applyNumberFormat="1" applyFont="1" applyFill="1" applyBorder="1"/>
    <xf numFmtId="44" fontId="0" fillId="4" borderId="0" xfId="1" applyFont="1" applyFill="1" applyBorder="1"/>
    <xf numFmtId="0" fontId="1" fillId="0" borderId="42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/>
    <xf numFmtId="0" fontId="7" fillId="0" borderId="3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0" fontId="3" fillId="0" borderId="1" xfId="4" applyNumberFormat="1" applyFont="1" applyFill="1" applyBorder="1" applyAlignment="1">
      <alignment horizontal="center"/>
    </xf>
    <xf numFmtId="43" fontId="3" fillId="0" borderId="1" xfId="5" applyFont="1" applyFill="1" applyBorder="1" applyAlignment="1">
      <alignment horizontal="center"/>
    </xf>
    <xf numFmtId="166" fontId="0" fillId="0" borderId="1" xfId="5" applyNumberFormat="1" applyFont="1" applyFill="1" applyBorder="1"/>
    <xf numFmtId="43" fontId="0" fillId="0" borderId="1" xfId="5" applyFont="1" applyFill="1" applyBorder="1"/>
    <xf numFmtId="43" fontId="1" fillId="0" borderId="0" xfId="5" applyFont="1" applyFill="1"/>
    <xf numFmtId="9" fontId="0" fillId="0" borderId="1" xfId="4" applyFont="1" applyFill="1" applyBorder="1"/>
    <xf numFmtId="43" fontId="2" fillId="0" borderId="0" xfId="5" applyFont="1" applyFill="1"/>
    <xf numFmtId="43" fontId="0" fillId="0" borderId="1" xfId="5" applyNumberFormat="1" applyFont="1" applyFill="1" applyBorder="1"/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/>
    <xf numFmtId="166" fontId="0" fillId="0" borderId="1" xfId="7" applyNumberFormat="1" applyFont="1" applyFill="1" applyBorder="1"/>
    <xf numFmtId="43" fontId="0" fillId="0" borderId="1" xfId="7" applyFont="1" applyFill="1" applyBorder="1"/>
    <xf numFmtId="0" fontId="1" fillId="0" borderId="0" xfId="3" applyFont="1" applyFill="1"/>
    <xf numFmtId="43" fontId="3" fillId="0" borderId="1" xfId="5" applyFont="1" applyFill="1" applyBorder="1"/>
    <xf numFmtId="0" fontId="0" fillId="0" borderId="0" xfId="0" applyFill="1"/>
    <xf numFmtId="10" fontId="0" fillId="0" borderId="0" xfId="4" applyNumberFormat="1" applyFont="1" applyFill="1"/>
    <xf numFmtId="43" fontId="0" fillId="0" borderId="0" xfId="5" applyFont="1" applyFill="1"/>
    <xf numFmtId="0" fontId="3" fillId="0" borderId="1" xfId="0" applyFont="1" applyFill="1" applyBorder="1"/>
    <xf numFmtId="0" fontId="0" fillId="0" borderId="1" xfId="0" applyNumberFormat="1" applyFill="1" applyBorder="1"/>
    <xf numFmtId="43" fontId="41" fillId="0" borderId="0" xfId="5" applyFont="1" applyFill="1"/>
    <xf numFmtId="0" fontId="4" fillId="0" borderId="1" xfId="0" applyNumberFormat="1" applyFont="1" applyFill="1" applyBorder="1"/>
    <xf numFmtId="43" fontId="1" fillId="0" borderId="0" xfId="0" applyNumberFormat="1" applyFont="1" applyFill="1"/>
    <xf numFmtId="10" fontId="0" fillId="0" borderId="1" xfId="4" applyNumberFormat="1" applyFont="1" applyFill="1" applyBorder="1"/>
    <xf numFmtId="0" fontId="0" fillId="0" borderId="0" xfId="0" applyFill="1" applyAlignment="1">
      <alignment horizontal="center"/>
    </xf>
    <xf numFmtId="43" fontId="0" fillId="0" borderId="1" xfId="4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3" fillId="0" borderId="1" xfId="4" applyNumberFormat="1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10" fontId="1" fillId="0" borderId="0" xfId="0" applyNumberFormat="1" applyFont="1" applyFill="1"/>
    <xf numFmtId="0" fontId="0" fillId="0" borderId="2" xfId="0" applyFill="1" applyBorder="1" applyAlignment="1"/>
    <xf numFmtId="10" fontId="0" fillId="0" borderId="1" xfId="0" applyNumberFormat="1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0" fontId="3" fillId="0" borderId="1" xfId="0" applyNumberFormat="1" applyFont="1" applyFill="1" applyBorder="1" applyAlignment="1"/>
    <xf numFmtId="43" fontId="6" fillId="0" borderId="0" xfId="5" applyFont="1" applyFill="1"/>
    <xf numFmtId="10" fontId="4" fillId="0" borderId="1" xfId="4" applyNumberFormat="1" applyFont="1" applyFill="1" applyBorder="1"/>
    <xf numFmtId="0" fontId="0" fillId="0" borderId="1" xfId="0" applyFill="1" applyBorder="1" applyAlignment="1"/>
    <xf numFmtId="166" fontId="1" fillId="0" borderId="0" xfId="5" applyNumberFormat="1" applyFont="1" applyFill="1"/>
    <xf numFmtId="43" fontId="21" fillId="0" borderId="0" xfId="5" applyFont="1" applyFill="1"/>
    <xf numFmtId="43" fontId="20" fillId="0" borderId="0" xfId="5" applyFont="1" applyFill="1"/>
    <xf numFmtId="0" fontId="20" fillId="0" borderId="0" xfId="0" applyFont="1" applyFill="1"/>
    <xf numFmtId="43" fontId="22" fillId="0" borderId="0" xfId="5" applyFont="1" applyFill="1"/>
    <xf numFmtId="0" fontId="1" fillId="0" borderId="1" xfId="0" applyNumberFormat="1" applyFont="1" applyFill="1" applyBorder="1"/>
    <xf numFmtId="0" fontId="1" fillId="0" borderId="1" xfId="0" applyFont="1" applyFill="1" applyBorder="1"/>
    <xf numFmtId="43" fontId="20" fillId="0" borderId="0" xfId="0" applyNumberFormat="1" applyFont="1" applyFill="1"/>
    <xf numFmtId="0" fontId="35" fillId="0" borderId="3" xfId="0" applyFont="1" applyFill="1" applyBorder="1" applyAlignment="1"/>
    <xf numFmtId="10" fontId="1" fillId="0" borderId="1" xfId="4" applyNumberFormat="1" applyFont="1" applyFill="1" applyBorder="1"/>
    <xf numFmtId="43" fontId="0" fillId="14" borderId="1" xfId="5" applyFont="1" applyFill="1" applyBorder="1"/>
    <xf numFmtId="43" fontId="1" fillId="14" borderId="1" xfId="5" applyFont="1" applyFill="1" applyBorder="1"/>
    <xf numFmtId="43" fontId="1" fillId="0" borderId="1" xfId="7" applyFont="1" applyFill="1" applyBorder="1"/>
    <xf numFmtId="0" fontId="20" fillId="0" borderId="0" xfId="0" applyFont="1" applyFill="1" applyBorder="1"/>
    <xf numFmtId="10" fontId="0" fillId="0" borderId="0" xfId="4" applyNumberFormat="1" applyFont="1" applyFill="1" applyAlignment="1">
      <alignment horizontal="right"/>
    </xf>
    <xf numFmtId="43" fontId="0" fillId="0" borderId="0" xfId="5" applyFont="1" applyFill="1" applyAlignment="1">
      <alignment horizontal="center"/>
    </xf>
    <xf numFmtId="0" fontId="0" fillId="0" borderId="0" xfId="0" applyFill="1" applyAlignment="1">
      <alignment horizontal="left"/>
    </xf>
    <xf numFmtId="2" fontId="20" fillId="0" borderId="0" xfId="0" applyNumberFormat="1" applyFont="1" applyFill="1" applyBorder="1"/>
    <xf numFmtId="10" fontId="20" fillId="0" borderId="0" xfId="0" applyNumberFormat="1" applyFont="1" applyFill="1"/>
    <xf numFmtId="10" fontId="23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20" fillId="0" borderId="0" xfId="5" applyFont="1" applyFill="1" applyBorder="1"/>
    <xf numFmtId="166" fontId="20" fillId="0" borderId="0" xfId="5" applyNumberFormat="1" applyFont="1" applyFill="1"/>
    <xf numFmtId="0" fontId="0" fillId="0" borderId="0" xfId="0" applyFill="1" applyAlignment="1">
      <alignment horizontal="left"/>
    </xf>
    <xf numFmtId="43" fontId="1" fillId="0" borderId="1" xfId="5" applyFont="1" applyFill="1" applyBorder="1"/>
    <xf numFmtId="8" fontId="0" fillId="13" borderId="1" xfId="5" applyNumberFormat="1" applyFont="1" applyFill="1" applyBorder="1"/>
    <xf numFmtId="8" fontId="0" fillId="0" borderId="1" xfId="5" applyNumberFormat="1" applyFont="1" applyFill="1" applyBorder="1"/>
    <xf numFmtId="8" fontId="0" fillId="14" borderId="1" xfId="5" applyNumberFormat="1" applyFont="1" applyFill="1" applyBorder="1"/>
    <xf numFmtId="168" fontId="1" fillId="14" borderId="1" xfId="0" applyNumberFormat="1" applyFont="1" applyFill="1" applyBorder="1"/>
    <xf numFmtId="0" fontId="9" fillId="0" borderId="0" xfId="9" applyFont="1" applyAlignment="1">
      <alignment vertical="center"/>
    </xf>
    <xf numFmtId="0" fontId="24" fillId="0" borderId="4" xfId="9" applyFont="1" applyBorder="1" applyAlignment="1">
      <alignment horizontal="center" vertical="center"/>
    </xf>
    <xf numFmtId="0" fontId="24" fillId="0" borderId="5" xfId="9" applyFont="1" applyBorder="1" applyAlignment="1">
      <alignment horizontal="center" vertical="center"/>
    </xf>
    <xf numFmtId="0" fontId="24" fillId="0" borderId="6" xfId="9" applyFont="1" applyBorder="1" applyAlignment="1">
      <alignment horizontal="center" vertical="center"/>
    </xf>
    <xf numFmtId="0" fontId="24" fillId="0" borderId="7" xfId="9" applyFont="1" applyBorder="1" applyAlignment="1">
      <alignment horizontal="center" vertical="center"/>
    </xf>
    <xf numFmtId="0" fontId="24" fillId="0" borderId="8" xfId="9" applyFont="1" applyBorder="1" applyAlignment="1">
      <alignment horizontal="center" vertical="center"/>
    </xf>
    <xf numFmtId="0" fontId="25" fillId="0" borderId="7" xfId="9" applyFont="1" applyBorder="1" applyAlignment="1">
      <alignment vertical="center"/>
    </xf>
    <xf numFmtId="0" fontId="26" fillId="0" borderId="8" xfId="9" applyFont="1" applyBorder="1" applyAlignment="1">
      <alignment horizontal="center" vertical="center"/>
    </xf>
    <xf numFmtId="0" fontId="26" fillId="0" borderId="7" xfId="9" applyFont="1" applyBorder="1" applyAlignment="1">
      <alignment vertical="center"/>
    </xf>
    <xf numFmtId="8" fontId="28" fillId="0" borderId="7" xfId="9" applyNumberFormat="1" applyFont="1" applyBorder="1" applyAlignment="1">
      <alignment horizontal="right" vertical="center"/>
    </xf>
    <xf numFmtId="0" fontId="27" fillId="0" borderId="7" xfId="9" applyFont="1" applyBorder="1" applyAlignment="1">
      <alignment vertical="center"/>
    </xf>
    <xf numFmtId="0" fontId="27" fillId="0" borderId="0" xfId="9" applyFont="1" applyAlignment="1">
      <alignment vertical="center"/>
    </xf>
    <xf numFmtId="8" fontId="24" fillId="0" borderId="7" xfId="9" applyNumberFormat="1" applyFont="1" applyBorder="1" applyAlignment="1">
      <alignment horizontal="right" vertical="center"/>
    </xf>
    <xf numFmtId="4" fontId="24" fillId="0" borderId="7" xfId="9" applyNumberFormat="1" applyFont="1" applyBorder="1" applyAlignment="1">
      <alignment horizontal="right" vertical="center"/>
    </xf>
    <xf numFmtId="2" fontId="24" fillId="0" borderId="7" xfId="9" applyNumberFormat="1" applyFont="1" applyBorder="1" applyAlignment="1">
      <alignment horizontal="right" vertical="center"/>
    </xf>
    <xf numFmtId="0" fontId="1" fillId="13" borderId="0" xfId="9" applyFont="1" applyFill="1"/>
    <xf numFmtId="44" fontId="0" fillId="13" borderId="0" xfId="1" applyFont="1" applyFill="1"/>
    <xf numFmtId="0" fontId="1" fillId="6" borderId="0" xfId="9" applyFill="1"/>
    <xf numFmtId="0" fontId="1" fillId="13" borderId="0" xfId="9" applyFill="1"/>
    <xf numFmtId="0" fontId="24" fillId="0" borderId="7" xfId="0" applyFont="1" applyBorder="1" applyAlignment="1">
      <alignment vertical="center"/>
    </xf>
    <xf numFmtId="168" fontId="31" fillId="2" borderId="50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center"/>
    </xf>
    <xf numFmtId="168" fontId="3" fillId="2" borderId="9" xfId="0" applyNumberFormat="1" applyFont="1" applyFill="1" applyBorder="1"/>
    <xf numFmtId="4" fontId="3" fillId="2" borderId="5" xfId="0" applyNumberFormat="1" applyFont="1" applyFill="1" applyBorder="1"/>
    <xf numFmtId="167" fontId="31" fillId="2" borderId="29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44" fontId="0" fillId="0" borderId="1" xfId="1" applyFont="1" applyBorder="1"/>
    <xf numFmtId="44" fontId="1" fillId="0" borderId="1" xfId="1" applyFont="1" applyBorder="1"/>
    <xf numFmtId="44" fontId="0" fillId="0" borderId="1" xfId="0" applyNumberFormat="1" applyBorder="1"/>
    <xf numFmtId="44" fontId="0" fillId="0" borderId="15" xfId="1" applyFont="1" applyBorder="1"/>
    <xf numFmtId="0" fontId="1" fillId="2" borderId="11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9" applyFont="1" applyBorder="1" applyAlignment="1">
      <alignment horizontal="center"/>
    </xf>
    <xf numFmtId="0" fontId="1" fillId="0" borderId="1" xfId="9" applyBorder="1" applyAlignment="1">
      <alignment horizontal="center"/>
    </xf>
    <xf numFmtId="0" fontId="3" fillId="0" borderId="1" xfId="9" applyFont="1" applyBorder="1" applyAlignment="1">
      <alignment horizontal="center"/>
    </xf>
    <xf numFmtId="0" fontId="3" fillId="0" borderId="2" xfId="9" applyFont="1" applyBorder="1" applyAlignment="1">
      <alignment horizontal="center"/>
    </xf>
    <xf numFmtId="0" fontId="1" fillId="0" borderId="0" xfId="9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/>
    <xf numFmtId="44" fontId="29" fillId="0" borderId="0" xfId="1" applyFont="1" applyBorder="1"/>
    <xf numFmtId="0" fontId="3" fillId="0" borderId="33" xfId="0" applyFont="1" applyBorder="1" applyAlignment="1">
      <alignment horizontal="right"/>
    </xf>
    <xf numFmtId="44" fontId="3" fillId="0" borderId="0" xfId="0" applyNumberFormat="1" applyFont="1" applyBorder="1" applyAlignment="1">
      <alignment horizontal="center"/>
    </xf>
    <xf numFmtId="0" fontId="42" fillId="0" borderId="0" xfId="0" applyFont="1" applyFill="1"/>
    <xf numFmtId="0" fontId="1" fillId="0" borderId="0" xfId="9" applyAlignment="1">
      <alignment horizontal="left"/>
    </xf>
    <xf numFmtId="0" fontId="3" fillId="0" borderId="1" xfId="9" applyFont="1" applyBorder="1" applyAlignment="1">
      <alignment horizontal="center"/>
    </xf>
    <xf numFmtId="0" fontId="1" fillId="0" borderId="1" xfId="9" applyBorder="1" applyAlignment="1"/>
    <xf numFmtId="0" fontId="3" fillId="0" borderId="2" xfId="9" applyFont="1" applyBorder="1" applyAlignment="1">
      <alignment horizontal="center"/>
    </xf>
    <xf numFmtId="0" fontId="1" fillId="0" borderId="1" xfId="9" applyFont="1" applyBorder="1" applyAlignment="1">
      <alignment horizontal="center"/>
    </xf>
    <xf numFmtId="0" fontId="1" fillId="0" borderId="1" xfId="9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center"/>
    </xf>
    <xf numFmtId="43" fontId="33" fillId="0" borderId="1" xfId="0" applyNumberFormat="1" applyFont="1" applyFill="1" applyBorder="1" applyAlignment="1">
      <alignment horizontal="center"/>
    </xf>
    <xf numFmtId="167" fontId="33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 applyAlignment="1">
      <alignment horizontal="center"/>
    </xf>
    <xf numFmtId="0" fontId="0" fillId="15" borderId="0" xfId="0" applyFill="1"/>
    <xf numFmtId="44" fontId="0" fillId="15" borderId="0" xfId="0" applyNumberFormat="1" applyFill="1"/>
    <xf numFmtId="9" fontId="1" fillId="0" borderId="1" xfId="4" applyFont="1" applyFill="1" applyBorder="1"/>
    <xf numFmtId="0" fontId="33" fillId="15" borderId="1" xfId="0" applyFont="1" applyFill="1" applyBorder="1" applyAlignment="1">
      <alignment horizontal="center" wrapText="1"/>
    </xf>
    <xf numFmtId="168" fontId="32" fillId="0" borderId="18" xfId="0" applyNumberFormat="1" applyFont="1" applyFill="1" applyBorder="1" applyAlignment="1">
      <alignment horizontal="right" wrapText="1"/>
    </xf>
    <xf numFmtId="167" fontId="33" fillId="0" borderId="17" xfId="0" applyNumberFormat="1" applyFont="1" applyFill="1" applyBorder="1" applyAlignment="1">
      <alignment horizontal="right"/>
    </xf>
    <xf numFmtId="167" fontId="32" fillId="0" borderId="18" xfId="0" applyNumberFormat="1" applyFont="1" applyFill="1" applyBorder="1" applyAlignment="1">
      <alignment horizontal="right" wrapText="1"/>
    </xf>
    <xf numFmtId="167" fontId="33" fillId="0" borderId="13" xfId="0" applyNumberFormat="1" applyFont="1" applyFill="1" applyBorder="1" applyAlignment="1">
      <alignment horizontal="center"/>
    </xf>
    <xf numFmtId="168" fontId="31" fillId="2" borderId="57" xfId="0" applyNumberFormat="1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33" xfId="0" applyFont="1" applyFill="1" applyBorder="1" applyAlignment="1">
      <alignment horizontal="center"/>
    </xf>
    <xf numFmtId="43" fontId="1" fillId="0" borderId="33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 wrapText="1"/>
    </xf>
    <xf numFmtId="0" fontId="31" fillId="2" borderId="11" xfId="0" applyFont="1" applyFill="1" applyBorder="1" applyAlignment="1">
      <alignment horizontal="center"/>
    </xf>
    <xf numFmtId="168" fontId="31" fillId="2" borderId="11" xfId="0" applyNumberFormat="1" applyFont="1" applyFill="1" applyBorder="1" applyAlignment="1">
      <alignment horizontal="center"/>
    </xf>
    <xf numFmtId="0" fontId="33" fillId="15" borderId="11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/>
    </xf>
    <xf numFmtId="168" fontId="3" fillId="0" borderId="15" xfId="0" applyNumberFormat="1" applyFont="1" applyFill="1" applyBorder="1"/>
    <xf numFmtId="168" fontId="31" fillId="0" borderId="15" xfId="0" applyNumberFormat="1" applyFont="1" applyFill="1" applyBorder="1" applyAlignment="1">
      <alignment horizontal="center" wrapText="1"/>
    </xf>
    <xf numFmtId="168" fontId="31" fillId="0" borderId="20" xfId="0" applyNumberFormat="1" applyFont="1" applyFill="1" applyBorder="1" applyAlignment="1">
      <alignment horizontal="right" wrapText="1"/>
    </xf>
    <xf numFmtId="167" fontId="31" fillId="0" borderId="51" xfId="0" applyNumberFormat="1" applyFont="1" applyFill="1" applyBorder="1" applyAlignment="1">
      <alignment horizontal="right" wrapText="1"/>
    </xf>
    <xf numFmtId="167" fontId="31" fillId="0" borderId="52" xfId="0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left" wrapText="1"/>
    </xf>
    <xf numFmtId="168" fontId="33" fillId="0" borderId="1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/>
    </xf>
    <xf numFmtId="168" fontId="0" fillId="0" borderId="1" xfId="0" applyNumberFormat="1" applyFill="1" applyBorder="1"/>
    <xf numFmtId="0" fontId="32" fillId="0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/>
    <xf numFmtId="168" fontId="34" fillId="0" borderId="1" xfId="0" applyNumberFormat="1" applyFont="1" applyFill="1" applyBorder="1" applyAlignment="1">
      <alignment horizontal="center"/>
    </xf>
    <xf numFmtId="168" fontId="31" fillId="0" borderId="18" xfId="0" applyNumberFormat="1" applyFont="1" applyFill="1" applyBorder="1" applyAlignment="1">
      <alignment horizontal="right" wrapText="1"/>
    </xf>
    <xf numFmtId="167" fontId="31" fillId="0" borderId="18" xfId="0" applyNumberFormat="1" applyFont="1" applyFill="1" applyBorder="1" applyAlignment="1">
      <alignment horizontal="right" wrapText="1"/>
    </xf>
    <xf numFmtId="0" fontId="32" fillId="0" borderId="34" xfId="0" applyFont="1" applyFill="1" applyBorder="1" applyAlignment="1">
      <alignment horizontal="left" wrapText="1"/>
    </xf>
    <xf numFmtId="43" fontId="0" fillId="0" borderId="0" xfId="0" applyNumberFormat="1" applyFill="1"/>
    <xf numFmtId="167" fontId="32" fillId="0" borderId="50" xfId="0" applyNumberFormat="1" applyFont="1" applyFill="1" applyBorder="1" applyAlignment="1">
      <alignment horizontal="right" wrapText="1"/>
    </xf>
    <xf numFmtId="167" fontId="32" fillId="0" borderId="53" xfId="0" applyNumberFormat="1" applyFont="1" applyFill="1" applyBorder="1" applyAlignment="1">
      <alignment horizontal="right" wrapText="1"/>
    </xf>
    <xf numFmtId="167" fontId="32" fillId="0" borderId="56" xfId="0" applyNumberFormat="1" applyFont="1" applyFill="1" applyBorder="1" applyAlignment="1">
      <alignment horizontal="right" wrapText="1"/>
    </xf>
    <xf numFmtId="0" fontId="31" fillId="0" borderId="15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3" fillId="0" borderId="33" xfId="0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45" fillId="0" borderId="0" xfId="0" applyFont="1" applyAlignment="1"/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4" fontId="1" fillId="0" borderId="0" xfId="9" applyNumberFormat="1"/>
    <xf numFmtId="0" fontId="32" fillId="4" borderId="35" xfId="0" applyFont="1" applyFill="1" applyBorder="1" applyAlignment="1">
      <alignment horizontal="center" wrapText="1"/>
    </xf>
    <xf numFmtId="0" fontId="32" fillId="4" borderId="19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1" fillId="2" borderId="1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0" fontId="32" fillId="4" borderId="33" xfId="0" applyFont="1" applyFill="1" applyBorder="1" applyAlignment="1">
      <alignment horizontal="center" wrapText="1"/>
    </xf>
    <xf numFmtId="0" fontId="32" fillId="4" borderId="15" xfId="0" applyFont="1" applyFill="1" applyBorder="1" applyAlignment="1">
      <alignment horizont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" xfId="9" applyFont="1" applyBorder="1" applyAlignment="1">
      <alignment horizontal="center"/>
    </xf>
    <xf numFmtId="0" fontId="1" fillId="0" borderId="1" xfId="9" applyBorder="1" applyAlignment="1">
      <alignment horizontal="center"/>
    </xf>
    <xf numFmtId="0" fontId="3" fillId="0" borderId="0" xfId="9" applyFont="1" applyAlignment="1">
      <alignment horizontal="center"/>
    </xf>
    <xf numFmtId="0" fontId="3" fillId="2" borderId="1" xfId="9" applyFont="1" applyFill="1" applyBorder="1" applyAlignment="1">
      <alignment horizontal="center"/>
    </xf>
    <xf numFmtId="14" fontId="1" fillId="0" borderId="1" xfId="9" applyNumberFormat="1" applyBorder="1" applyAlignment="1">
      <alignment horizontal="center"/>
    </xf>
    <xf numFmtId="0" fontId="3" fillId="0" borderId="1" xfId="9" applyFont="1" applyBorder="1" applyAlignment="1">
      <alignment horizontal="center"/>
    </xf>
    <xf numFmtId="0" fontId="1" fillId="0" borderId="1" xfId="9" applyBorder="1" applyAlignment="1">
      <alignment horizontal="left"/>
    </xf>
    <xf numFmtId="0" fontId="1" fillId="0" borderId="2" xfId="9" applyBorder="1" applyAlignment="1">
      <alignment horizontal="left"/>
    </xf>
    <xf numFmtId="0" fontId="1" fillId="0" borderId="13" xfId="9" applyBorder="1" applyAlignment="1">
      <alignment horizontal="left"/>
    </xf>
    <xf numFmtId="0" fontId="3" fillId="2" borderId="0" xfId="9" applyFont="1" applyFill="1" applyAlignment="1">
      <alignment horizontal="center"/>
    </xf>
    <xf numFmtId="0" fontId="3" fillId="0" borderId="2" xfId="9" applyFont="1" applyBorder="1" applyAlignment="1">
      <alignment horizontal="left"/>
    </xf>
    <xf numFmtId="0" fontId="3" fillId="0" borderId="12" xfId="9" applyFont="1" applyBorder="1" applyAlignment="1">
      <alignment horizontal="left"/>
    </xf>
    <xf numFmtId="0" fontId="3" fillId="0" borderId="13" xfId="9" applyFont="1" applyBorder="1" applyAlignment="1">
      <alignment horizontal="left"/>
    </xf>
    <xf numFmtId="0" fontId="3" fillId="0" borderId="1" xfId="9" applyFont="1" applyBorder="1" applyAlignment="1">
      <alignment horizontal="left"/>
    </xf>
    <xf numFmtId="44" fontId="0" fillId="13" borderId="1" xfId="1" applyFont="1" applyFill="1" applyBorder="1" applyAlignment="1">
      <alignment horizontal="center"/>
    </xf>
    <xf numFmtId="14" fontId="1" fillId="13" borderId="1" xfId="9" applyNumberFormat="1" applyFill="1" applyBorder="1" applyAlignment="1">
      <alignment horizontal="center"/>
    </xf>
    <xf numFmtId="0" fontId="1" fillId="13" borderId="1" xfId="9" applyFill="1" applyBorder="1" applyAlignment="1">
      <alignment horizontal="center"/>
    </xf>
    <xf numFmtId="10" fontId="8" fillId="0" borderId="3" xfId="4" applyNumberFormat="1" applyFont="1" applyBorder="1" applyAlignment="1">
      <alignment horizontal="center"/>
    </xf>
    <xf numFmtId="0" fontId="3" fillId="0" borderId="2" xfId="9" applyFont="1" applyBorder="1" applyAlignment="1">
      <alignment horizontal="center"/>
    </xf>
    <xf numFmtId="0" fontId="3" fillId="0" borderId="13" xfId="9" applyFont="1" applyBorder="1" applyAlignment="1">
      <alignment horizontal="center"/>
    </xf>
    <xf numFmtId="0" fontId="3" fillId="2" borderId="14" xfId="9" applyFont="1" applyFill="1" applyBorder="1" applyAlignment="1">
      <alignment horizontal="center"/>
    </xf>
    <xf numFmtId="0" fontId="3" fillId="2" borderId="15" xfId="9" applyFont="1" applyFill="1" applyBorder="1" applyAlignment="1">
      <alignment horizontal="center"/>
    </xf>
    <xf numFmtId="0" fontId="3" fillId="2" borderId="16" xfId="9" applyFont="1" applyFill="1" applyBorder="1" applyAlignment="1">
      <alignment horizontal="center"/>
    </xf>
    <xf numFmtId="0" fontId="3" fillId="0" borderId="12" xfId="9" applyFont="1" applyBorder="1" applyAlignment="1">
      <alignment horizontal="center"/>
    </xf>
    <xf numFmtId="0" fontId="1" fillId="0" borderId="13" xfId="9" applyFont="1" applyBorder="1" applyAlignment="1">
      <alignment horizontal="center"/>
    </xf>
    <xf numFmtId="0" fontId="1" fillId="0" borderId="1" xfId="9" applyBorder="1" applyAlignment="1"/>
    <xf numFmtId="0" fontId="1" fillId="0" borderId="0" xfId="9" applyFont="1" applyFill="1" applyBorder="1" applyAlignment="1">
      <alignment horizontal="left"/>
    </xf>
    <xf numFmtId="0" fontId="1" fillId="0" borderId="0" xfId="9" applyFont="1" applyAlignment="1">
      <alignment horizontal="left"/>
    </xf>
    <xf numFmtId="0" fontId="1" fillId="0" borderId="0" xfId="9" applyAlignment="1">
      <alignment horizontal="left"/>
    </xf>
    <xf numFmtId="0" fontId="3" fillId="0" borderId="0" xfId="9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0" fillId="14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0" fontId="8" fillId="0" borderId="3" xfId="4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8" applyFont="1" applyBorder="1" applyAlignment="1">
      <alignment horizontal="center"/>
    </xf>
    <xf numFmtId="0" fontId="1" fillId="0" borderId="1" xfId="8" applyBorder="1" applyAlignment="1">
      <alignment horizontal="center"/>
    </xf>
    <xf numFmtId="0" fontId="3" fillId="0" borderId="0" xfId="8" applyFont="1" applyAlignment="1">
      <alignment horizontal="center"/>
    </xf>
    <xf numFmtId="0" fontId="3" fillId="2" borderId="1" xfId="8" applyFont="1" applyFill="1" applyBorder="1" applyAlignment="1">
      <alignment horizontal="center"/>
    </xf>
    <xf numFmtId="14" fontId="1" fillId="0" borderId="1" xfId="8" applyNumberForma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1" fillId="0" borderId="1" xfId="8" applyBorder="1" applyAlignment="1">
      <alignment horizontal="left"/>
    </xf>
    <xf numFmtId="0" fontId="1" fillId="0" borderId="2" xfId="8" applyBorder="1" applyAlignment="1">
      <alignment horizontal="left"/>
    </xf>
    <xf numFmtId="0" fontId="1" fillId="0" borderId="13" xfId="8" applyBorder="1" applyAlignment="1">
      <alignment horizontal="left"/>
    </xf>
    <xf numFmtId="0" fontId="3" fillId="2" borderId="0" xfId="8" applyFont="1" applyFill="1" applyAlignment="1">
      <alignment horizontal="center"/>
    </xf>
    <xf numFmtId="0" fontId="3" fillId="0" borderId="2" xfId="8" applyFont="1" applyBorder="1" applyAlignment="1">
      <alignment horizontal="left"/>
    </xf>
    <xf numFmtId="0" fontId="3" fillId="0" borderId="12" xfId="8" applyFont="1" applyBorder="1" applyAlignment="1">
      <alignment horizontal="left"/>
    </xf>
    <xf numFmtId="0" fontId="3" fillId="0" borderId="13" xfId="8" applyFont="1" applyBorder="1" applyAlignment="1">
      <alignment horizontal="left"/>
    </xf>
    <xf numFmtId="0" fontId="3" fillId="0" borderId="1" xfId="8" applyFont="1" applyBorder="1" applyAlignment="1">
      <alignment horizontal="left"/>
    </xf>
    <xf numFmtId="14" fontId="1" fillId="13" borderId="1" xfId="8" applyNumberFormat="1" applyFill="1" applyBorder="1" applyAlignment="1">
      <alignment horizontal="center"/>
    </xf>
    <xf numFmtId="0" fontId="1" fillId="13" borderId="1" xfId="8" applyFill="1" applyBorder="1" applyAlignment="1">
      <alignment horizontal="center"/>
    </xf>
    <xf numFmtId="0" fontId="3" fillId="0" borderId="2" xfId="8" applyFont="1" applyBorder="1" applyAlignment="1">
      <alignment horizontal="center"/>
    </xf>
    <xf numFmtId="0" fontId="3" fillId="0" borderId="13" xfId="8" applyFont="1" applyBorder="1" applyAlignment="1">
      <alignment horizontal="center"/>
    </xf>
    <xf numFmtId="0" fontId="3" fillId="2" borderId="14" xfId="8" applyFont="1" applyFill="1" applyBorder="1" applyAlignment="1">
      <alignment horizontal="center"/>
    </xf>
    <xf numFmtId="0" fontId="3" fillId="2" borderId="15" xfId="8" applyFont="1" applyFill="1" applyBorder="1" applyAlignment="1">
      <alignment horizontal="center"/>
    </xf>
    <xf numFmtId="0" fontId="3" fillId="2" borderId="16" xfId="8" applyFont="1" applyFill="1" applyBorder="1" applyAlignment="1">
      <alignment horizontal="center"/>
    </xf>
    <xf numFmtId="0" fontId="3" fillId="0" borderId="12" xfId="8" applyFont="1" applyBorder="1" applyAlignment="1">
      <alignment horizontal="center"/>
    </xf>
    <xf numFmtId="0" fontId="1" fillId="0" borderId="13" xfId="8" applyFont="1" applyBorder="1" applyAlignment="1">
      <alignment horizontal="center"/>
    </xf>
    <xf numFmtId="0" fontId="1" fillId="0" borderId="1" xfId="8" applyBorder="1" applyAlignment="1"/>
    <xf numFmtId="0" fontId="1" fillId="0" borderId="0" xfId="8" applyFont="1" applyFill="1" applyBorder="1" applyAlignment="1">
      <alignment horizontal="left"/>
    </xf>
    <xf numFmtId="0" fontId="1" fillId="0" borderId="0" xfId="8" applyFont="1" applyAlignment="1">
      <alignment horizontal="left"/>
    </xf>
    <xf numFmtId="0" fontId="1" fillId="0" borderId="0" xfId="8" applyAlignment="1">
      <alignment horizontal="left"/>
    </xf>
    <xf numFmtId="0" fontId="3" fillId="0" borderId="0" xfId="8" applyFont="1" applyAlignment="1">
      <alignment horizontal="left"/>
    </xf>
    <xf numFmtId="10" fontId="8" fillId="4" borderId="3" xfId="4" applyNumberFormat="1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1" xfId="9" applyFill="1" applyBorder="1" applyAlignment="1">
      <alignment horizontal="center"/>
    </xf>
    <xf numFmtId="14" fontId="1" fillId="4" borderId="1" xfId="9" applyNumberFormat="1" applyFill="1" applyBorder="1" applyAlignment="1">
      <alignment horizontal="center"/>
    </xf>
    <xf numFmtId="0" fontId="3" fillId="4" borderId="1" xfId="9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4" fontId="0" fillId="0" borderId="1" xfId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" xfId="0" applyFill="1" applyBorder="1" applyAlignment="1"/>
    <xf numFmtId="0" fontId="0" fillId="0" borderId="13" xfId="0" applyFill="1" applyBorder="1" applyAlignment="1"/>
    <xf numFmtId="0" fontId="3" fillId="0" borderId="3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12" fillId="0" borderId="26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10" fontId="9" fillId="0" borderId="26" xfId="0" applyNumberFormat="1" applyFont="1" applyBorder="1" applyAlignment="1">
      <alignment horizontal="center" vertical="center" wrapText="1"/>
    </xf>
    <xf numFmtId="10" fontId="9" fillId="0" borderId="2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8" fontId="1" fillId="0" borderId="1" xfId="0" applyNumberFormat="1" applyFont="1" applyBorder="1" applyAlignment="1">
      <alignment horizontal="center"/>
    </xf>
    <xf numFmtId="168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7" fillId="7" borderId="4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2" fillId="0" borderId="1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4" fillId="0" borderId="10" xfId="9" applyFont="1" applyBorder="1" applyAlignment="1">
      <alignment vertical="center"/>
    </xf>
    <xf numFmtId="0" fontId="24" fillId="0" borderId="9" xfId="9" applyFont="1" applyBorder="1" applyAlignment="1">
      <alignment vertical="center"/>
    </xf>
    <xf numFmtId="0" fontId="24" fillId="0" borderId="5" xfId="9" applyFont="1" applyBorder="1" applyAlignment="1">
      <alignment vertical="center"/>
    </xf>
    <xf numFmtId="0" fontId="24" fillId="0" borderId="4" xfId="9" applyFont="1" applyBorder="1" applyAlignment="1">
      <alignment horizontal="center" vertical="center"/>
    </xf>
    <xf numFmtId="0" fontId="24" fillId="0" borderId="6" xfId="9" applyFont="1" applyBorder="1" applyAlignment="1">
      <alignment horizontal="center" vertical="center"/>
    </xf>
    <xf numFmtId="0" fontId="24" fillId="0" borderId="8" xfId="9" applyFont="1" applyBorder="1" applyAlignment="1">
      <alignment horizontal="center" vertical="center"/>
    </xf>
    <xf numFmtId="168" fontId="32" fillId="0" borderId="2" xfId="0" applyNumberFormat="1" applyFont="1" applyFill="1" applyBorder="1" applyAlignment="1">
      <alignment horizontal="right" wrapText="1"/>
    </xf>
    <xf numFmtId="167" fontId="31" fillId="2" borderId="59" xfId="0" applyNumberFormat="1" applyFont="1" applyFill="1" applyBorder="1" applyAlignment="1">
      <alignment horizontal="right"/>
    </xf>
    <xf numFmtId="167" fontId="33" fillId="0" borderId="1" xfId="0" applyNumberFormat="1" applyFont="1" applyFill="1" applyBorder="1" applyAlignment="1">
      <alignment horizontal="right"/>
    </xf>
  </cellXfs>
  <cellStyles count="10">
    <cellStyle name="Hiperlink" xfId="6" builtinId="8"/>
    <cellStyle name="Moeda" xfId="1" builtinId="4"/>
    <cellStyle name="Moeda 2" xfId="2"/>
    <cellStyle name="Normal" xfId="0" builtinId="0"/>
    <cellStyle name="Normal 2" xfId="3"/>
    <cellStyle name="Normal 2 2" xfId="9"/>
    <cellStyle name="Normal 3" xfId="8"/>
    <cellStyle name="Porcentagem" xfId="4" builtinId="5"/>
    <cellStyle name="Vírgula" xfId="5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ly/Downloads/s&#233;timo%20termo%20aditivo/PLANILHA%20201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pactuação SIEMACO 2013"/>
      <sheetName val="CURITIBA (servente copeira )"/>
      <sheetName val="CURITIBA"/>
      <sheetName val="ASSIS"/>
      <sheetName val="CAMPO LARGO (servente copeira)"/>
      <sheetName val="CAMPO LARGO"/>
      <sheetName val="FOZ DO IGUAÇU (servente copeir)"/>
      <sheetName val="FOZ DO IGUAÇU"/>
      <sheetName val="IRATI (servente copeira)"/>
      <sheetName val="IRATI"/>
      <sheetName val="IVAIPORÃ (servente copeira)"/>
      <sheetName val="IVAIPORÃ"/>
      <sheetName val="JACAREZINHO (servente copeira)"/>
      <sheetName val="JACAREZINHO"/>
      <sheetName val="LONDRINA (servente copeira)"/>
      <sheetName val="LONDRINA"/>
      <sheetName val="PALMAS (servente copeira)"/>
      <sheetName val="PARANAGUÁ (SERVENTE+COPEIRA)"/>
      <sheetName val="PALMAS"/>
      <sheetName val="PARANAGUA"/>
      <sheetName val="PARANAVAI (servente copeira)"/>
      <sheetName val="PARANAVAI"/>
      <sheetName val="CASCAVEL"/>
      <sheetName val="CASCAVEL (servente copeira)"/>
      <sheetName val="TELEMACO (servente copeira)"/>
      <sheetName val="TELEMACO BORBA"/>
      <sheetName val="UMUARAMA"/>
      <sheetName val="UMUARAMA (Servente copira)"/>
      <sheetName val="Jaguariaiva (servente+Copeira)"/>
      <sheetName val="Pinhais"/>
      <sheetName val="Pinhais (servente+Copei)"/>
      <sheetName val="PITANGA"/>
      <sheetName val="PITANGA (servente+Copei)"/>
      <sheetName val="UNIÃO DA VITÓRIA"/>
      <sheetName val="UNIÃODAVIT (servente+Copei)"/>
      <sheetName val="ENCARREGADO GERAL"/>
      <sheetName val="ENCARREGADO REG I"/>
      <sheetName val="ENCARREGADO REG II"/>
      <sheetName val="ENCARREGADO REG III"/>
      <sheetName val="Memoria de calculo"/>
      <sheetName val="area"/>
      <sheetName val="Material de limpeza"/>
      <sheetName val="Equipamentos"/>
      <sheetName val="Epi's"/>
    </sheetNames>
    <sheetDataSet>
      <sheetData sheetId="0"/>
      <sheetData sheetId="1" refreshError="1"/>
      <sheetData sheetId="2">
        <row r="142">
          <cell r="A142" t="str">
            <v>Curitiba, 20 de Fevereiro de 2014.</v>
          </cell>
        </row>
      </sheetData>
      <sheetData sheetId="3">
        <row r="54">
          <cell r="D54">
            <v>297.7</v>
          </cell>
        </row>
      </sheetData>
      <sheetData sheetId="4">
        <row r="54">
          <cell r="D54">
            <v>297.7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4">
          <cell r="D14">
            <v>37.479999999999997</v>
          </cell>
        </row>
      </sheetData>
      <sheetData sheetId="44">
        <row r="6">
          <cell r="E6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I26" sqref="I26"/>
    </sheetView>
  </sheetViews>
  <sheetFormatPr defaultRowHeight="12.75" x14ac:dyDescent="0.2"/>
  <cols>
    <col min="2" max="2" width="42.28515625" customWidth="1"/>
    <col min="3" max="3" width="26.140625" customWidth="1"/>
    <col min="4" max="5" width="25.5703125" customWidth="1"/>
    <col min="6" max="6" width="30.140625" customWidth="1"/>
    <col min="7" max="7" width="15.42578125" customWidth="1"/>
    <col min="8" max="8" width="14.140625" customWidth="1"/>
    <col min="9" max="9" width="32.85546875" customWidth="1"/>
    <col min="10" max="10" width="54.85546875" customWidth="1"/>
  </cols>
  <sheetData>
    <row r="1" spans="2:9" s="190" customFormat="1" ht="15" x14ac:dyDescent="0.25">
      <c r="B1" s="189" t="s">
        <v>466</v>
      </c>
      <c r="C1" s="189"/>
      <c r="D1" s="189"/>
      <c r="E1" s="189"/>
      <c r="F1" s="189"/>
      <c r="G1" s="189"/>
      <c r="H1" s="189"/>
      <c r="I1" s="190" t="s">
        <v>527</v>
      </c>
    </row>
    <row r="2" spans="2:9" x14ac:dyDescent="0.2">
      <c r="B2" s="245" t="s">
        <v>494</v>
      </c>
      <c r="C2" s="245" t="s">
        <v>482</v>
      </c>
      <c r="D2" s="247" t="s">
        <v>483</v>
      </c>
      <c r="E2" s="247" t="s">
        <v>519</v>
      </c>
      <c r="F2" s="245" t="s">
        <v>562</v>
      </c>
    </row>
    <row r="3" spans="2:9" x14ac:dyDescent="0.2">
      <c r="B3" s="128" t="s">
        <v>480</v>
      </c>
      <c r="C3" s="192">
        <v>1121</v>
      </c>
      <c r="D3" s="192">
        <v>1261</v>
      </c>
      <c r="E3" s="192">
        <v>1350</v>
      </c>
      <c r="F3" s="29">
        <v>1491</v>
      </c>
      <c r="I3" s="128" t="s">
        <v>528</v>
      </c>
    </row>
    <row r="4" spans="2:9" x14ac:dyDescent="0.2">
      <c r="B4" s="128" t="s">
        <v>481</v>
      </c>
      <c r="C4" s="192">
        <v>931</v>
      </c>
      <c r="D4" s="192">
        <v>1047</v>
      </c>
      <c r="E4" s="192">
        <v>1120</v>
      </c>
      <c r="F4" s="29">
        <v>1270</v>
      </c>
      <c r="I4" s="128" t="s">
        <v>528</v>
      </c>
    </row>
    <row r="5" spans="2:9" x14ac:dyDescent="0.2">
      <c r="B5" s="128" t="s">
        <v>425</v>
      </c>
      <c r="C5" s="192">
        <v>714</v>
      </c>
      <c r="D5" s="192">
        <v>803</v>
      </c>
      <c r="E5" s="192">
        <v>860</v>
      </c>
      <c r="F5" s="29">
        <v>950</v>
      </c>
    </row>
    <row r="6" spans="2:9" x14ac:dyDescent="0.2">
      <c r="B6" s="128" t="s">
        <v>439</v>
      </c>
      <c r="C6" s="192">
        <f>714+62</f>
        <v>776</v>
      </c>
      <c r="D6" s="246" t="s">
        <v>493</v>
      </c>
      <c r="E6" s="246">
        <v>860</v>
      </c>
      <c r="F6" s="283">
        <v>950</v>
      </c>
      <c r="G6" s="192">
        <v>66</v>
      </c>
    </row>
    <row r="8" spans="2:9" s="190" customFormat="1" ht="15" x14ac:dyDescent="0.25">
      <c r="B8" s="189" t="s">
        <v>469</v>
      </c>
      <c r="C8" s="189"/>
      <c r="D8" s="189"/>
      <c r="E8" s="189"/>
      <c r="F8" s="189"/>
      <c r="G8" s="189"/>
      <c r="H8" s="189"/>
    </row>
    <row r="10" spans="2:9" ht="15" x14ac:dyDescent="0.25">
      <c r="B10" s="189" t="s">
        <v>470</v>
      </c>
      <c r="C10" s="193"/>
      <c r="D10" s="193"/>
      <c r="E10" s="193"/>
      <c r="F10" s="193"/>
      <c r="G10" s="193"/>
      <c r="H10" s="193"/>
    </row>
    <row r="11" spans="2:9" s="245" customFormat="1" x14ac:dyDescent="0.2">
      <c r="C11" s="247" t="s">
        <v>467</v>
      </c>
      <c r="D11" s="247" t="s">
        <v>468</v>
      </c>
      <c r="E11" s="247" t="s">
        <v>520</v>
      </c>
      <c r="F11" s="282" t="s">
        <v>520</v>
      </c>
    </row>
    <row r="12" spans="2:9" x14ac:dyDescent="0.2">
      <c r="B12" s="128" t="s">
        <v>480</v>
      </c>
      <c r="C12" s="248">
        <v>63.05</v>
      </c>
      <c r="D12" s="248">
        <v>63</v>
      </c>
      <c r="E12" s="248">
        <v>67.5</v>
      </c>
      <c r="F12" s="283">
        <v>67.5</v>
      </c>
      <c r="I12" s="128" t="s">
        <v>529</v>
      </c>
    </row>
    <row r="13" spans="2:9" x14ac:dyDescent="0.2">
      <c r="B13" s="128" t="s">
        <v>481</v>
      </c>
      <c r="C13" s="248">
        <v>52.35</v>
      </c>
      <c r="D13" s="248">
        <v>52</v>
      </c>
      <c r="E13" s="248">
        <v>56</v>
      </c>
      <c r="F13" s="283">
        <f>F4*3.6316%</f>
        <v>46.12</v>
      </c>
      <c r="I13" s="128" t="s">
        <v>530</v>
      </c>
    </row>
    <row r="14" spans="2:9" x14ac:dyDescent="0.2">
      <c r="B14" s="128" t="s">
        <v>425</v>
      </c>
      <c r="C14" s="248">
        <v>40.15</v>
      </c>
      <c r="D14" s="248">
        <v>40</v>
      </c>
      <c r="E14" s="248">
        <v>43</v>
      </c>
      <c r="F14" s="283">
        <f>F5*3.6316%</f>
        <v>34.5</v>
      </c>
      <c r="I14" s="128" t="s">
        <v>530</v>
      </c>
    </row>
    <row r="15" spans="2:9" x14ac:dyDescent="0.2">
      <c r="B15" s="128" t="s">
        <v>439</v>
      </c>
      <c r="C15" s="248">
        <v>40.15</v>
      </c>
      <c r="D15" s="248">
        <v>43</v>
      </c>
      <c r="E15" s="248">
        <v>46</v>
      </c>
      <c r="F15" s="283">
        <f>(F6+G6)*3.6316%</f>
        <v>36.9</v>
      </c>
      <c r="I15" s="128" t="s">
        <v>530</v>
      </c>
    </row>
    <row r="16" spans="2:9" ht="15" x14ac:dyDescent="0.25">
      <c r="B16" s="190"/>
      <c r="C16" s="191"/>
      <c r="D16" s="191"/>
      <c r="E16" s="191"/>
    </row>
    <row r="17" spans="2:9" ht="15" x14ac:dyDescent="0.25">
      <c r="B17" s="189" t="s">
        <v>471</v>
      </c>
      <c r="C17" s="193"/>
      <c r="D17" s="193"/>
      <c r="E17" s="193"/>
      <c r="F17" s="193"/>
      <c r="G17" s="193"/>
      <c r="H17" s="193"/>
    </row>
    <row r="18" spans="2:9" ht="15" x14ac:dyDescent="0.25">
      <c r="B18" s="190" t="s">
        <v>484</v>
      </c>
      <c r="C18" s="190" t="s">
        <v>472</v>
      </c>
      <c r="E18" t="s">
        <v>521</v>
      </c>
      <c r="F18" s="282" t="s">
        <v>521</v>
      </c>
    </row>
    <row r="19" spans="2:9" x14ac:dyDescent="0.2">
      <c r="B19" s="192">
        <v>31.8</v>
      </c>
      <c r="C19" s="192">
        <v>35</v>
      </c>
      <c r="E19">
        <v>40</v>
      </c>
      <c r="F19" s="284">
        <v>45</v>
      </c>
      <c r="I19" s="128" t="s">
        <v>528</v>
      </c>
    </row>
    <row r="21" spans="2:9" ht="15" x14ac:dyDescent="0.25">
      <c r="B21" s="189" t="s">
        <v>473</v>
      </c>
      <c r="C21" s="193"/>
      <c r="D21" s="193"/>
      <c r="E21" s="193"/>
      <c r="F21" s="193"/>
      <c r="G21" s="193"/>
      <c r="H21" s="193"/>
    </row>
    <row r="22" spans="2:9" ht="15" x14ac:dyDescent="0.25">
      <c r="B22" s="190" t="s">
        <v>474</v>
      </c>
      <c r="C22" s="190" t="s">
        <v>475</v>
      </c>
      <c r="E22" t="s">
        <v>521</v>
      </c>
      <c r="F22" s="282" t="s">
        <v>521</v>
      </c>
    </row>
    <row r="23" spans="2:9" x14ac:dyDescent="0.2">
      <c r="B23" s="192">
        <v>10.85</v>
      </c>
      <c r="C23" s="192">
        <v>12</v>
      </c>
      <c r="E23">
        <v>13</v>
      </c>
      <c r="F23" s="29">
        <v>14.5</v>
      </c>
    </row>
    <row r="25" spans="2:9" ht="15" x14ac:dyDescent="0.25">
      <c r="B25" s="189" t="s">
        <v>476</v>
      </c>
      <c r="C25" s="193"/>
      <c r="D25" s="193"/>
      <c r="E25" s="193"/>
      <c r="F25" s="193"/>
      <c r="G25" s="193"/>
      <c r="H25" s="193"/>
    </row>
    <row r="26" spans="2:9" ht="15" x14ac:dyDescent="0.25">
      <c r="B26" s="190" t="s">
        <v>477</v>
      </c>
      <c r="C26" s="190" t="s">
        <v>478</v>
      </c>
      <c r="E26" t="s">
        <v>521</v>
      </c>
      <c r="F26" s="282" t="s">
        <v>521</v>
      </c>
    </row>
    <row r="27" spans="2:9" x14ac:dyDescent="0.2">
      <c r="B27" s="192">
        <v>8.75</v>
      </c>
      <c r="C27" s="192">
        <v>11</v>
      </c>
      <c r="E27">
        <v>13</v>
      </c>
      <c r="F27" s="29">
        <v>14.5</v>
      </c>
    </row>
    <row r="28" spans="2:9" ht="15" x14ac:dyDescent="0.25">
      <c r="B28" s="189" t="s">
        <v>479</v>
      </c>
      <c r="C28" s="193"/>
      <c r="D28" s="193"/>
      <c r="E28" s="193"/>
      <c r="F28" s="193"/>
      <c r="G28" s="193"/>
      <c r="H28" s="193"/>
    </row>
    <row r="29" spans="2:9" ht="15" x14ac:dyDescent="0.25">
      <c r="B29" s="190"/>
      <c r="C29" s="190"/>
    </row>
    <row r="30" spans="2:9" x14ac:dyDescent="0.2">
      <c r="B30" s="146" t="s">
        <v>532</v>
      </c>
      <c r="C30" s="192"/>
      <c r="D30" s="192">
        <f>'Material de limpeza'!G48</f>
        <v>272.8</v>
      </c>
      <c r="E30" s="192">
        <v>297.7</v>
      </c>
      <c r="F30" s="192">
        <f>E30+(E30*13.65%)</f>
        <v>338.34</v>
      </c>
    </row>
    <row r="31" spans="2:9" ht="14.25" x14ac:dyDescent="0.2">
      <c r="B31" s="194"/>
    </row>
    <row r="32" spans="2:9" x14ac:dyDescent="0.2">
      <c r="B32" s="128" t="s">
        <v>535</v>
      </c>
      <c r="E32">
        <v>248</v>
      </c>
      <c r="F32" s="192">
        <v>280</v>
      </c>
    </row>
    <row r="34" spans="2:2" ht="15" x14ac:dyDescent="0.25">
      <c r="B34" s="195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00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515" t="s">
        <v>1</v>
      </c>
      <c r="B8" s="332" t="s">
        <v>5</v>
      </c>
      <c r="C8" s="624">
        <v>41015</v>
      </c>
      <c r="D8" s="621"/>
    </row>
    <row r="9" spans="1:4" x14ac:dyDescent="0.2">
      <c r="A9" s="515" t="s">
        <v>2</v>
      </c>
      <c r="B9" s="332" t="s">
        <v>114</v>
      </c>
      <c r="C9" s="625" t="s">
        <v>523</v>
      </c>
      <c r="D9" s="625"/>
    </row>
    <row r="10" spans="1:4" x14ac:dyDescent="0.2">
      <c r="A10" s="515" t="s">
        <v>4</v>
      </c>
      <c r="B10" s="332" t="s">
        <v>6</v>
      </c>
      <c r="C10" s="624">
        <v>41641</v>
      </c>
      <c r="D10" s="621"/>
    </row>
    <row r="11" spans="1:4" x14ac:dyDescent="0.2">
      <c r="A11" s="515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440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510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515">
        <v>1</v>
      </c>
      <c r="B22" s="332" t="s">
        <v>131</v>
      </c>
      <c r="C22" s="620" t="s">
        <v>145</v>
      </c>
      <c r="D22" s="621"/>
    </row>
    <row r="23" spans="1:5" x14ac:dyDescent="0.2">
      <c r="A23" s="515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515">
        <v>3</v>
      </c>
      <c r="B24" s="332" t="s">
        <v>15</v>
      </c>
      <c r="C24" s="620" t="s">
        <v>146</v>
      </c>
      <c r="D24" s="621"/>
    </row>
    <row r="25" spans="1:5" x14ac:dyDescent="0.2">
      <c r="A25" s="515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511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515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515" t="s">
        <v>2</v>
      </c>
      <c r="B30" s="332" t="s">
        <v>438</v>
      </c>
      <c r="C30" s="298"/>
      <c r="D30" s="297">
        <f>'REPACTUAÇÃO 2014'!G6</f>
        <v>66</v>
      </c>
      <c r="E30" s="303">
        <v>62</v>
      </c>
    </row>
    <row r="31" spans="1:5" x14ac:dyDescent="0.2">
      <c r="A31" s="515" t="s">
        <v>4</v>
      </c>
      <c r="B31" s="332" t="s">
        <v>24</v>
      </c>
      <c r="C31" s="19"/>
      <c r="D31" s="13"/>
      <c r="E31" s="196"/>
    </row>
    <row r="32" spans="1:5" x14ac:dyDescent="0.2">
      <c r="A32" s="515" t="s">
        <v>3</v>
      </c>
      <c r="B32" s="332" t="s">
        <v>25</v>
      </c>
      <c r="C32" s="20"/>
      <c r="D32" s="13"/>
      <c r="E32" s="153"/>
    </row>
    <row r="33" spans="1:6" x14ac:dyDescent="0.2">
      <c r="A33" s="515" t="s">
        <v>18</v>
      </c>
      <c r="B33" s="332" t="s">
        <v>26</v>
      </c>
      <c r="C33" s="20"/>
      <c r="D33" s="13"/>
      <c r="E33" s="153"/>
    </row>
    <row r="34" spans="1:6" x14ac:dyDescent="0.2">
      <c r="A34" s="515" t="s">
        <v>19</v>
      </c>
      <c r="B34" s="332" t="s">
        <v>27</v>
      </c>
      <c r="C34" s="18"/>
      <c r="D34" s="13"/>
      <c r="E34" s="196"/>
    </row>
    <row r="35" spans="1:6" x14ac:dyDescent="0.2">
      <c r="A35" s="515" t="s">
        <v>20</v>
      </c>
      <c r="B35" s="332" t="s">
        <v>28</v>
      </c>
      <c r="C35" s="20"/>
      <c r="D35" s="13"/>
      <c r="E35" s="153"/>
    </row>
    <row r="36" spans="1:6" x14ac:dyDescent="0.2">
      <c r="A36" s="515" t="s">
        <v>21</v>
      </c>
      <c r="B36" s="332" t="s">
        <v>119</v>
      </c>
      <c r="C36" s="18"/>
      <c r="D36" s="13"/>
    </row>
    <row r="37" spans="1:6" x14ac:dyDescent="0.2">
      <c r="A37" s="515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514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1052.9000000000001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511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515" t="s">
        <v>1</v>
      </c>
      <c r="B43" s="340" t="s">
        <v>133</v>
      </c>
      <c r="C43" s="13">
        <v>2.2000000000000002</v>
      </c>
      <c r="D43" s="13">
        <f>ROUND((C43*44)-(D29*6%),2)</f>
        <v>39.799999999999997</v>
      </c>
      <c r="E43" s="197"/>
    </row>
    <row r="44" spans="1:6" ht="13.5" customHeight="1" x14ac:dyDescent="0.2">
      <c r="A44" s="515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515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515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515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515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337.8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511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515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515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515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515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514" t="s">
        <v>1</v>
      </c>
      <c r="B61" s="300" t="s">
        <v>40</v>
      </c>
      <c r="C61" s="10">
        <v>0.2</v>
      </c>
      <c r="D61" s="13">
        <f>ROUND($D$39*C61,2)</f>
        <v>210.58</v>
      </c>
    </row>
    <row r="62" spans="1:5" x14ac:dyDescent="0.2">
      <c r="A62" s="514" t="s">
        <v>2</v>
      </c>
      <c r="B62" s="300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514" t="s">
        <v>4</v>
      </c>
      <c r="B63" s="300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514" t="s">
        <v>3</v>
      </c>
      <c r="B64" s="300" t="s">
        <v>42</v>
      </c>
      <c r="C64" s="10">
        <v>2E-3</v>
      </c>
      <c r="D64" s="13">
        <f t="shared" si="0"/>
        <v>2.11</v>
      </c>
    </row>
    <row r="65" spans="1:6" x14ac:dyDescent="0.2">
      <c r="A65" s="514" t="s">
        <v>18</v>
      </c>
      <c r="B65" s="300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514" t="s">
        <v>19</v>
      </c>
      <c r="B66" s="300" t="s">
        <v>44</v>
      </c>
      <c r="C66" s="10">
        <v>0.08</v>
      </c>
      <c r="D66" s="13">
        <f t="shared" si="0"/>
        <v>84.23</v>
      </c>
    </row>
    <row r="67" spans="1:6" x14ac:dyDescent="0.2">
      <c r="A67" s="514" t="s">
        <v>20</v>
      </c>
      <c r="B67" s="300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514" t="s">
        <v>21</v>
      </c>
      <c r="B68" s="300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514" t="s">
        <v>1</v>
      </c>
      <c r="B72" s="300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514" t="s">
        <v>2</v>
      </c>
      <c r="B73" s="300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116.98</v>
      </c>
    </row>
    <row r="75" spans="1:6" x14ac:dyDescent="0.2">
      <c r="A75" s="514" t="s">
        <v>4</v>
      </c>
      <c r="B75" s="300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160.04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514" t="s">
        <v>1</v>
      </c>
      <c r="B79" s="300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514" t="s">
        <v>2</v>
      </c>
      <c r="B80" s="300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514" t="s">
        <v>4</v>
      </c>
      <c r="B81" s="300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515" t="s">
        <v>3</v>
      </c>
      <c r="B82" s="332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515" t="s">
        <v>18</v>
      </c>
      <c r="B83" s="332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515" t="s">
        <v>19</v>
      </c>
      <c r="B84" s="332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515" t="s">
        <v>1</v>
      </c>
      <c r="B88" s="332" t="s">
        <v>58</v>
      </c>
      <c r="C88" s="10">
        <v>8.3299999999999999E-2</v>
      </c>
      <c r="D88" s="13">
        <f t="shared" ref="D88:D95" si="2">ROUND($D$39*C88,2)</f>
        <v>87.71</v>
      </c>
      <c r="E88" s="346"/>
    </row>
    <row r="89" spans="1:5" x14ac:dyDescent="0.2">
      <c r="A89" s="515" t="s">
        <v>2</v>
      </c>
      <c r="B89" s="332" t="s">
        <v>59</v>
      </c>
      <c r="C89" s="10">
        <v>5.5999999999999999E-3</v>
      </c>
      <c r="D89" s="13">
        <f t="shared" si="2"/>
        <v>5.9</v>
      </c>
    </row>
    <row r="90" spans="1:5" x14ac:dyDescent="0.2">
      <c r="A90" s="515" t="s">
        <v>4</v>
      </c>
      <c r="B90" s="300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515" t="s">
        <v>3</v>
      </c>
      <c r="B91" s="332" t="s">
        <v>60</v>
      </c>
      <c r="C91" s="10">
        <v>2.8E-3</v>
      </c>
      <c r="D91" s="13">
        <f t="shared" si="2"/>
        <v>2.95</v>
      </c>
    </row>
    <row r="92" spans="1:5" x14ac:dyDescent="0.2">
      <c r="A92" s="515" t="s">
        <v>18</v>
      </c>
      <c r="B92" s="332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515" t="s">
        <v>19</v>
      </c>
      <c r="B93" s="300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98.34</v>
      </c>
    </row>
    <row r="95" spans="1:5" x14ac:dyDescent="0.2">
      <c r="A95" s="515" t="s">
        <v>20</v>
      </c>
      <c r="B95" s="332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134.56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511">
        <v>4</v>
      </c>
      <c r="B99" s="633" t="s">
        <v>68</v>
      </c>
      <c r="C99" s="633"/>
      <c r="D99" s="12" t="s">
        <v>98</v>
      </c>
    </row>
    <row r="100" spans="1:5" x14ac:dyDescent="0.2">
      <c r="A100" s="515" t="s">
        <v>63</v>
      </c>
      <c r="B100" s="347" t="s">
        <v>69</v>
      </c>
      <c r="C100" s="348">
        <f>C76</f>
        <v>0.152</v>
      </c>
      <c r="D100" s="13">
        <f>ROUND($D$39*C100,2)</f>
        <v>160.04</v>
      </c>
      <c r="E100" s="346"/>
    </row>
    <row r="101" spans="1:5" x14ac:dyDescent="0.2">
      <c r="A101" s="515" t="s">
        <v>64</v>
      </c>
      <c r="B101" s="347" t="s">
        <v>126</v>
      </c>
      <c r="C101" s="348">
        <f>C69</f>
        <v>0.36799999999999999</v>
      </c>
      <c r="D101" s="13">
        <f>ROUND($D$39*C101,2)</f>
        <v>387.47</v>
      </c>
    </row>
    <row r="102" spans="1:5" x14ac:dyDescent="0.2">
      <c r="A102" s="514" t="s">
        <v>65</v>
      </c>
      <c r="B102" s="347" t="s">
        <v>70</v>
      </c>
      <c r="C102" s="348">
        <f>C85</f>
        <v>8.0500000000000002E-2</v>
      </c>
      <c r="D102" s="13">
        <f>ROUND($D$39*C102,2)</f>
        <v>84.76</v>
      </c>
    </row>
    <row r="103" spans="1:5" x14ac:dyDescent="0.2">
      <c r="A103" s="514" t="s">
        <v>66</v>
      </c>
      <c r="B103" s="347" t="s">
        <v>71</v>
      </c>
      <c r="C103" s="348">
        <f>C96</f>
        <v>0.1278</v>
      </c>
      <c r="D103" s="13">
        <f>ROUND($D$39*C103,2)</f>
        <v>134.56</v>
      </c>
    </row>
    <row r="104" spans="1:5" x14ac:dyDescent="0.2">
      <c r="A104" s="514" t="s">
        <v>67</v>
      </c>
      <c r="B104" s="347" t="s">
        <v>29</v>
      </c>
      <c r="C104" s="512"/>
      <c r="D104" s="13"/>
    </row>
    <row r="105" spans="1:5" x14ac:dyDescent="0.2">
      <c r="A105" s="515"/>
      <c r="B105" s="513" t="s">
        <v>46</v>
      </c>
      <c r="C105" s="35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2567.25</v>
      </c>
    </row>
    <row r="107" spans="1:5" x14ac:dyDescent="0.2">
      <c r="A107" s="511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515" t="s">
        <v>1</v>
      </c>
      <c r="B108" s="332" t="s">
        <v>73</v>
      </c>
      <c r="C108" s="10">
        <v>1.06E-2</v>
      </c>
      <c r="D108" s="13">
        <f>ROUND($D$106*C108,2)</f>
        <v>27.21</v>
      </c>
    </row>
    <row r="109" spans="1:5" x14ac:dyDescent="0.2">
      <c r="A109" s="515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48.48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223.28</v>
      </c>
      <c r="F113" s="353">
        <f>SUM(C110:C114)</f>
        <v>0.1125</v>
      </c>
    </row>
    <row r="114" spans="1:9" x14ac:dyDescent="0.2">
      <c r="A114" s="352" t="s">
        <v>109</v>
      </c>
      <c r="B114" s="332" t="s">
        <v>79</v>
      </c>
      <c r="C114" s="131">
        <v>0.02</v>
      </c>
      <c r="D114" s="13">
        <f>ROUND($F$115*C114,2)</f>
        <v>58.76</v>
      </c>
      <c r="F114" s="354">
        <f>ROUND(D115+D108+D106,2)</f>
        <v>2607.4299999999998</v>
      </c>
    </row>
    <row r="115" spans="1:9" x14ac:dyDescent="0.2">
      <c r="A115" s="515" t="s">
        <v>4</v>
      </c>
      <c r="B115" s="332" t="s">
        <v>80</v>
      </c>
      <c r="C115" s="10">
        <v>5.0000000000000001E-3</v>
      </c>
      <c r="D115" s="13">
        <f>ROUND(($D$106+D108)*C115,2)</f>
        <v>12.97</v>
      </c>
      <c r="F115" s="41">
        <f>ROUND(F114/(1-F113),2)</f>
        <v>2937.95</v>
      </c>
    </row>
    <row r="116" spans="1:9" x14ac:dyDescent="0.2">
      <c r="A116" s="638" t="s">
        <v>46</v>
      </c>
      <c r="B116" s="643"/>
      <c r="C116" s="639"/>
      <c r="D116" s="22">
        <f>ROUND(SUM(D108:D115),2)</f>
        <v>370.7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515" t="s">
        <v>1</v>
      </c>
      <c r="B120" s="626" t="s">
        <v>83</v>
      </c>
      <c r="C120" s="626"/>
      <c r="D120" s="13">
        <f>D39</f>
        <v>1052.9000000000001</v>
      </c>
    </row>
    <row r="121" spans="1:9" x14ac:dyDescent="0.2">
      <c r="A121" s="515" t="s">
        <v>2</v>
      </c>
      <c r="B121" s="626" t="s">
        <v>84</v>
      </c>
      <c r="C121" s="626"/>
      <c r="D121" s="13">
        <f>D49</f>
        <v>337.8</v>
      </c>
    </row>
    <row r="122" spans="1:9" x14ac:dyDescent="0.2">
      <c r="A122" s="515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515" t="s">
        <v>3</v>
      </c>
      <c r="B123" s="626" t="s">
        <v>127</v>
      </c>
      <c r="C123" s="626"/>
      <c r="D123" s="13">
        <f>D105</f>
        <v>766.83</v>
      </c>
    </row>
    <row r="124" spans="1:9" x14ac:dyDescent="0.2">
      <c r="A124" s="625" t="s">
        <v>49</v>
      </c>
      <c r="B124" s="625"/>
      <c r="C124" s="625"/>
      <c r="D124" s="22">
        <f>ROUND(SUM(D120:D123),2)</f>
        <v>2567.25</v>
      </c>
    </row>
    <row r="125" spans="1:9" ht="18.75" x14ac:dyDescent="0.3">
      <c r="A125" s="515" t="s">
        <v>18</v>
      </c>
      <c r="B125" s="645" t="s">
        <v>86</v>
      </c>
      <c r="C125" s="645"/>
      <c r="D125" s="13">
        <f>D116</f>
        <v>370.7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2937.95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2937.95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2937.95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2937.95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515" t="s">
        <v>1</v>
      </c>
      <c r="B137" s="626" t="s">
        <v>93</v>
      </c>
      <c r="C137" s="626"/>
      <c r="D137" s="297">
        <f>D130</f>
        <v>2937.95</v>
      </c>
      <c r="E137" s="303">
        <v>2279.4299999999998</v>
      </c>
    </row>
    <row r="138" spans="1:9" x14ac:dyDescent="0.2">
      <c r="A138" s="515" t="s">
        <v>2</v>
      </c>
      <c r="B138" s="626" t="s">
        <v>94</v>
      </c>
      <c r="C138" s="626"/>
      <c r="D138" s="13">
        <f>D134</f>
        <v>2937.95</v>
      </c>
    </row>
    <row r="139" spans="1:9" x14ac:dyDescent="0.2">
      <c r="A139" s="511" t="s">
        <v>4</v>
      </c>
      <c r="B139" s="633" t="s">
        <v>95</v>
      </c>
      <c r="C139" s="633"/>
      <c r="D139" s="22">
        <f>ROUND(D138*12,2)</f>
        <v>35255.4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286" customWidth="1"/>
    <col min="2" max="2" width="60.140625" style="286" customWidth="1"/>
    <col min="3" max="3" width="11.5703125" style="8" customWidth="1"/>
    <col min="4" max="4" width="22.85546875" style="11" customWidth="1"/>
    <col min="5" max="5" width="14.7109375" style="285" hidden="1" customWidth="1"/>
    <col min="6" max="6" width="51.85546875" style="289" customWidth="1"/>
    <col min="7" max="7" width="9.7109375" style="286" bestFit="1" customWidth="1"/>
    <col min="8" max="256" width="9.140625" style="286"/>
    <col min="257" max="257" width="4.42578125" style="286" customWidth="1"/>
    <col min="258" max="258" width="60.140625" style="286" customWidth="1"/>
    <col min="259" max="259" width="11.5703125" style="286" customWidth="1"/>
    <col min="260" max="260" width="22.85546875" style="286" customWidth="1"/>
    <col min="261" max="261" width="14.7109375" style="286" customWidth="1"/>
    <col min="262" max="262" width="51.85546875" style="286" customWidth="1"/>
    <col min="263" max="263" width="9.7109375" style="286" bestFit="1" customWidth="1"/>
    <col min="264" max="512" width="9.140625" style="286"/>
    <col min="513" max="513" width="4.42578125" style="286" customWidth="1"/>
    <col min="514" max="514" width="60.140625" style="286" customWidth="1"/>
    <col min="515" max="515" width="11.5703125" style="286" customWidth="1"/>
    <col min="516" max="516" width="22.85546875" style="286" customWidth="1"/>
    <col min="517" max="517" width="14.7109375" style="286" customWidth="1"/>
    <col min="518" max="518" width="51.85546875" style="286" customWidth="1"/>
    <col min="519" max="519" width="9.7109375" style="286" bestFit="1" customWidth="1"/>
    <col min="520" max="768" width="9.140625" style="286"/>
    <col min="769" max="769" width="4.42578125" style="286" customWidth="1"/>
    <col min="770" max="770" width="60.140625" style="286" customWidth="1"/>
    <col min="771" max="771" width="11.5703125" style="286" customWidth="1"/>
    <col min="772" max="772" width="22.85546875" style="286" customWidth="1"/>
    <col min="773" max="773" width="14.7109375" style="286" customWidth="1"/>
    <col min="774" max="774" width="51.85546875" style="286" customWidth="1"/>
    <col min="775" max="775" width="9.7109375" style="286" bestFit="1" customWidth="1"/>
    <col min="776" max="1024" width="9.140625" style="286"/>
    <col min="1025" max="1025" width="4.42578125" style="286" customWidth="1"/>
    <col min="1026" max="1026" width="60.140625" style="286" customWidth="1"/>
    <col min="1027" max="1027" width="11.5703125" style="286" customWidth="1"/>
    <col min="1028" max="1028" width="22.85546875" style="286" customWidth="1"/>
    <col min="1029" max="1029" width="14.7109375" style="286" customWidth="1"/>
    <col min="1030" max="1030" width="51.85546875" style="286" customWidth="1"/>
    <col min="1031" max="1031" width="9.7109375" style="286" bestFit="1" customWidth="1"/>
    <col min="1032" max="1280" width="9.140625" style="286"/>
    <col min="1281" max="1281" width="4.42578125" style="286" customWidth="1"/>
    <col min="1282" max="1282" width="60.140625" style="286" customWidth="1"/>
    <col min="1283" max="1283" width="11.5703125" style="286" customWidth="1"/>
    <col min="1284" max="1284" width="22.85546875" style="286" customWidth="1"/>
    <col min="1285" max="1285" width="14.7109375" style="286" customWidth="1"/>
    <col min="1286" max="1286" width="51.85546875" style="286" customWidth="1"/>
    <col min="1287" max="1287" width="9.7109375" style="286" bestFit="1" customWidth="1"/>
    <col min="1288" max="1536" width="9.140625" style="286"/>
    <col min="1537" max="1537" width="4.42578125" style="286" customWidth="1"/>
    <col min="1538" max="1538" width="60.140625" style="286" customWidth="1"/>
    <col min="1539" max="1539" width="11.5703125" style="286" customWidth="1"/>
    <col min="1540" max="1540" width="22.85546875" style="286" customWidth="1"/>
    <col min="1541" max="1541" width="14.7109375" style="286" customWidth="1"/>
    <col min="1542" max="1542" width="51.85546875" style="286" customWidth="1"/>
    <col min="1543" max="1543" width="9.7109375" style="286" bestFit="1" customWidth="1"/>
    <col min="1544" max="1792" width="9.140625" style="286"/>
    <col min="1793" max="1793" width="4.42578125" style="286" customWidth="1"/>
    <col min="1794" max="1794" width="60.140625" style="286" customWidth="1"/>
    <col min="1795" max="1795" width="11.5703125" style="286" customWidth="1"/>
    <col min="1796" max="1796" width="22.85546875" style="286" customWidth="1"/>
    <col min="1797" max="1797" width="14.7109375" style="286" customWidth="1"/>
    <col min="1798" max="1798" width="51.85546875" style="286" customWidth="1"/>
    <col min="1799" max="1799" width="9.7109375" style="286" bestFit="1" customWidth="1"/>
    <col min="1800" max="2048" width="9.140625" style="286"/>
    <col min="2049" max="2049" width="4.42578125" style="286" customWidth="1"/>
    <col min="2050" max="2050" width="60.140625" style="286" customWidth="1"/>
    <col min="2051" max="2051" width="11.5703125" style="286" customWidth="1"/>
    <col min="2052" max="2052" width="22.85546875" style="286" customWidth="1"/>
    <col min="2053" max="2053" width="14.7109375" style="286" customWidth="1"/>
    <col min="2054" max="2054" width="51.85546875" style="286" customWidth="1"/>
    <col min="2055" max="2055" width="9.7109375" style="286" bestFit="1" customWidth="1"/>
    <col min="2056" max="2304" width="9.140625" style="286"/>
    <col min="2305" max="2305" width="4.42578125" style="286" customWidth="1"/>
    <col min="2306" max="2306" width="60.140625" style="286" customWidth="1"/>
    <col min="2307" max="2307" width="11.5703125" style="286" customWidth="1"/>
    <col min="2308" max="2308" width="22.85546875" style="286" customWidth="1"/>
    <col min="2309" max="2309" width="14.7109375" style="286" customWidth="1"/>
    <col min="2310" max="2310" width="51.85546875" style="286" customWidth="1"/>
    <col min="2311" max="2311" width="9.7109375" style="286" bestFit="1" customWidth="1"/>
    <col min="2312" max="2560" width="9.140625" style="286"/>
    <col min="2561" max="2561" width="4.42578125" style="286" customWidth="1"/>
    <col min="2562" max="2562" width="60.140625" style="286" customWidth="1"/>
    <col min="2563" max="2563" width="11.5703125" style="286" customWidth="1"/>
    <col min="2564" max="2564" width="22.85546875" style="286" customWidth="1"/>
    <col min="2565" max="2565" width="14.7109375" style="286" customWidth="1"/>
    <col min="2566" max="2566" width="51.85546875" style="286" customWidth="1"/>
    <col min="2567" max="2567" width="9.7109375" style="286" bestFit="1" customWidth="1"/>
    <col min="2568" max="2816" width="9.140625" style="286"/>
    <col min="2817" max="2817" width="4.42578125" style="286" customWidth="1"/>
    <col min="2818" max="2818" width="60.140625" style="286" customWidth="1"/>
    <col min="2819" max="2819" width="11.5703125" style="286" customWidth="1"/>
    <col min="2820" max="2820" width="22.85546875" style="286" customWidth="1"/>
    <col min="2821" max="2821" width="14.7109375" style="286" customWidth="1"/>
    <col min="2822" max="2822" width="51.85546875" style="286" customWidth="1"/>
    <col min="2823" max="2823" width="9.7109375" style="286" bestFit="1" customWidth="1"/>
    <col min="2824" max="3072" width="9.140625" style="286"/>
    <col min="3073" max="3073" width="4.42578125" style="286" customWidth="1"/>
    <col min="3074" max="3074" width="60.140625" style="286" customWidth="1"/>
    <col min="3075" max="3075" width="11.5703125" style="286" customWidth="1"/>
    <col min="3076" max="3076" width="22.85546875" style="286" customWidth="1"/>
    <col min="3077" max="3077" width="14.7109375" style="286" customWidth="1"/>
    <col min="3078" max="3078" width="51.85546875" style="286" customWidth="1"/>
    <col min="3079" max="3079" width="9.7109375" style="286" bestFit="1" customWidth="1"/>
    <col min="3080" max="3328" width="9.140625" style="286"/>
    <col min="3329" max="3329" width="4.42578125" style="286" customWidth="1"/>
    <col min="3330" max="3330" width="60.140625" style="286" customWidth="1"/>
    <col min="3331" max="3331" width="11.5703125" style="286" customWidth="1"/>
    <col min="3332" max="3332" width="22.85546875" style="286" customWidth="1"/>
    <col min="3333" max="3333" width="14.7109375" style="286" customWidth="1"/>
    <col min="3334" max="3334" width="51.85546875" style="286" customWidth="1"/>
    <col min="3335" max="3335" width="9.7109375" style="286" bestFit="1" customWidth="1"/>
    <col min="3336" max="3584" width="9.140625" style="286"/>
    <col min="3585" max="3585" width="4.42578125" style="286" customWidth="1"/>
    <col min="3586" max="3586" width="60.140625" style="286" customWidth="1"/>
    <col min="3587" max="3587" width="11.5703125" style="286" customWidth="1"/>
    <col min="3588" max="3588" width="22.85546875" style="286" customWidth="1"/>
    <col min="3589" max="3589" width="14.7109375" style="286" customWidth="1"/>
    <col min="3590" max="3590" width="51.85546875" style="286" customWidth="1"/>
    <col min="3591" max="3591" width="9.7109375" style="286" bestFit="1" customWidth="1"/>
    <col min="3592" max="3840" width="9.140625" style="286"/>
    <col min="3841" max="3841" width="4.42578125" style="286" customWidth="1"/>
    <col min="3842" max="3842" width="60.140625" style="286" customWidth="1"/>
    <col min="3843" max="3843" width="11.5703125" style="286" customWidth="1"/>
    <col min="3844" max="3844" width="22.85546875" style="286" customWidth="1"/>
    <col min="3845" max="3845" width="14.7109375" style="286" customWidth="1"/>
    <col min="3846" max="3846" width="51.85546875" style="286" customWidth="1"/>
    <col min="3847" max="3847" width="9.7109375" style="286" bestFit="1" customWidth="1"/>
    <col min="3848" max="4096" width="9.140625" style="286"/>
    <col min="4097" max="4097" width="4.42578125" style="286" customWidth="1"/>
    <col min="4098" max="4098" width="60.140625" style="286" customWidth="1"/>
    <col min="4099" max="4099" width="11.5703125" style="286" customWidth="1"/>
    <col min="4100" max="4100" width="22.85546875" style="286" customWidth="1"/>
    <col min="4101" max="4101" width="14.7109375" style="286" customWidth="1"/>
    <col min="4102" max="4102" width="51.85546875" style="286" customWidth="1"/>
    <col min="4103" max="4103" width="9.7109375" style="286" bestFit="1" customWidth="1"/>
    <col min="4104" max="4352" width="9.140625" style="286"/>
    <col min="4353" max="4353" width="4.42578125" style="286" customWidth="1"/>
    <col min="4354" max="4354" width="60.140625" style="286" customWidth="1"/>
    <col min="4355" max="4355" width="11.5703125" style="286" customWidth="1"/>
    <col min="4356" max="4356" width="22.85546875" style="286" customWidth="1"/>
    <col min="4357" max="4357" width="14.7109375" style="286" customWidth="1"/>
    <col min="4358" max="4358" width="51.85546875" style="286" customWidth="1"/>
    <col min="4359" max="4359" width="9.7109375" style="286" bestFit="1" customWidth="1"/>
    <col min="4360" max="4608" width="9.140625" style="286"/>
    <col min="4609" max="4609" width="4.42578125" style="286" customWidth="1"/>
    <col min="4610" max="4610" width="60.140625" style="286" customWidth="1"/>
    <col min="4611" max="4611" width="11.5703125" style="286" customWidth="1"/>
    <col min="4612" max="4612" width="22.85546875" style="286" customWidth="1"/>
    <col min="4613" max="4613" width="14.7109375" style="286" customWidth="1"/>
    <col min="4614" max="4614" width="51.85546875" style="286" customWidth="1"/>
    <col min="4615" max="4615" width="9.7109375" style="286" bestFit="1" customWidth="1"/>
    <col min="4616" max="4864" width="9.140625" style="286"/>
    <col min="4865" max="4865" width="4.42578125" style="286" customWidth="1"/>
    <col min="4866" max="4866" width="60.140625" style="286" customWidth="1"/>
    <col min="4867" max="4867" width="11.5703125" style="286" customWidth="1"/>
    <col min="4868" max="4868" width="22.85546875" style="286" customWidth="1"/>
    <col min="4869" max="4869" width="14.7109375" style="286" customWidth="1"/>
    <col min="4870" max="4870" width="51.85546875" style="286" customWidth="1"/>
    <col min="4871" max="4871" width="9.7109375" style="286" bestFit="1" customWidth="1"/>
    <col min="4872" max="5120" width="9.140625" style="286"/>
    <col min="5121" max="5121" width="4.42578125" style="286" customWidth="1"/>
    <col min="5122" max="5122" width="60.140625" style="286" customWidth="1"/>
    <col min="5123" max="5123" width="11.5703125" style="286" customWidth="1"/>
    <col min="5124" max="5124" width="22.85546875" style="286" customWidth="1"/>
    <col min="5125" max="5125" width="14.7109375" style="286" customWidth="1"/>
    <col min="5126" max="5126" width="51.85546875" style="286" customWidth="1"/>
    <col min="5127" max="5127" width="9.7109375" style="286" bestFit="1" customWidth="1"/>
    <col min="5128" max="5376" width="9.140625" style="286"/>
    <col min="5377" max="5377" width="4.42578125" style="286" customWidth="1"/>
    <col min="5378" max="5378" width="60.140625" style="286" customWidth="1"/>
    <col min="5379" max="5379" width="11.5703125" style="286" customWidth="1"/>
    <col min="5380" max="5380" width="22.85546875" style="286" customWidth="1"/>
    <col min="5381" max="5381" width="14.7109375" style="286" customWidth="1"/>
    <col min="5382" max="5382" width="51.85546875" style="286" customWidth="1"/>
    <col min="5383" max="5383" width="9.7109375" style="286" bestFit="1" customWidth="1"/>
    <col min="5384" max="5632" width="9.140625" style="286"/>
    <col min="5633" max="5633" width="4.42578125" style="286" customWidth="1"/>
    <col min="5634" max="5634" width="60.140625" style="286" customWidth="1"/>
    <col min="5635" max="5635" width="11.5703125" style="286" customWidth="1"/>
    <col min="5636" max="5636" width="22.85546875" style="286" customWidth="1"/>
    <col min="5637" max="5637" width="14.7109375" style="286" customWidth="1"/>
    <col min="5638" max="5638" width="51.85546875" style="286" customWidth="1"/>
    <col min="5639" max="5639" width="9.7109375" style="286" bestFit="1" customWidth="1"/>
    <col min="5640" max="5888" width="9.140625" style="286"/>
    <col min="5889" max="5889" width="4.42578125" style="286" customWidth="1"/>
    <col min="5890" max="5890" width="60.140625" style="286" customWidth="1"/>
    <col min="5891" max="5891" width="11.5703125" style="286" customWidth="1"/>
    <col min="5892" max="5892" width="22.85546875" style="286" customWidth="1"/>
    <col min="5893" max="5893" width="14.7109375" style="286" customWidth="1"/>
    <col min="5894" max="5894" width="51.85546875" style="286" customWidth="1"/>
    <col min="5895" max="5895" width="9.7109375" style="286" bestFit="1" customWidth="1"/>
    <col min="5896" max="6144" width="9.140625" style="286"/>
    <col min="6145" max="6145" width="4.42578125" style="286" customWidth="1"/>
    <col min="6146" max="6146" width="60.140625" style="286" customWidth="1"/>
    <col min="6147" max="6147" width="11.5703125" style="286" customWidth="1"/>
    <col min="6148" max="6148" width="22.85546875" style="286" customWidth="1"/>
    <col min="6149" max="6149" width="14.7109375" style="286" customWidth="1"/>
    <col min="6150" max="6150" width="51.85546875" style="286" customWidth="1"/>
    <col min="6151" max="6151" width="9.7109375" style="286" bestFit="1" customWidth="1"/>
    <col min="6152" max="6400" width="9.140625" style="286"/>
    <col min="6401" max="6401" width="4.42578125" style="286" customWidth="1"/>
    <col min="6402" max="6402" width="60.140625" style="286" customWidth="1"/>
    <col min="6403" max="6403" width="11.5703125" style="286" customWidth="1"/>
    <col min="6404" max="6404" width="22.85546875" style="286" customWidth="1"/>
    <col min="6405" max="6405" width="14.7109375" style="286" customWidth="1"/>
    <col min="6406" max="6406" width="51.85546875" style="286" customWidth="1"/>
    <col min="6407" max="6407" width="9.7109375" style="286" bestFit="1" customWidth="1"/>
    <col min="6408" max="6656" width="9.140625" style="286"/>
    <col min="6657" max="6657" width="4.42578125" style="286" customWidth="1"/>
    <col min="6658" max="6658" width="60.140625" style="286" customWidth="1"/>
    <col min="6659" max="6659" width="11.5703125" style="286" customWidth="1"/>
    <col min="6660" max="6660" width="22.85546875" style="286" customWidth="1"/>
    <col min="6661" max="6661" width="14.7109375" style="286" customWidth="1"/>
    <col min="6662" max="6662" width="51.85546875" style="286" customWidth="1"/>
    <col min="6663" max="6663" width="9.7109375" style="286" bestFit="1" customWidth="1"/>
    <col min="6664" max="6912" width="9.140625" style="286"/>
    <col min="6913" max="6913" width="4.42578125" style="286" customWidth="1"/>
    <col min="6914" max="6914" width="60.140625" style="286" customWidth="1"/>
    <col min="6915" max="6915" width="11.5703125" style="286" customWidth="1"/>
    <col min="6916" max="6916" width="22.85546875" style="286" customWidth="1"/>
    <col min="6917" max="6917" width="14.7109375" style="286" customWidth="1"/>
    <col min="6918" max="6918" width="51.85546875" style="286" customWidth="1"/>
    <col min="6919" max="6919" width="9.7109375" style="286" bestFit="1" customWidth="1"/>
    <col min="6920" max="7168" width="9.140625" style="286"/>
    <col min="7169" max="7169" width="4.42578125" style="286" customWidth="1"/>
    <col min="7170" max="7170" width="60.140625" style="286" customWidth="1"/>
    <col min="7171" max="7171" width="11.5703125" style="286" customWidth="1"/>
    <col min="7172" max="7172" width="22.85546875" style="286" customWidth="1"/>
    <col min="7173" max="7173" width="14.7109375" style="286" customWidth="1"/>
    <col min="7174" max="7174" width="51.85546875" style="286" customWidth="1"/>
    <col min="7175" max="7175" width="9.7109375" style="286" bestFit="1" customWidth="1"/>
    <col min="7176" max="7424" width="9.140625" style="286"/>
    <col min="7425" max="7425" width="4.42578125" style="286" customWidth="1"/>
    <col min="7426" max="7426" width="60.140625" style="286" customWidth="1"/>
    <col min="7427" max="7427" width="11.5703125" style="286" customWidth="1"/>
    <col min="7428" max="7428" width="22.85546875" style="286" customWidth="1"/>
    <col min="7429" max="7429" width="14.7109375" style="286" customWidth="1"/>
    <col min="7430" max="7430" width="51.85546875" style="286" customWidth="1"/>
    <col min="7431" max="7431" width="9.7109375" style="286" bestFit="1" customWidth="1"/>
    <col min="7432" max="7680" width="9.140625" style="286"/>
    <col min="7681" max="7681" width="4.42578125" style="286" customWidth="1"/>
    <col min="7682" max="7682" width="60.140625" style="286" customWidth="1"/>
    <col min="7683" max="7683" width="11.5703125" style="286" customWidth="1"/>
    <col min="7684" max="7684" width="22.85546875" style="286" customWidth="1"/>
    <col min="7685" max="7685" width="14.7109375" style="286" customWidth="1"/>
    <col min="7686" max="7686" width="51.85546875" style="286" customWidth="1"/>
    <col min="7687" max="7687" width="9.7109375" style="286" bestFit="1" customWidth="1"/>
    <col min="7688" max="7936" width="9.140625" style="286"/>
    <col min="7937" max="7937" width="4.42578125" style="286" customWidth="1"/>
    <col min="7938" max="7938" width="60.140625" style="286" customWidth="1"/>
    <col min="7939" max="7939" width="11.5703125" style="286" customWidth="1"/>
    <col min="7940" max="7940" width="22.85546875" style="286" customWidth="1"/>
    <col min="7941" max="7941" width="14.7109375" style="286" customWidth="1"/>
    <col min="7942" max="7942" width="51.85546875" style="286" customWidth="1"/>
    <col min="7943" max="7943" width="9.7109375" style="286" bestFit="1" customWidth="1"/>
    <col min="7944" max="8192" width="9.140625" style="286"/>
    <col min="8193" max="8193" width="4.42578125" style="286" customWidth="1"/>
    <col min="8194" max="8194" width="60.140625" style="286" customWidth="1"/>
    <col min="8195" max="8195" width="11.5703125" style="286" customWidth="1"/>
    <col min="8196" max="8196" width="22.85546875" style="286" customWidth="1"/>
    <col min="8197" max="8197" width="14.7109375" style="286" customWidth="1"/>
    <col min="8198" max="8198" width="51.85546875" style="286" customWidth="1"/>
    <col min="8199" max="8199" width="9.7109375" style="286" bestFit="1" customWidth="1"/>
    <col min="8200" max="8448" width="9.140625" style="286"/>
    <col min="8449" max="8449" width="4.42578125" style="286" customWidth="1"/>
    <col min="8450" max="8450" width="60.140625" style="286" customWidth="1"/>
    <col min="8451" max="8451" width="11.5703125" style="286" customWidth="1"/>
    <col min="8452" max="8452" width="22.85546875" style="286" customWidth="1"/>
    <col min="8453" max="8453" width="14.7109375" style="286" customWidth="1"/>
    <col min="8454" max="8454" width="51.85546875" style="286" customWidth="1"/>
    <col min="8455" max="8455" width="9.7109375" style="286" bestFit="1" customWidth="1"/>
    <col min="8456" max="8704" width="9.140625" style="286"/>
    <col min="8705" max="8705" width="4.42578125" style="286" customWidth="1"/>
    <col min="8706" max="8706" width="60.140625" style="286" customWidth="1"/>
    <col min="8707" max="8707" width="11.5703125" style="286" customWidth="1"/>
    <col min="8708" max="8708" width="22.85546875" style="286" customWidth="1"/>
    <col min="8709" max="8709" width="14.7109375" style="286" customWidth="1"/>
    <col min="8710" max="8710" width="51.85546875" style="286" customWidth="1"/>
    <col min="8711" max="8711" width="9.7109375" style="286" bestFit="1" customWidth="1"/>
    <col min="8712" max="8960" width="9.140625" style="286"/>
    <col min="8961" max="8961" width="4.42578125" style="286" customWidth="1"/>
    <col min="8962" max="8962" width="60.140625" style="286" customWidth="1"/>
    <col min="8963" max="8963" width="11.5703125" style="286" customWidth="1"/>
    <col min="8964" max="8964" width="22.85546875" style="286" customWidth="1"/>
    <col min="8965" max="8965" width="14.7109375" style="286" customWidth="1"/>
    <col min="8966" max="8966" width="51.85546875" style="286" customWidth="1"/>
    <col min="8967" max="8967" width="9.7109375" style="286" bestFit="1" customWidth="1"/>
    <col min="8968" max="9216" width="9.140625" style="286"/>
    <col min="9217" max="9217" width="4.42578125" style="286" customWidth="1"/>
    <col min="9218" max="9218" width="60.140625" style="286" customWidth="1"/>
    <col min="9219" max="9219" width="11.5703125" style="286" customWidth="1"/>
    <col min="9220" max="9220" width="22.85546875" style="286" customWidth="1"/>
    <col min="9221" max="9221" width="14.7109375" style="286" customWidth="1"/>
    <col min="9222" max="9222" width="51.85546875" style="286" customWidth="1"/>
    <col min="9223" max="9223" width="9.7109375" style="286" bestFit="1" customWidth="1"/>
    <col min="9224" max="9472" width="9.140625" style="286"/>
    <col min="9473" max="9473" width="4.42578125" style="286" customWidth="1"/>
    <col min="9474" max="9474" width="60.140625" style="286" customWidth="1"/>
    <col min="9475" max="9475" width="11.5703125" style="286" customWidth="1"/>
    <col min="9476" max="9476" width="22.85546875" style="286" customWidth="1"/>
    <col min="9477" max="9477" width="14.7109375" style="286" customWidth="1"/>
    <col min="9478" max="9478" width="51.85546875" style="286" customWidth="1"/>
    <col min="9479" max="9479" width="9.7109375" style="286" bestFit="1" customWidth="1"/>
    <col min="9480" max="9728" width="9.140625" style="286"/>
    <col min="9729" max="9729" width="4.42578125" style="286" customWidth="1"/>
    <col min="9730" max="9730" width="60.140625" style="286" customWidth="1"/>
    <col min="9731" max="9731" width="11.5703125" style="286" customWidth="1"/>
    <col min="9732" max="9732" width="22.85546875" style="286" customWidth="1"/>
    <col min="9733" max="9733" width="14.7109375" style="286" customWidth="1"/>
    <col min="9734" max="9734" width="51.85546875" style="286" customWidth="1"/>
    <col min="9735" max="9735" width="9.7109375" style="286" bestFit="1" customWidth="1"/>
    <col min="9736" max="9984" width="9.140625" style="286"/>
    <col min="9985" max="9985" width="4.42578125" style="286" customWidth="1"/>
    <col min="9986" max="9986" width="60.140625" style="286" customWidth="1"/>
    <col min="9987" max="9987" width="11.5703125" style="286" customWidth="1"/>
    <col min="9988" max="9988" width="22.85546875" style="286" customWidth="1"/>
    <col min="9989" max="9989" width="14.7109375" style="286" customWidth="1"/>
    <col min="9990" max="9990" width="51.85546875" style="286" customWidth="1"/>
    <col min="9991" max="9991" width="9.7109375" style="286" bestFit="1" customWidth="1"/>
    <col min="9992" max="10240" width="9.140625" style="286"/>
    <col min="10241" max="10241" width="4.42578125" style="286" customWidth="1"/>
    <col min="10242" max="10242" width="60.140625" style="286" customWidth="1"/>
    <col min="10243" max="10243" width="11.5703125" style="286" customWidth="1"/>
    <col min="10244" max="10244" width="22.85546875" style="286" customWidth="1"/>
    <col min="10245" max="10245" width="14.7109375" style="286" customWidth="1"/>
    <col min="10246" max="10246" width="51.85546875" style="286" customWidth="1"/>
    <col min="10247" max="10247" width="9.7109375" style="286" bestFit="1" customWidth="1"/>
    <col min="10248" max="10496" width="9.140625" style="286"/>
    <col min="10497" max="10497" width="4.42578125" style="286" customWidth="1"/>
    <col min="10498" max="10498" width="60.140625" style="286" customWidth="1"/>
    <col min="10499" max="10499" width="11.5703125" style="286" customWidth="1"/>
    <col min="10500" max="10500" width="22.85546875" style="286" customWidth="1"/>
    <col min="10501" max="10501" width="14.7109375" style="286" customWidth="1"/>
    <col min="10502" max="10502" width="51.85546875" style="286" customWidth="1"/>
    <col min="10503" max="10503" width="9.7109375" style="286" bestFit="1" customWidth="1"/>
    <col min="10504" max="10752" width="9.140625" style="286"/>
    <col min="10753" max="10753" width="4.42578125" style="286" customWidth="1"/>
    <col min="10754" max="10754" width="60.140625" style="286" customWidth="1"/>
    <col min="10755" max="10755" width="11.5703125" style="286" customWidth="1"/>
    <col min="10756" max="10756" width="22.85546875" style="286" customWidth="1"/>
    <col min="10757" max="10757" width="14.7109375" style="286" customWidth="1"/>
    <col min="10758" max="10758" width="51.85546875" style="286" customWidth="1"/>
    <col min="10759" max="10759" width="9.7109375" style="286" bestFit="1" customWidth="1"/>
    <col min="10760" max="11008" width="9.140625" style="286"/>
    <col min="11009" max="11009" width="4.42578125" style="286" customWidth="1"/>
    <col min="11010" max="11010" width="60.140625" style="286" customWidth="1"/>
    <col min="11011" max="11011" width="11.5703125" style="286" customWidth="1"/>
    <col min="11012" max="11012" width="22.85546875" style="286" customWidth="1"/>
    <col min="11013" max="11013" width="14.7109375" style="286" customWidth="1"/>
    <col min="11014" max="11014" width="51.85546875" style="286" customWidth="1"/>
    <col min="11015" max="11015" width="9.7109375" style="286" bestFit="1" customWidth="1"/>
    <col min="11016" max="11264" width="9.140625" style="286"/>
    <col min="11265" max="11265" width="4.42578125" style="286" customWidth="1"/>
    <col min="11266" max="11266" width="60.140625" style="286" customWidth="1"/>
    <col min="11267" max="11267" width="11.5703125" style="286" customWidth="1"/>
    <col min="11268" max="11268" width="22.85546875" style="286" customWidth="1"/>
    <col min="11269" max="11269" width="14.7109375" style="286" customWidth="1"/>
    <col min="11270" max="11270" width="51.85546875" style="286" customWidth="1"/>
    <col min="11271" max="11271" width="9.7109375" style="286" bestFit="1" customWidth="1"/>
    <col min="11272" max="11520" width="9.140625" style="286"/>
    <col min="11521" max="11521" width="4.42578125" style="286" customWidth="1"/>
    <col min="11522" max="11522" width="60.140625" style="286" customWidth="1"/>
    <col min="11523" max="11523" width="11.5703125" style="286" customWidth="1"/>
    <col min="11524" max="11524" width="22.85546875" style="286" customWidth="1"/>
    <col min="11525" max="11525" width="14.7109375" style="286" customWidth="1"/>
    <col min="11526" max="11526" width="51.85546875" style="286" customWidth="1"/>
    <col min="11527" max="11527" width="9.7109375" style="286" bestFit="1" customWidth="1"/>
    <col min="11528" max="11776" width="9.140625" style="286"/>
    <col min="11777" max="11777" width="4.42578125" style="286" customWidth="1"/>
    <col min="11778" max="11778" width="60.140625" style="286" customWidth="1"/>
    <col min="11779" max="11779" width="11.5703125" style="286" customWidth="1"/>
    <col min="11780" max="11780" width="22.85546875" style="286" customWidth="1"/>
    <col min="11781" max="11781" width="14.7109375" style="286" customWidth="1"/>
    <col min="11782" max="11782" width="51.85546875" style="286" customWidth="1"/>
    <col min="11783" max="11783" width="9.7109375" style="286" bestFit="1" customWidth="1"/>
    <col min="11784" max="12032" width="9.140625" style="286"/>
    <col min="12033" max="12033" width="4.42578125" style="286" customWidth="1"/>
    <col min="12034" max="12034" width="60.140625" style="286" customWidth="1"/>
    <col min="12035" max="12035" width="11.5703125" style="286" customWidth="1"/>
    <col min="12036" max="12036" width="22.85546875" style="286" customWidth="1"/>
    <col min="12037" max="12037" width="14.7109375" style="286" customWidth="1"/>
    <col min="12038" max="12038" width="51.85546875" style="286" customWidth="1"/>
    <col min="12039" max="12039" width="9.7109375" style="286" bestFit="1" customWidth="1"/>
    <col min="12040" max="12288" width="9.140625" style="286"/>
    <col min="12289" max="12289" width="4.42578125" style="286" customWidth="1"/>
    <col min="12290" max="12290" width="60.140625" style="286" customWidth="1"/>
    <col min="12291" max="12291" width="11.5703125" style="286" customWidth="1"/>
    <col min="12292" max="12292" width="22.85546875" style="286" customWidth="1"/>
    <col min="12293" max="12293" width="14.7109375" style="286" customWidth="1"/>
    <col min="12294" max="12294" width="51.85546875" style="286" customWidth="1"/>
    <col min="12295" max="12295" width="9.7109375" style="286" bestFit="1" customWidth="1"/>
    <col min="12296" max="12544" width="9.140625" style="286"/>
    <col min="12545" max="12545" width="4.42578125" style="286" customWidth="1"/>
    <col min="12546" max="12546" width="60.140625" style="286" customWidth="1"/>
    <col min="12547" max="12547" width="11.5703125" style="286" customWidth="1"/>
    <col min="12548" max="12548" width="22.85546875" style="286" customWidth="1"/>
    <col min="12549" max="12549" width="14.7109375" style="286" customWidth="1"/>
    <col min="12550" max="12550" width="51.85546875" style="286" customWidth="1"/>
    <col min="12551" max="12551" width="9.7109375" style="286" bestFit="1" customWidth="1"/>
    <col min="12552" max="12800" width="9.140625" style="286"/>
    <col min="12801" max="12801" width="4.42578125" style="286" customWidth="1"/>
    <col min="12802" max="12802" width="60.140625" style="286" customWidth="1"/>
    <col min="12803" max="12803" width="11.5703125" style="286" customWidth="1"/>
    <col min="12804" max="12804" width="22.85546875" style="286" customWidth="1"/>
    <col min="12805" max="12805" width="14.7109375" style="286" customWidth="1"/>
    <col min="12806" max="12806" width="51.85546875" style="286" customWidth="1"/>
    <col min="12807" max="12807" width="9.7109375" style="286" bestFit="1" customWidth="1"/>
    <col min="12808" max="13056" width="9.140625" style="286"/>
    <col min="13057" max="13057" width="4.42578125" style="286" customWidth="1"/>
    <col min="13058" max="13058" width="60.140625" style="286" customWidth="1"/>
    <col min="13059" max="13059" width="11.5703125" style="286" customWidth="1"/>
    <col min="13060" max="13060" width="22.85546875" style="286" customWidth="1"/>
    <col min="13061" max="13061" width="14.7109375" style="286" customWidth="1"/>
    <col min="13062" max="13062" width="51.85546875" style="286" customWidth="1"/>
    <col min="13063" max="13063" width="9.7109375" style="286" bestFit="1" customWidth="1"/>
    <col min="13064" max="13312" width="9.140625" style="286"/>
    <col min="13313" max="13313" width="4.42578125" style="286" customWidth="1"/>
    <col min="13314" max="13314" width="60.140625" style="286" customWidth="1"/>
    <col min="13315" max="13315" width="11.5703125" style="286" customWidth="1"/>
    <col min="13316" max="13316" width="22.85546875" style="286" customWidth="1"/>
    <col min="13317" max="13317" width="14.7109375" style="286" customWidth="1"/>
    <col min="13318" max="13318" width="51.85546875" style="286" customWidth="1"/>
    <col min="13319" max="13319" width="9.7109375" style="286" bestFit="1" customWidth="1"/>
    <col min="13320" max="13568" width="9.140625" style="286"/>
    <col min="13569" max="13569" width="4.42578125" style="286" customWidth="1"/>
    <col min="13570" max="13570" width="60.140625" style="286" customWidth="1"/>
    <col min="13571" max="13571" width="11.5703125" style="286" customWidth="1"/>
    <col min="13572" max="13572" width="22.85546875" style="286" customWidth="1"/>
    <col min="13573" max="13573" width="14.7109375" style="286" customWidth="1"/>
    <col min="13574" max="13574" width="51.85546875" style="286" customWidth="1"/>
    <col min="13575" max="13575" width="9.7109375" style="286" bestFit="1" customWidth="1"/>
    <col min="13576" max="13824" width="9.140625" style="286"/>
    <col min="13825" max="13825" width="4.42578125" style="286" customWidth="1"/>
    <col min="13826" max="13826" width="60.140625" style="286" customWidth="1"/>
    <col min="13827" max="13827" width="11.5703125" style="286" customWidth="1"/>
    <col min="13828" max="13828" width="22.85546875" style="286" customWidth="1"/>
    <col min="13829" max="13829" width="14.7109375" style="286" customWidth="1"/>
    <col min="13830" max="13830" width="51.85546875" style="286" customWidth="1"/>
    <col min="13831" max="13831" width="9.7109375" style="286" bestFit="1" customWidth="1"/>
    <col min="13832" max="14080" width="9.140625" style="286"/>
    <col min="14081" max="14081" width="4.42578125" style="286" customWidth="1"/>
    <col min="14082" max="14082" width="60.140625" style="286" customWidth="1"/>
    <col min="14083" max="14083" width="11.5703125" style="286" customWidth="1"/>
    <col min="14084" max="14084" width="22.85546875" style="286" customWidth="1"/>
    <col min="14085" max="14085" width="14.7109375" style="286" customWidth="1"/>
    <col min="14086" max="14086" width="51.85546875" style="286" customWidth="1"/>
    <col min="14087" max="14087" width="9.7109375" style="286" bestFit="1" customWidth="1"/>
    <col min="14088" max="14336" width="9.140625" style="286"/>
    <col min="14337" max="14337" width="4.42578125" style="286" customWidth="1"/>
    <col min="14338" max="14338" width="60.140625" style="286" customWidth="1"/>
    <col min="14339" max="14339" width="11.5703125" style="286" customWidth="1"/>
    <col min="14340" max="14340" width="22.85546875" style="286" customWidth="1"/>
    <col min="14341" max="14341" width="14.7109375" style="286" customWidth="1"/>
    <col min="14342" max="14342" width="51.85546875" style="286" customWidth="1"/>
    <col min="14343" max="14343" width="9.7109375" style="286" bestFit="1" customWidth="1"/>
    <col min="14344" max="14592" width="9.140625" style="286"/>
    <col min="14593" max="14593" width="4.42578125" style="286" customWidth="1"/>
    <col min="14594" max="14594" width="60.140625" style="286" customWidth="1"/>
    <col min="14595" max="14595" width="11.5703125" style="286" customWidth="1"/>
    <col min="14596" max="14596" width="22.85546875" style="286" customWidth="1"/>
    <col min="14597" max="14597" width="14.7109375" style="286" customWidth="1"/>
    <col min="14598" max="14598" width="51.85546875" style="286" customWidth="1"/>
    <col min="14599" max="14599" width="9.7109375" style="286" bestFit="1" customWidth="1"/>
    <col min="14600" max="14848" width="9.140625" style="286"/>
    <col min="14849" max="14849" width="4.42578125" style="286" customWidth="1"/>
    <col min="14850" max="14850" width="60.140625" style="286" customWidth="1"/>
    <col min="14851" max="14851" width="11.5703125" style="286" customWidth="1"/>
    <col min="14852" max="14852" width="22.85546875" style="286" customWidth="1"/>
    <col min="14853" max="14853" width="14.7109375" style="286" customWidth="1"/>
    <col min="14854" max="14854" width="51.85546875" style="286" customWidth="1"/>
    <col min="14855" max="14855" width="9.7109375" style="286" bestFit="1" customWidth="1"/>
    <col min="14856" max="15104" width="9.140625" style="286"/>
    <col min="15105" max="15105" width="4.42578125" style="286" customWidth="1"/>
    <col min="15106" max="15106" width="60.140625" style="286" customWidth="1"/>
    <col min="15107" max="15107" width="11.5703125" style="286" customWidth="1"/>
    <col min="15108" max="15108" width="22.85546875" style="286" customWidth="1"/>
    <col min="15109" max="15109" width="14.7109375" style="286" customWidth="1"/>
    <col min="15110" max="15110" width="51.85546875" style="286" customWidth="1"/>
    <col min="15111" max="15111" width="9.7109375" style="286" bestFit="1" customWidth="1"/>
    <col min="15112" max="15360" width="9.140625" style="286"/>
    <col min="15361" max="15361" width="4.42578125" style="286" customWidth="1"/>
    <col min="15362" max="15362" width="60.140625" style="286" customWidth="1"/>
    <col min="15363" max="15363" width="11.5703125" style="286" customWidth="1"/>
    <col min="15364" max="15364" width="22.85546875" style="286" customWidth="1"/>
    <col min="15365" max="15365" width="14.7109375" style="286" customWidth="1"/>
    <col min="15366" max="15366" width="51.85546875" style="286" customWidth="1"/>
    <col min="15367" max="15367" width="9.7109375" style="286" bestFit="1" customWidth="1"/>
    <col min="15368" max="15616" width="9.140625" style="286"/>
    <col min="15617" max="15617" width="4.42578125" style="286" customWidth="1"/>
    <col min="15618" max="15618" width="60.140625" style="286" customWidth="1"/>
    <col min="15619" max="15619" width="11.5703125" style="286" customWidth="1"/>
    <col min="15620" max="15620" width="22.85546875" style="286" customWidth="1"/>
    <col min="15621" max="15621" width="14.7109375" style="286" customWidth="1"/>
    <col min="15622" max="15622" width="51.85546875" style="286" customWidth="1"/>
    <col min="15623" max="15623" width="9.7109375" style="286" bestFit="1" customWidth="1"/>
    <col min="15624" max="15872" width="9.140625" style="286"/>
    <col min="15873" max="15873" width="4.42578125" style="286" customWidth="1"/>
    <col min="15874" max="15874" width="60.140625" style="286" customWidth="1"/>
    <col min="15875" max="15875" width="11.5703125" style="286" customWidth="1"/>
    <col min="15876" max="15876" width="22.85546875" style="286" customWidth="1"/>
    <col min="15877" max="15877" width="14.7109375" style="286" customWidth="1"/>
    <col min="15878" max="15878" width="51.85546875" style="286" customWidth="1"/>
    <col min="15879" max="15879" width="9.7109375" style="286" bestFit="1" customWidth="1"/>
    <col min="15880" max="16128" width="9.140625" style="286"/>
    <col min="16129" max="16129" width="4.42578125" style="286" customWidth="1"/>
    <col min="16130" max="16130" width="60.140625" style="286" customWidth="1"/>
    <col min="16131" max="16131" width="11.5703125" style="286" customWidth="1"/>
    <col min="16132" max="16132" width="22.85546875" style="286" customWidth="1"/>
    <col min="16133" max="16133" width="14.7109375" style="286" customWidth="1"/>
    <col min="16134" max="16134" width="51.85546875" style="286" customWidth="1"/>
    <col min="16135" max="16135" width="9.7109375" style="286" bestFit="1" customWidth="1"/>
    <col min="16136" max="16384" width="9.140625" style="286"/>
  </cols>
  <sheetData>
    <row r="1" spans="1:4" x14ac:dyDescent="0.2">
      <c r="A1" s="691" t="s">
        <v>0</v>
      </c>
      <c r="B1" s="691"/>
      <c r="C1" s="691"/>
      <c r="D1" s="691"/>
    </row>
    <row r="4" spans="1:4" x14ac:dyDescent="0.2">
      <c r="A4" s="285"/>
    </row>
    <row r="5" spans="1:4" x14ac:dyDescent="0.2">
      <c r="A5" s="285"/>
    </row>
    <row r="6" spans="1:4" x14ac:dyDescent="0.2">
      <c r="C6" s="17" t="s">
        <v>118</v>
      </c>
      <c r="D6" s="16" t="s">
        <v>117</v>
      </c>
    </row>
    <row r="7" spans="1:4" x14ac:dyDescent="0.2">
      <c r="A7" s="692" t="s">
        <v>128</v>
      </c>
      <c r="B7" s="692"/>
      <c r="C7" s="692"/>
      <c r="D7" s="692"/>
    </row>
    <row r="8" spans="1:4" x14ac:dyDescent="0.2">
      <c r="A8" s="287" t="s">
        <v>1</v>
      </c>
      <c r="B8" s="288" t="s">
        <v>5</v>
      </c>
      <c r="C8" s="693">
        <v>41015</v>
      </c>
      <c r="D8" s="690"/>
    </row>
    <row r="9" spans="1:4" x14ac:dyDescent="0.2">
      <c r="A9" s="287" t="s">
        <v>2</v>
      </c>
      <c r="B9" s="288" t="s">
        <v>114</v>
      </c>
      <c r="C9" s="694" t="s">
        <v>115</v>
      </c>
      <c r="D9" s="694"/>
    </row>
    <row r="10" spans="1:4" x14ac:dyDescent="0.2">
      <c r="A10" s="287" t="s">
        <v>4</v>
      </c>
      <c r="B10" s="288" t="s">
        <v>6</v>
      </c>
      <c r="C10" s="693">
        <v>41641</v>
      </c>
      <c r="D10" s="690"/>
    </row>
    <row r="11" spans="1:4" x14ac:dyDescent="0.2">
      <c r="A11" s="287" t="s">
        <v>3</v>
      </c>
      <c r="B11" s="288" t="s">
        <v>7</v>
      </c>
      <c r="C11" s="689" t="s">
        <v>141</v>
      </c>
      <c r="D11" s="690"/>
    </row>
    <row r="13" spans="1:4" x14ac:dyDescent="0.2">
      <c r="A13" s="692" t="s">
        <v>8</v>
      </c>
      <c r="B13" s="692"/>
      <c r="C13" s="692"/>
      <c r="D13" s="692"/>
    </row>
    <row r="14" spans="1:4" x14ac:dyDescent="0.2">
      <c r="A14" s="695" t="s">
        <v>9</v>
      </c>
      <c r="B14" s="695"/>
      <c r="C14" s="689" t="s">
        <v>440</v>
      </c>
      <c r="D14" s="690"/>
    </row>
    <row r="15" spans="1:4" x14ac:dyDescent="0.2">
      <c r="A15" s="695" t="s">
        <v>129</v>
      </c>
      <c r="B15" s="695"/>
      <c r="C15" s="689" t="s">
        <v>142</v>
      </c>
      <c r="D15" s="690"/>
    </row>
    <row r="16" spans="1:4" x14ac:dyDescent="0.2">
      <c r="A16" s="695" t="s">
        <v>10</v>
      </c>
      <c r="B16" s="695"/>
      <c r="C16" s="690">
        <v>2</v>
      </c>
      <c r="D16" s="690"/>
    </row>
    <row r="17" spans="1:5" x14ac:dyDescent="0.2">
      <c r="A17" s="696" t="s">
        <v>253</v>
      </c>
      <c r="B17" s="697"/>
      <c r="C17" s="690" t="s">
        <v>254</v>
      </c>
      <c r="D17" s="690"/>
    </row>
    <row r="18" spans="1:5" x14ac:dyDescent="0.2">
      <c r="A18" s="290"/>
    </row>
    <row r="19" spans="1:5" x14ac:dyDescent="0.2">
      <c r="A19" s="691" t="s">
        <v>130</v>
      </c>
      <c r="B19" s="691"/>
      <c r="C19" s="691"/>
      <c r="D19" s="691"/>
    </row>
    <row r="20" spans="1:5" x14ac:dyDescent="0.2">
      <c r="A20" s="698" t="s">
        <v>11</v>
      </c>
      <c r="B20" s="698"/>
      <c r="C20" s="698"/>
      <c r="D20" s="698"/>
    </row>
    <row r="21" spans="1:5" x14ac:dyDescent="0.2">
      <c r="A21" s="699" t="s">
        <v>12</v>
      </c>
      <c r="B21" s="700"/>
      <c r="C21" s="700"/>
      <c r="D21" s="701"/>
    </row>
    <row r="22" spans="1:5" x14ac:dyDescent="0.2">
      <c r="A22" s="287">
        <v>1</v>
      </c>
      <c r="B22" s="288" t="s">
        <v>131</v>
      </c>
      <c r="C22" s="689" t="s">
        <v>145</v>
      </c>
      <c r="D22" s="690"/>
    </row>
    <row r="23" spans="1:5" x14ac:dyDescent="0.2">
      <c r="A23" s="287">
        <v>2</v>
      </c>
      <c r="B23" s="288" t="s">
        <v>14</v>
      </c>
      <c r="C23" s="634">
        <f>'REPACTUAÇÃO 2014'!F6</f>
        <v>950</v>
      </c>
      <c r="D23" s="634"/>
      <c r="E23" s="291">
        <v>714</v>
      </c>
    </row>
    <row r="24" spans="1:5" x14ac:dyDescent="0.2">
      <c r="A24" s="287">
        <v>3</v>
      </c>
      <c r="B24" s="288" t="s">
        <v>15</v>
      </c>
      <c r="C24" s="689" t="s">
        <v>146</v>
      </c>
      <c r="D24" s="690"/>
    </row>
    <row r="25" spans="1:5" x14ac:dyDescent="0.2">
      <c r="A25" s="287">
        <v>4</v>
      </c>
      <c r="B25" s="288" t="s">
        <v>16</v>
      </c>
      <c r="C25" s="703">
        <v>41671</v>
      </c>
      <c r="D25" s="704"/>
    </row>
    <row r="26" spans="1:5" x14ac:dyDescent="0.2">
      <c r="A26" s="292"/>
      <c r="B26" s="293"/>
      <c r="C26" s="637"/>
      <c r="D26" s="637"/>
    </row>
    <row r="27" spans="1:5" x14ac:dyDescent="0.2">
      <c r="A27" s="698" t="s">
        <v>96</v>
      </c>
      <c r="B27" s="698"/>
      <c r="C27" s="698"/>
      <c r="D27" s="698"/>
    </row>
    <row r="28" spans="1:5" x14ac:dyDescent="0.2">
      <c r="A28" s="294">
        <v>1</v>
      </c>
      <c r="B28" s="295" t="s">
        <v>17</v>
      </c>
      <c r="C28" s="9" t="s">
        <v>121</v>
      </c>
      <c r="D28" s="12" t="s">
        <v>98</v>
      </c>
    </row>
    <row r="29" spans="1:5" x14ac:dyDescent="0.2">
      <c r="A29" s="287" t="s">
        <v>1</v>
      </c>
      <c r="B29" s="288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287" t="s">
        <v>2</v>
      </c>
      <c r="B30" s="288" t="s">
        <v>438</v>
      </c>
      <c r="C30" s="298"/>
      <c r="D30" s="297">
        <f>'REPACTUAÇÃO 2014'!G6</f>
        <v>66</v>
      </c>
      <c r="E30" s="291">
        <v>62</v>
      </c>
    </row>
    <row r="31" spans="1:5" x14ac:dyDescent="0.2">
      <c r="A31" s="287" t="s">
        <v>4</v>
      </c>
      <c r="B31" s="288" t="s">
        <v>24</v>
      </c>
      <c r="C31" s="19"/>
      <c r="D31" s="13"/>
      <c r="E31" s="196"/>
    </row>
    <row r="32" spans="1:5" x14ac:dyDescent="0.2">
      <c r="A32" s="287" t="s">
        <v>3</v>
      </c>
      <c r="B32" s="288" t="s">
        <v>25</v>
      </c>
      <c r="C32" s="20"/>
      <c r="D32" s="13"/>
      <c r="E32" s="153"/>
    </row>
    <row r="33" spans="1:6" x14ac:dyDescent="0.2">
      <c r="A33" s="287" t="s">
        <v>18</v>
      </c>
      <c r="B33" s="288" t="s">
        <v>26</v>
      </c>
      <c r="C33" s="20"/>
      <c r="D33" s="13"/>
      <c r="E33" s="153"/>
    </row>
    <row r="34" spans="1:6" x14ac:dyDescent="0.2">
      <c r="A34" s="287" t="s">
        <v>19</v>
      </c>
      <c r="B34" s="288" t="s">
        <v>27</v>
      </c>
      <c r="C34" s="18"/>
      <c r="D34" s="13"/>
      <c r="E34" s="196"/>
    </row>
    <row r="35" spans="1:6" x14ac:dyDescent="0.2">
      <c r="A35" s="287" t="s">
        <v>20</v>
      </c>
      <c r="B35" s="288" t="s">
        <v>28</v>
      </c>
      <c r="C35" s="20"/>
      <c r="D35" s="13"/>
      <c r="E35" s="153"/>
    </row>
    <row r="36" spans="1:6" x14ac:dyDescent="0.2">
      <c r="A36" s="287" t="s">
        <v>21</v>
      </c>
      <c r="B36" s="288" t="s">
        <v>119</v>
      </c>
      <c r="C36" s="18"/>
      <c r="D36" s="13"/>
    </row>
    <row r="37" spans="1:6" x14ac:dyDescent="0.2">
      <c r="A37" s="287" t="s">
        <v>116</v>
      </c>
      <c r="B37" s="288" t="s">
        <v>122</v>
      </c>
      <c r="C37" s="18"/>
      <c r="D37" s="13">
        <f>ROUND(SUM(D32:D35)/23*7,2)</f>
        <v>0</v>
      </c>
    </row>
    <row r="38" spans="1:6" s="305" customFormat="1" x14ac:dyDescent="0.2">
      <c r="A38" s="299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705" t="s">
        <v>30</v>
      </c>
      <c r="B39" s="706"/>
      <c r="C39" s="18"/>
      <c r="D39" s="22">
        <f>ROUND(SUM(D29:D38),2)</f>
        <v>1052.9000000000001</v>
      </c>
    </row>
    <row r="41" spans="1:6" x14ac:dyDescent="0.2">
      <c r="A41" s="707" t="s">
        <v>99</v>
      </c>
      <c r="B41" s="708"/>
      <c r="C41" s="708"/>
      <c r="D41" s="709"/>
    </row>
    <row r="42" spans="1:6" x14ac:dyDescent="0.2">
      <c r="A42" s="294">
        <v>2</v>
      </c>
      <c r="B42" s="306" t="s">
        <v>31</v>
      </c>
      <c r="C42" s="9" t="s">
        <v>120</v>
      </c>
      <c r="D42" s="12" t="s">
        <v>98</v>
      </c>
    </row>
    <row r="43" spans="1:6" ht="13.5" customHeight="1" x14ac:dyDescent="0.2">
      <c r="A43" s="287" t="s">
        <v>1</v>
      </c>
      <c r="B43" s="307" t="s">
        <v>133</v>
      </c>
      <c r="C43" s="13">
        <v>2.85</v>
      </c>
      <c r="D43" s="13">
        <f>ROUND((C43*44)-(D29*6%),2)</f>
        <v>68.400000000000006</v>
      </c>
      <c r="E43" s="197"/>
    </row>
    <row r="44" spans="1:6" ht="13.5" customHeight="1" x14ac:dyDescent="0.2">
      <c r="A44" s="287" t="s">
        <v>2</v>
      </c>
      <c r="B44" s="308" t="s">
        <v>132</v>
      </c>
      <c r="C44" s="13">
        <f>'REPACTUAÇÃO 2014'!F32</f>
        <v>280</v>
      </c>
      <c r="D44" s="297">
        <f>C44-(C44*20%)</f>
        <v>224</v>
      </c>
      <c r="E44" s="309">
        <v>199.5</v>
      </c>
    </row>
    <row r="45" spans="1:6" ht="13.5" customHeight="1" x14ac:dyDescent="0.2">
      <c r="A45" s="287" t="s">
        <v>4</v>
      </c>
      <c r="B45" s="308" t="s">
        <v>374</v>
      </c>
      <c r="C45" s="13"/>
      <c r="D45" s="439">
        <f>'REPACTUAÇÃO 2014'!F19</f>
        <v>45</v>
      </c>
      <c r="E45" s="309">
        <v>31.8</v>
      </c>
    </row>
    <row r="46" spans="1:6" ht="13.5" customHeight="1" x14ac:dyDescent="0.2">
      <c r="A46" s="287" t="s">
        <v>3</v>
      </c>
      <c r="B46" s="308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287" t="s">
        <v>18</v>
      </c>
      <c r="B47" s="308" t="s">
        <v>375</v>
      </c>
      <c r="C47" s="13"/>
      <c r="D47" s="297">
        <f>'REPACTUAÇÃO 2014'!F23</f>
        <v>14.5</v>
      </c>
      <c r="E47" s="291">
        <v>10.85</v>
      </c>
    </row>
    <row r="48" spans="1:6" ht="13.5" customHeight="1" x14ac:dyDescent="0.2">
      <c r="A48" s="287" t="s">
        <v>19</v>
      </c>
      <c r="B48" s="308" t="s">
        <v>33</v>
      </c>
      <c r="C48" s="13"/>
      <c r="D48" s="297">
        <f>'REPACTUAÇÃO 2014'!F27</f>
        <v>14.5</v>
      </c>
      <c r="E48" s="291">
        <v>8.75</v>
      </c>
    </row>
    <row r="49" spans="1:5" ht="13.5" customHeight="1" x14ac:dyDescent="0.2">
      <c r="A49" s="705" t="s">
        <v>34</v>
      </c>
      <c r="B49" s="706"/>
      <c r="C49" s="10"/>
      <c r="D49" s="22">
        <f>ROUND(SUM(D43:D48),2)</f>
        <v>366.4</v>
      </c>
    </row>
    <row r="50" spans="1:5" ht="13.5" customHeight="1" x14ac:dyDescent="0.2">
      <c r="A50" s="310"/>
    </row>
    <row r="51" spans="1:5" ht="13.5" customHeight="1" x14ac:dyDescent="0.2">
      <c r="A51" s="707" t="s">
        <v>100</v>
      </c>
      <c r="B51" s="708"/>
      <c r="C51" s="708"/>
      <c r="D51" s="709"/>
    </row>
    <row r="52" spans="1:5" ht="13.5" customHeight="1" x14ac:dyDescent="0.2">
      <c r="A52" s="294">
        <v>3</v>
      </c>
      <c r="B52" s="306" t="s">
        <v>35</v>
      </c>
      <c r="C52" s="9" t="s">
        <v>97</v>
      </c>
      <c r="D52" s="12" t="s">
        <v>98</v>
      </c>
    </row>
    <row r="53" spans="1:5" x14ac:dyDescent="0.2">
      <c r="A53" s="287" t="s">
        <v>1</v>
      </c>
      <c r="B53" s="288" t="s">
        <v>36</v>
      </c>
      <c r="C53" s="23">
        <v>31.1</v>
      </c>
      <c r="D53" s="13">
        <f>ROUND(C53*$C$29,2)</f>
        <v>31.1</v>
      </c>
    </row>
    <row r="54" spans="1:5" x14ac:dyDescent="0.2">
      <c r="A54" s="287" t="s">
        <v>2</v>
      </c>
      <c r="B54" s="311" t="s">
        <v>37</v>
      </c>
      <c r="C54" s="312"/>
      <c r="D54" s="297">
        <f>'REPACTUAÇÃO 2014'!F30</f>
        <v>338.34</v>
      </c>
      <c r="E54" s="309">
        <v>245.59</v>
      </c>
    </row>
    <row r="55" spans="1:5" x14ac:dyDescent="0.2">
      <c r="A55" s="287" t="s">
        <v>4</v>
      </c>
      <c r="B55" s="288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287" t="s">
        <v>3</v>
      </c>
      <c r="B56" s="311" t="s">
        <v>251</v>
      </c>
      <c r="C56" s="13">
        <v>2.8</v>
      </c>
      <c r="D56" s="13">
        <f>C56</f>
        <v>2.8</v>
      </c>
      <c r="E56" s="313"/>
    </row>
    <row r="57" spans="1:5" x14ac:dyDescent="0.2">
      <c r="A57" s="705" t="s">
        <v>39</v>
      </c>
      <c r="B57" s="706"/>
      <c r="C57" s="10"/>
      <c r="D57" s="22">
        <f>ROUND(SUM(D53:D56),2)</f>
        <v>409.72</v>
      </c>
      <c r="E57" s="313"/>
    </row>
    <row r="59" spans="1:5" x14ac:dyDescent="0.2">
      <c r="A59" s="707" t="s">
        <v>101</v>
      </c>
      <c r="B59" s="708"/>
      <c r="C59" s="708"/>
      <c r="D59" s="709"/>
    </row>
    <row r="60" spans="1:5" x14ac:dyDescent="0.2">
      <c r="A60" s="702" t="s">
        <v>102</v>
      </c>
      <c r="B60" s="702"/>
      <c r="C60" s="9" t="s">
        <v>97</v>
      </c>
      <c r="D60" s="12" t="s">
        <v>98</v>
      </c>
    </row>
    <row r="61" spans="1:5" x14ac:dyDescent="0.2">
      <c r="A61" s="314" t="s">
        <v>1</v>
      </c>
      <c r="B61" s="311" t="s">
        <v>40</v>
      </c>
      <c r="C61" s="10">
        <v>0.2</v>
      </c>
      <c r="D61" s="13">
        <f>ROUND($D$39*C61,2)</f>
        <v>210.58</v>
      </c>
    </row>
    <row r="62" spans="1:5" x14ac:dyDescent="0.2">
      <c r="A62" s="314" t="s">
        <v>2</v>
      </c>
      <c r="B62" s="311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314" t="s">
        <v>4</v>
      </c>
      <c r="B63" s="311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314" t="s">
        <v>3</v>
      </c>
      <c r="B64" s="311" t="s">
        <v>42</v>
      </c>
      <c r="C64" s="10">
        <v>2E-3</v>
      </c>
      <c r="D64" s="13">
        <f t="shared" si="0"/>
        <v>2.11</v>
      </c>
    </row>
    <row r="65" spans="1:6" x14ac:dyDescent="0.2">
      <c r="A65" s="314" t="s">
        <v>18</v>
      </c>
      <c r="B65" s="311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314" t="s">
        <v>19</v>
      </c>
      <c r="B66" s="311" t="s">
        <v>44</v>
      </c>
      <c r="C66" s="10">
        <v>0.08</v>
      </c>
      <c r="D66" s="13">
        <f t="shared" si="0"/>
        <v>84.23</v>
      </c>
    </row>
    <row r="67" spans="1:6" x14ac:dyDescent="0.2">
      <c r="A67" s="314" t="s">
        <v>20</v>
      </c>
      <c r="B67" s="311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314" t="s">
        <v>21</v>
      </c>
      <c r="B68" s="311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705" t="s">
        <v>51</v>
      </c>
      <c r="B69" s="711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285"/>
      <c r="B70" s="285"/>
    </row>
    <row r="71" spans="1:6" x14ac:dyDescent="0.2">
      <c r="A71" s="702" t="s">
        <v>103</v>
      </c>
      <c r="B71" s="702"/>
      <c r="C71" s="9" t="s">
        <v>97</v>
      </c>
      <c r="D71" s="12" t="s">
        <v>98</v>
      </c>
      <c r="E71" s="285" t="s">
        <v>125</v>
      </c>
      <c r="F71" s="315">
        <v>1.5</v>
      </c>
    </row>
    <row r="72" spans="1:6" x14ac:dyDescent="0.2">
      <c r="A72" s="314" t="s">
        <v>1</v>
      </c>
      <c r="B72" s="311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314" t="s">
        <v>2</v>
      </c>
      <c r="B73" s="311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94" t="s">
        <v>49</v>
      </c>
      <c r="B74" s="694"/>
      <c r="C74" s="24">
        <f>SUM(C72:C73)</f>
        <v>0.1111</v>
      </c>
      <c r="D74" s="22">
        <f>ROUND(SUM(D72:D73),2)</f>
        <v>116.98</v>
      </c>
    </row>
    <row r="75" spans="1:6" x14ac:dyDescent="0.2">
      <c r="A75" s="314" t="s">
        <v>4</v>
      </c>
      <c r="B75" s="311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94" t="s">
        <v>46</v>
      </c>
      <c r="B76" s="694"/>
      <c r="C76" s="24">
        <f>C75+C74</f>
        <v>0.152</v>
      </c>
      <c r="D76" s="22">
        <f>ROUND(D75+D74,2)</f>
        <v>160.04</v>
      </c>
    </row>
    <row r="77" spans="1:6" x14ac:dyDescent="0.2">
      <c r="A77" s="285"/>
      <c r="B77" s="285"/>
      <c r="E77" s="316"/>
    </row>
    <row r="78" spans="1:6" x14ac:dyDescent="0.2">
      <c r="A78" s="699" t="s">
        <v>356</v>
      </c>
      <c r="B78" s="701"/>
      <c r="C78" s="9" t="s">
        <v>97</v>
      </c>
      <c r="D78" s="12" t="s">
        <v>98</v>
      </c>
    </row>
    <row r="79" spans="1:6" x14ac:dyDescent="0.2">
      <c r="A79" s="314" t="s">
        <v>1</v>
      </c>
      <c r="B79" s="311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314" t="s">
        <v>2</v>
      </c>
      <c r="B80" s="311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314" t="s">
        <v>4</v>
      </c>
      <c r="B81" s="311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287" t="s">
        <v>3</v>
      </c>
      <c r="B82" s="288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287" t="s">
        <v>18</v>
      </c>
      <c r="B83" s="288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287" t="s">
        <v>19</v>
      </c>
      <c r="B84" s="288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94" t="s">
        <v>46</v>
      </c>
      <c r="B85" s="694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16"/>
    </row>
    <row r="87" spans="1:5" x14ac:dyDescent="0.2">
      <c r="A87" s="699" t="s">
        <v>357</v>
      </c>
      <c r="B87" s="701"/>
      <c r="C87" s="9" t="s">
        <v>97</v>
      </c>
      <c r="D87" s="12" t="s">
        <v>98</v>
      </c>
      <c r="E87" s="316"/>
    </row>
    <row r="88" spans="1:5" x14ac:dyDescent="0.2">
      <c r="A88" s="287" t="s">
        <v>1</v>
      </c>
      <c r="B88" s="288" t="s">
        <v>58</v>
      </c>
      <c r="C88" s="10">
        <v>8.3299999999999999E-2</v>
      </c>
      <c r="D88" s="13">
        <f t="shared" ref="D88:D95" si="2">ROUND($D$39*C88,2)</f>
        <v>87.71</v>
      </c>
      <c r="E88" s="316"/>
    </row>
    <row r="89" spans="1:5" x14ac:dyDescent="0.2">
      <c r="A89" s="287" t="s">
        <v>2</v>
      </c>
      <c r="B89" s="288" t="s">
        <v>59</v>
      </c>
      <c r="C89" s="10">
        <v>5.5999999999999999E-3</v>
      </c>
      <c r="D89" s="13">
        <f t="shared" si="2"/>
        <v>5.9</v>
      </c>
    </row>
    <row r="90" spans="1:5" x14ac:dyDescent="0.2">
      <c r="A90" s="287" t="s">
        <v>4</v>
      </c>
      <c r="B90" s="311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287" t="s">
        <v>3</v>
      </c>
      <c r="B91" s="288" t="s">
        <v>60</v>
      </c>
      <c r="C91" s="10">
        <v>2.8E-3</v>
      </c>
      <c r="D91" s="13">
        <f t="shared" si="2"/>
        <v>2.95</v>
      </c>
    </row>
    <row r="92" spans="1:5" x14ac:dyDescent="0.2">
      <c r="A92" s="287" t="s">
        <v>18</v>
      </c>
      <c r="B92" s="288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287" t="s">
        <v>19</v>
      </c>
      <c r="B93" s="311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94" t="s">
        <v>49</v>
      </c>
      <c r="B94" s="694"/>
      <c r="C94" s="24">
        <f>SUM(C88:C93)</f>
        <v>9.3399999999999997E-2</v>
      </c>
      <c r="D94" s="22">
        <f t="shared" si="2"/>
        <v>98.34</v>
      </c>
    </row>
    <row r="95" spans="1:5" x14ac:dyDescent="0.2">
      <c r="A95" s="287" t="s">
        <v>20</v>
      </c>
      <c r="B95" s="288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94" t="s">
        <v>46</v>
      </c>
      <c r="B96" s="694"/>
      <c r="C96" s="24">
        <f>C95+C94</f>
        <v>0.1278</v>
      </c>
      <c r="D96" s="22">
        <f>ROUND(D95+D94,2)</f>
        <v>134.56</v>
      </c>
    </row>
    <row r="98" spans="1:5" x14ac:dyDescent="0.2">
      <c r="A98" s="698" t="s">
        <v>62</v>
      </c>
      <c r="B98" s="698"/>
      <c r="C98" s="698"/>
      <c r="D98" s="698"/>
    </row>
    <row r="99" spans="1:5" x14ac:dyDescent="0.2">
      <c r="A99" s="294">
        <v>4</v>
      </c>
      <c r="B99" s="702" t="s">
        <v>68</v>
      </c>
      <c r="C99" s="702"/>
      <c r="D99" s="12" t="s">
        <v>98</v>
      </c>
    </row>
    <row r="100" spans="1:5" x14ac:dyDescent="0.2">
      <c r="A100" s="287" t="s">
        <v>63</v>
      </c>
      <c r="B100" s="317" t="s">
        <v>69</v>
      </c>
      <c r="C100" s="318">
        <f>C76</f>
        <v>0.152</v>
      </c>
      <c r="D100" s="13">
        <f>ROUND($D$39*C100,2)</f>
        <v>160.04</v>
      </c>
      <c r="E100" s="316"/>
    </row>
    <row r="101" spans="1:5" x14ac:dyDescent="0.2">
      <c r="A101" s="287" t="s">
        <v>64</v>
      </c>
      <c r="B101" s="317" t="s">
        <v>126</v>
      </c>
      <c r="C101" s="318">
        <f>C69</f>
        <v>0.36799999999999999</v>
      </c>
      <c r="D101" s="13">
        <f>ROUND($D$39*C101,2)</f>
        <v>387.47</v>
      </c>
    </row>
    <row r="102" spans="1:5" x14ac:dyDescent="0.2">
      <c r="A102" s="314" t="s">
        <v>65</v>
      </c>
      <c r="B102" s="317" t="s">
        <v>70</v>
      </c>
      <c r="C102" s="318">
        <f>C85</f>
        <v>8.0500000000000002E-2</v>
      </c>
      <c r="D102" s="13">
        <f>ROUND($D$39*C102,2)</f>
        <v>84.76</v>
      </c>
    </row>
    <row r="103" spans="1:5" x14ac:dyDescent="0.2">
      <c r="A103" s="314" t="s">
        <v>66</v>
      </c>
      <c r="B103" s="317" t="s">
        <v>71</v>
      </c>
      <c r="C103" s="318">
        <f>C96</f>
        <v>0.1278</v>
      </c>
      <c r="D103" s="13">
        <f>ROUND($D$39*C103,2)</f>
        <v>134.56</v>
      </c>
    </row>
    <row r="104" spans="1:5" x14ac:dyDescent="0.2">
      <c r="A104" s="314" t="s">
        <v>67</v>
      </c>
      <c r="B104" s="317" t="s">
        <v>29</v>
      </c>
      <c r="C104" s="319"/>
      <c r="D104" s="13"/>
    </row>
    <row r="105" spans="1:5" x14ac:dyDescent="0.2">
      <c r="A105" s="287"/>
      <c r="B105" s="320" t="s">
        <v>46</v>
      </c>
      <c r="C105" s="32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2595.85</v>
      </c>
    </row>
    <row r="107" spans="1:5" x14ac:dyDescent="0.2">
      <c r="A107" s="294">
        <v>5</v>
      </c>
      <c r="B107" s="306" t="s">
        <v>72</v>
      </c>
      <c r="C107" s="9" t="s">
        <v>97</v>
      </c>
      <c r="D107" s="12" t="s">
        <v>98</v>
      </c>
      <c r="E107" s="316"/>
    </row>
    <row r="108" spans="1:5" x14ac:dyDescent="0.2">
      <c r="A108" s="287" t="s">
        <v>1</v>
      </c>
      <c r="B108" s="288" t="s">
        <v>73</v>
      </c>
      <c r="C108" s="10">
        <v>1.06E-2</v>
      </c>
      <c r="D108" s="13">
        <f>ROUND($D$106*C108,2)</f>
        <v>27.52</v>
      </c>
    </row>
    <row r="109" spans="1:5" x14ac:dyDescent="0.2">
      <c r="A109" s="287" t="s">
        <v>2</v>
      </c>
      <c r="B109" s="288" t="s">
        <v>74</v>
      </c>
      <c r="C109" s="10"/>
      <c r="D109" s="13"/>
      <c r="E109" s="313"/>
    </row>
    <row r="110" spans="1:5" x14ac:dyDescent="0.2">
      <c r="A110" s="322" t="s">
        <v>105</v>
      </c>
      <c r="B110" s="288" t="s">
        <v>75</v>
      </c>
      <c r="C110" s="10">
        <v>0</v>
      </c>
      <c r="D110" s="13">
        <v>0</v>
      </c>
    </row>
    <row r="111" spans="1:5" x14ac:dyDescent="0.2">
      <c r="A111" s="322" t="s">
        <v>106</v>
      </c>
      <c r="B111" s="288" t="s">
        <v>76</v>
      </c>
      <c r="C111" s="10">
        <v>0</v>
      </c>
      <c r="D111" s="13">
        <v>0</v>
      </c>
    </row>
    <row r="112" spans="1:5" x14ac:dyDescent="0.2">
      <c r="A112" s="322" t="s">
        <v>107</v>
      </c>
      <c r="B112" s="288" t="s">
        <v>77</v>
      </c>
      <c r="C112" s="10">
        <v>1.6500000000000001E-2</v>
      </c>
      <c r="D112" s="13">
        <f>ROUND($F$115*C112,2)</f>
        <v>50.15</v>
      </c>
    </row>
    <row r="113" spans="1:9" x14ac:dyDescent="0.2">
      <c r="A113" s="322" t="s">
        <v>108</v>
      </c>
      <c r="B113" s="288" t="s">
        <v>78</v>
      </c>
      <c r="C113" s="10">
        <v>7.5999999999999998E-2</v>
      </c>
      <c r="D113" s="13">
        <f>ROUND($F$115*C113,2)</f>
        <v>230.98</v>
      </c>
      <c r="F113" s="323">
        <f>SUM(C110:C114)</f>
        <v>0.13250000000000001</v>
      </c>
    </row>
    <row r="114" spans="1:9" x14ac:dyDescent="0.2">
      <c r="A114" s="322" t="s">
        <v>109</v>
      </c>
      <c r="B114" s="288" t="s">
        <v>79</v>
      </c>
      <c r="C114" s="131">
        <v>0.04</v>
      </c>
      <c r="D114" s="13">
        <f>ROUND($F$115*C114,2)</f>
        <v>121.57</v>
      </c>
      <c r="F114" s="324">
        <f>ROUND(D115+D108+D106,2)</f>
        <v>2636.49</v>
      </c>
    </row>
    <row r="115" spans="1:9" x14ac:dyDescent="0.2">
      <c r="A115" s="287" t="s">
        <v>4</v>
      </c>
      <c r="B115" s="288" t="s">
        <v>80</v>
      </c>
      <c r="C115" s="10">
        <v>5.0000000000000001E-3</v>
      </c>
      <c r="D115" s="13">
        <f>ROUND(($D$106+D108)*C115,2)</f>
        <v>13.12</v>
      </c>
      <c r="F115" s="41">
        <f>ROUND(F114/(1-F113),2)</f>
        <v>3039.18</v>
      </c>
    </row>
    <row r="116" spans="1:9" x14ac:dyDescent="0.2">
      <c r="A116" s="705" t="s">
        <v>46</v>
      </c>
      <c r="B116" s="710"/>
      <c r="C116" s="706"/>
      <c r="D116" s="22">
        <f>ROUND(SUM(D108:D115),2)</f>
        <v>443.34</v>
      </c>
    </row>
    <row r="117" spans="1:9" x14ac:dyDescent="0.2">
      <c r="D117" s="28"/>
    </row>
    <row r="118" spans="1:9" x14ac:dyDescent="0.2">
      <c r="A118" s="698" t="s">
        <v>81</v>
      </c>
      <c r="B118" s="698"/>
      <c r="C118" s="698"/>
      <c r="D118" s="698"/>
    </row>
    <row r="119" spans="1:9" x14ac:dyDescent="0.2">
      <c r="A119" s="694" t="s">
        <v>82</v>
      </c>
      <c r="B119" s="694"/>
      <c r="C119" s="694"/>
      <c r="D119" s="694"/>
    </row>
    <row r="120" spans="1:9" x14ac:dyDescent="0.2">
      <c r="A120" s="287" t="s">
        <v>1</v>
      </c>
      <c r="B120" s="695" t="s">
        <v>83</v>
      </c>
      <c r="C120" s="695"/>
      <c r="D120" s="13">
        <f>D39</f>
        <v>1052.9000000000001</v>
      </c>
    </row>
    <row r="121" spans="1:9" x14ac:dyDescent="0.2">
      <c r="A121" s="287" t="s">
        <v>2</v>
      </c>
      <c r="B121" s="695" t="s">
        <v>84</v>
      </c>
      <c r="C121" s="695"/>
      <c r="D121" s="13">
        <f>D49</f>
        <v>366.4</v>
      </c>
    </row>
    <row r="122" spans="1:9" x14ac:dyDescent="0.2">
      <c r="A122" s="287" t="s">
        <v>4</v>
      </c>
      <c r="B122" s="695" t="s">
        <v>85</v>
      </c>
      <c r="C122" s="695"/>
      <c r="D122" s="13">
        <f>D57</f>
        <v>409.72</v>
      </c>
    </row>
    <row r="123" spans="1:9" x14ac:dyDescent="0.2">
      <c r="A123" s="287" t="s">
        <v>3</v>
      </c>
      <c r="B123" s="695" t="s">
        <v>127</v>
      </c>
      <c r="C123" s="695"/>
      <c r="D123" s="13">
        <f>D105</f>
        <v>766.83</v>
      </c>
    </row>
    <row r="124" spans="1:9" x14ac:dyDescent="0.2">
      <c r="A124" s="694" t="s">
        <v>49</v>
      </c>
      <c r="B124" s="694"/>
      <c r="C124" s="694"/>
      <c r="D124" s="22">
        <f>ROUND(SUM(D120:D123),2)</f>
        <v>2595.85</v>
      </c>
    </row>
    <row r="125" spans="1:9" ht="18.75" x14ac:dyDescent="0.3">
      <c r="A125" s="287" t="s">
        <v>18</v>
      </c>
      <c r="B125" s="712" t="s">
        <v>86</v>
      </c>
      <c r="C125" s="712"/>
      <c r="D125" s="13">
        <f>D116</f>
        <v>443.34</v>
      </c>
      <c r="F125" s="325"/>
      <c r="G125" s="285"/>
      <c r="H125" s="285"/>
    </row>
    <row r="126" spans="1:9" ht="18.75" x14ac:dyDescent="0.3">
      <c r="A126" s="694" t="s">
        <v>87</v>
      </c>
      <c r="B126" s="694"/>
      <c r="C126" s="694"/>
      <c r="D126" s="22">
        <f>ROUND(D125+D124,2)</f>
        <v>3039.19</v>
      </c>
      <c r="F126" s="325"/>
    </row>
    <row r="127" spans="1:9" ht="18.75" x14ac:dyDescent="0.3">
      <c r="F127" s="325"/>
    </row>
    <row r="128" spans="1:9" ht="18.75" x14ac:dyDescent="0.3">
      <c r="A128" s="692" t="s">
        <v>110</v>
      </c>
      <c r="B128" s="692"/>
      <c r="C128" s="692"/>
      <c r="D128" s="692"/>
      <c r="F128" s="325"/>
      <c r="I128" s="285"/>
    </row>
    <row r="129" spans="1:9" ht="18.75" x14ac:dyDescent="0.3">
      <c r="A129" s="695" t="s">
        <v>13</v>
      </c>
      <c r="B129" s="695"/>
      <c r="C129" s="695"/>
      <c r="D129" s="13"/>
      <c r="F129" s="325"/>
      <c r="I129" s="285"/>
    </row>
    <row r="130" spans="1:9" ht="18.75" x14ac:dyDescent="0.3">
      <c r="A130" s="695" t="s">
        <v>88</v>
      </c>
      <c r="B130" s="695"/>
      <c r="C130" s="695"/>
      <c r="D130" s="13">
        <f>D126</f>
        <v>3039.19</v>
      </c>
      <c r="E130" s="200"/>
      <c r="F130" s="325"/>
      <c r="I130" s="285"/>
    </row>
    <row r="131" spans="1:9" ht="18.75" x14ac:dyDescent="0.3">
      <c r="A131" s="695" t="s">
        <v>89</v>
      </c>
      <c r="B131" s="695"/>
      <c r="C131" s="695"/>
      <c r="D131" s="13">
        <v>1</v>
      </c>
      <c r="E131" s="200"/>
      <c r="F131" s="325"/>
      <c r="I131" s="285"/>
    </row>
    <row r="132" spans="1:9" ht="18.75" x14ac:dyDescent="0.3">
      <c r="A132" s="695" t="s">
        <v>90</v>
      </c>
      <c r="B132" s="695"/>
      <c r="C132" s="695"/>
      <c r="D132" s="13">
        <f>ROUND(D131*D130,2)</f>
        <v>3039.19</v>
      </c>
      <c r="E132" s="200"/>
      <c r="F132" s="325"/>
      <c r="I132" s="285"/>
    </row>
    <row r="133" spans="1:9" ht="18.75" x14ac:dyDescent="0.3">
      <c r="A133" s="695" t="s">
        <v>91</v>
      </c>
      <c r="B133" s="695"/>
      <c r="C133" s="695"/>
      <c r="D133" s="13">
        <f>1+1</f>
        <v>2</v>
      </c>
      <c r="E133" s="200"/>
      <c r="F133" s="325"/>
      <c r="I133" s="285"/>
    </row>
    <row r="134" spans="1:9" ht="18.75" x14ac:dyDescent="0.3">
      <c r="A134" s="702" t="s">
        <v>92</v>
      </c>
      <c r="B134" s="702"/>
      <c r="C134" s="702"/>
      <c r="D134" s="22">
        <f>ROUND(D133*D132,2)</f>
        <v>6078.38</v>
      </c>
      <c r="E134" s="200"/>
      <c r="F134" s="325"/>
    </row>
    <row r="135" spans="1:9" ht="18.75" x14ac:dyDescent="0.3">
      <c r="E135" s="200"/>
      <c r="F135" s="325"/>
    </row>
    <row r="136" spans="1:9" ht="18.75" x14ac:dyDescent="0.3">
      <c r="A136" s="692" t="s">
        <v>111</v>
      </c>
      <c r="B136" s="692"/>
      <c r="C136" s="692"/>
      <c r="D136" s="692"/>
      <c r="F136" s="325"/>
    </row>
    <row r="137" spans="1:9" x14ac:dyDescent="0.2">
      <c r="A137" s="287" t="s">
        <v>1</v>
      </c>
      <c r="B137" s="695" t="s">
        <v>93</v>
      </c>
      <c r="C137" s="695"/>
      <c r="D137" s="297">
        <f>D130</f>
        <v>3039.19</v>
      </c>
      <c r="E137" s="291">
        <v>2279.4299999999998</v>
      </c>
    </row>
    <row r="138" spans="1:9" x14ac:dyDescent="0.2">
      <c r="A138" s="287" t="s">
        <v>2</v>
      </c>
      <c r="B138" s="695" t="s">
        <v>94</v>
      </c>
      <c r="C138" s="695"/>
      <c r="D138" s="13">
        <f>D134</f>
        <v>6078.38</v>
      </c>
    </row>
    <row r="139" spans="1:9" x14ac:dyDescent="0.2">
      <c r="A139" s="294" t="s">
        <v>4</v>
      </c>
      <c r="B139" s="702" t="s">
        <v>95</v>
      </c>
      <c r="C139" s="702"/>
      <c r="D139" s="22">
        <f>ROUND(D138*12,2)</f>
        <v>72940.56</v>
      </c>
      <c r="F139" s="326"/>
    </row>
    <row r="140" spans="1:9" x14ac:dyDescent="0.2">
      <c r="A140" s="310"/>
      <c r="F140" s="327"/>
    </row>
    <row r="141" spans="1:9" x14ac:dyDescent="0.2">
      <c r="A141" s="310"/>
    </row>
    <row r="142" spans="1:9" x14ac:dyDescent="0.2">
      <c r="A142" s="714" t="s">
        <v>522</v>
      </c>
      <c r="B142" s="715"/>
    </row>
    <row r="143" spans="1:9" x14ac:dyDescent="0.2">
      <c r="A143" s="310"/>
      <c r="F143" s="326"/>
    </row>
    <row r="144" spans="1:9" x14ac:dyDescent="0.2">
      <c r="A144" s="310"/>
      <c r="F144" s="326"/>
      <c r="G144" s="328"/>
    </row>
    <row r="145" spans="1:8" x14ac:dyDescent="0.2">
      <c r="A145" s="716" t="s">
        <v>381</v>
      </c>
      <c r="B145" s="716"/>
      <c r="F145" s="326"/>
      <c r="G145" s="29"/>
    </row>
    <row r="146" spans="1:8" x14ac:dyDescent="0.2">
      <c r="A146" s="713" t="s">
        <v>379</v>
      </c>
      <c r="B146" s="713"/>
      <c r="F146" s="326"/>
    </row>
    <row r="147" spans="1:8" x14ac:dyDescent="0.2">
      <c r="A147" s="713" t="s">
        <v>380</v>
      </c>
      <c r="B147" s="713"/>
      <c r="F147" s="326"/>
    </row>
    <row r="148" spans="1:8" x14ac:dyDescent="0.2">
      <c r="F148" s="329"/>
      <c r="H148" s="285"/>
    </row>
    <row r="149" spans="1:8" x14ac:dyDescent="0.2">
      <c r="F149" s="326"/>
    </row>
    <row r="150" spans="1:8" x14ac:dyDescent="0.2">
      <c r="F150" s="326"/>
    </row>
    <row r="151" spans="1:8" x14ac:dyDescent="0.2">
      <c r="F151" s="326"/>
    </row>
    <row r="152" spans="1:8" x14ac:dyDescent="0.2">
      <c r="F152" s="326"/>
    </row>
    <row r="153" spans="1:8" x14ac:dyDescent="0.2">
      <c r="F153" s="326"/>
    </row>
    <row r="154" spans="1:8" x14ac:dyDescent="0.2">
      <c r="F154" s="326"/>
    </row>
    <row r="155" spans="1:8" x14ac:dyDescent="0.2">
      <c r="F155" s="326"/>
    </row>
    <row r="156" spans="1:8" x14ac:dyDescent="0.2">
      <c r="F156" s="329"/>
    </row>
    <row r="157" spans="1:8" x14ac:dyDescent="0.2">
      <c r="F157" s="326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7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205" customWidth="1"/>
    <col min="4" max="4" width="22.85546875" style="206" customWidth="1"/>
    <col min="5" max="5" width="14.7109375" style="330" hidden="1" customWidth="1"/>
    <col min="6" max="6" width="9.28515625" style="333" bestFit="1" customWidth="1"/>
    <col min="7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 t="s">
        <v>143</v>
      </c>
    </row>
    <row r="5" spans="1:4" x14ac:dyDescent="0.2">
      <c r="A5" s="3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488" t="s">
        <v>1</v>
      </c>
      <c r="B8" s="332" t="s">
        <v>5</v>
      </c>
      <c r="C8" s="720"/>
      <c r="D8" s="719"/>
    </row>
    <row r="9" spans="1:4" x14ac:dyDescent="0.2">
      <c r="A9" s="488" t="s">
        <v>2</v>
      </c>
      <c r="B9" s="332" t="s">
        <v>114</v>
      </c>
      <c r="C9" s="721" t="s">
        <v>538</v>
      </c>
      <c r="D9" s="721"/>
    </row>
    <row r="10" spans="1:4" x14ac:dyDescent="0.2">
      <c r="A10" s="488" t="s">
        <v>4</v>
      </c>
      <c r="B10" s="332" t="s">
        <v>6</v>
      </c>
      <c r="C10" s="720">
        <v>40909</v>
      </c>
      <c r="D10" s="719"/>
    </row>
    <row r="11" spans="1:4" x14ac:dyDescent="0.2">
      <c r="A11" s="488" t="s">
        <v>3</v>
      </c>
      <c r="B11" s="332" t="s">
        <v>7</v>
      </c>
      <c r="C11" s="718" t="s">
        <v>141</v>
      </c>
      <c r="D11" s="719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718" t="s">
        <v>113</v>
      </c>
      <c r="D14" s="719"/>
    </row>
    <row r="15" spans="1:4" x14ac:dyDescent="0.2">
      <c r="A15" s="626" t="s">
        <v>129</v>
      </c>
      <c r="B15" s="626"/>
      <c r="C15" s="718" t="s">
        <v>142</v>
      </c>
      <c r="D15" s="719"/>
    </row>
    <row r="16" spans="1:4" x14ac:dyDescent="0.2">
      <c r="A16" s="626" t="s">
        <v>10</v>
      </c>
      <c r="B16" s="626"/>
      <c r="C16" s="719">
        <v>3</v>
      </c>
      <c r="D16" s="719"/>
    </row>
    <row r="17" spans="1:5" x14ac:dyDescent="0.2">
      <c r="A17" s="627" t="s">
        <v>253</v>
      </c>
      <c r="B17" s="628"/>
      <c r="C17" s="719" t="s">
        <v>254</v>
      </c>
      <c r="D17" s="719"/>
    </row>
    <row r="18" spans="1:5" x14ac:dyDescent="0.2">
      <c r="A18" s="491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488">
        <v>1</v>
      </c>
      <c r="B22" s="332" t="s">
        <v>131</v>
      </c>
      <c r="C22" s="718" t="s">
        <v>145</v>
      </c>
      <c r="D22" s="719"/>
    </row>
    <row r="23" spans="1:5" x14ac:dyDescent="0.2">
      <c r="A23" s="488">
        <v>2</v>
      </c>
      <c r="B23" s="332" t="s">
        <v>14</v>
      </c>
      <c r="C23" s="634">
        <f>'REPACTUAÇÃO 2014'!F5</f>
        <v>950</v>
      </c>
      <c r="D23" s="634"/>
      <c r="E23" s="303">
        <v>714</v>
      </c>
    </row>
    <row r="24" spans="1:5" x14ac:dyDescent="0.2">
      <c r="A24" s="488">
        <v>3</v>
      </c>
      <c r="B24" s="332" t="s">
        <v>15</v>
      </c>
      <c r="C24" s="620" t="s">
        <v>146</v>
      </c>
      <c r="D24" s="621"/>
    </row>
    <row r="25" spans="1:5" x14ac:dyDescent="0.2">
      <c r="A25" s="488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717"/>
      <c r="D26" s="71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489">
        <v>1</v>
      </c>
      <c r="B28" s="338" t="s">
        <v>17</v>
      </c>
      <c r="C28" s="209" t="s">
        <v>121</v>
      </c>
      <c r="D28" s="210" t="s">
        <v>98</v>
      </c>
    </row>
    <row r="29" spans="1:5" x14ac:dyDescent="0.2">
      <c r="A29" s="488" t="s">
        <v>1</v>
      </c>
      <c r="B29" s="332" t="s">
        <v>22</v>
      </c>
      <c r="C29" s="296">
        <v>1</v>
      </c>
      <c r="D29" s="297">
        <v>860</v>
      </c>
      <c r="E29" s="203">
        <v>714</v>
      </c>
    </row>
    <row r="30" spans="1:5" x14ac:dyDescent="0.2">
      <c r="A30" s="488" t="s">
        <v>2</v>
      </c>
      <c r="B30" s="332" t="s">
        <v>23</v>
      </c>
      <c r="C30" s="213"/>
      <c r="D30" s="212"/>
    </row>
    <row r="31" spans="1:5" x14ac:dyDescent="0.2">
      <c r="A31" s="488" t="s">
        <v>4</v>
      </c>
      <c r="B31" s="332" t="s">
        <v>24</v>
      </c>
      <c r="C31" s="213"/>
      <c r="D31" s="212"/>
      <c r="E31" s="196"/>
    </row>
    <row r="32" spans="1:5" x14ac:dyDescent="0.2">
      <c r="A32" s="488" t="s">
        <v>3</v>
      </c>
      <c r="B32" s="332" t="s">
        <v>25</v>
      </c>
      <c r="C32" s="214"/>
      <c r="D32" s="212"/>
      <c r="E32" s="153"/>
    </row>
    <row r="33" spans="1:5" x14ac:dyDescent="0.2">
      <c r="A33" s="488" t="s">
        <v>18</v>
      </c>
      <c r="B33" s="332" t="s">
        <v>26</v>
      </c>
      <c r="C33" s="214"/>
      <c r="D33" s="212"/>
      <c r="E33" s="153"/>
    </row>
    <row r="34" spans="1:5" x14ac:dyDescent="0.2">
      <c r="A34" s="488" t="s">
        <v>19</v>
      </c>
      <c r="B34" s="332" t="s">
        <v>27</v>
      </c>
      <c r="C34" s="211"/>
      <c r="D34" s="212"/>
      <c r="E34" s="196"/>
    </row>
    <row r="35" spans="1:5" x14ac:dyDescent="0.2">
      <c r="A35" s="488" t="s">
        <v>20</v>
      </c>
      <c r="B35" s="332" t="s">
        <v>28</v>
      </c>
      <c r="C35" s="214"/>
      <c r="D35" s="212"/>
      <c r="E35" s="153"/>
    </row>
    <row r="36" spans="1:5" x14ac:dyDescent="0.2">
      <c r="A36" s="488" t="s">
        <v>21</v>
      </c>
      <c r="B36" s="332" t="s">
        <v>119</v>
      </c>
      <c r="C36" s="211"/>
      <c r="D36" s="212"/>
    </row>
    <row r="37" spans="1:5" x14ac:dyDescent="0.2">
      <c r="A37" s="488" t="s">
        <v>116</v>
      </c>
      <c r="B37" s="332" t="s">
        <v>122</v>
      </c>
      <c r="C37" s="211"/>
      <c r="D37" s="212">
        <f>ROUND(SUM(D32:D35)/23*7,2)</f>
        <v>0</v>
      </c>
    </row>
    <row r="38" spans="1:5" x14ac:dyDescent="0.2">
      <c r="A38" s="487" t="s">
        <v>487</v>
      </c>
      <c r="B38" s="300" t="s">
        <v>488</v>
      </c>
      <c r="C38" s="301"/>
      <c r="D38" s="302">
        <f>D29*3.6316%</f>
        <v>31.23</v>
      </c>
      <c r="E38" s="303" t="s">
        <v>489</v>
      </c>
    </row>
    <row r="39" spans="1:5" x14ac:dyDescent="0.2">
      <c r="A39" s="638" t="s">
        <v>30</v>
      </c>
      <c r="B39" s="639"/>
      <c r="C39" s="18"/>
      <c r="D39" s="22">
        <f>ROUND(SUM(D29:D38),2)</f>
        <v>891.23</v>
      </c>
    </row>
    <row r="41" spans="1:5" x14ac:dyDescent="0.2">
      <c r="A41" s="640" t="s">
        <v>99</v>
      </c>
      <c r="B41" s="641"/>
      <c r="C41" s="641"/>
      <c r="D41" s="642"/>
    </row>
    <row r="42" spans="1:5" x14ac:dyDescent="0.2">
      <c r="A42" s="489">
        <v>2</v>
      </c>
      <c r="B42" s="339" t="s">
        <v>31</v>
      </c>
      <c r="C42" s="209" t="s">
        <v>120</v>
      </c>
      <c r="D42" s="210" t="s">
        <v>98</v>
      </c>
    </row>
    <row r="43" spans="1:5" ht="13.5" customHeight="1" x14ac:dyDescent="0.2">
      <c r="A43" s="488" t="s">
        <v>1</v>
      </c>
      <c r="B43" s="340" t="s">
        <v>133</v>
      </c>
      <c r="C43" s="212">
        <v>2.7</v>
      </c>
      <c r="D43" s="212">
        <f>ROUND((C43*44)-(D29*6%),2)</f>
        <v>67.2</v>
      </c>
      <c r="E43" s="197"/>
    </row>
    <row r="44" spans="1:5" ht="13.5" customHeight="1" x14ac:dyDescent="0.2">
      <c r="A44" s="488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5" ht="13.5" customHeight="1" x14ac:dyDescent="0.2">
      <c r="A45" s="488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5" ht="13.5" customHeight="1" x14ac:dyDescent="0.2">
      <c r="A46" s="488" t="s">
        <v>3</v>
      </c>
      <c r="B46" s="341" t="s">
        <v>32</v>
      </c>
      <c r="C46" s="13">
        <v>0</v>
      </c>
      <c r="D46" s="13">
        <f>ROUND(C46*$C$29,2)</f>
        <v>0</v>
      </c>
    </row>
    <row r="47" spans="1:5" ht="13.5" customHeight="1" x14ac:dyDescent="0.2">
      <c r="A47" s="488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5" ht="13.5" customHeight="1" x14ac:dyDescent="0.2">
      <c r="A48" s="488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216"/>
      <c r="D49" s="215">
        <f>ROUND(SUM(D43:D48),2)</f>
        <v>365.2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489">
        <v>3</v>
      </c>
      <c r="B52" s="339" t="s">
        <v>35</v>
      </c>
      <c r="C52" s="209" t="s">
        <v>97</v>
      </c>
      <c r="D52" s="210" t="s">
        <v>98</v>
      </c>
    </row>
    <row r="53" spans="1:5" x14ac:dyDescent="0.2">
      <c r="A53" s="488" t="s">
        <v>1</v>
      </c>
      <c r="B53" s="332" t="s">
        <v>36</v>
      </c>
      <c r="C53" s="217">
        <v>31.1</v>
      </c>
      <c r="D53" s="212">
        <f>ROUND(C53*$C$29,2)</f>
        <v>31.1</v>
      </c>
    </row>
    <row r="54" spans="1:5" x14ac:dyDescent="0.2">
      <c r="A54" s="488" t="s">
        <v>2</v>
      </c>
      <c r="B54" s="300" t="s">
        <v>37</v>
      </c>
      <c r="C54" s="312"/>
      <c r="D54" s="297">
        <f>'REPACTUAÇÃO 2014'!F30</f>
        <v>338.34</v>
      </c>
      <c r="E54" s="342">
        <v>255.48</v>
      </c>
    </row>
    <row r="55" spans="1:5" x14ac:dyDescent="0.2">
      <c r="A55" s="488" t="s">
        <v>4</v>
      </c>
      <c r="B55" s="332" t="s">
        <v>38</v>
      </c>
      <c r="C55" s="217">
        <f>[1]Equipamentos!D14</f>
        <v>37.479999999999997</v>
      </c>
      <c r="D55" s="212">
        <f>ROUND(C55*$C$29,2)</f>
        <v>37.479999999999997</v>
      </c>
    </row>
    <row r="56" spans="1:5" x14ac:dyDescent="0.2">
      <c r="A56" s="488" t="s">
        <v>3</v>
      </c>
      <c r="B56" s="300" t="s">
        <v>251</v>
      </c>
      <c r="C56" s="212">
        <f>'[1]Epi''s'!E6</f>
        <v>2.8</v>
      </c>
      <c r="D56" s="212">
        <f>C56</f>
        <v>2.8</v>
      </c>
      <c r="E56" s="344"/>
    </row>
    <row r="57" spans="1:5" x14ac:dyDescent="0.2">
      <c r="A57" s="638" t="s">
        <v>39</v>
      </c>
      <c r="B57" s="639"/>
      <c r="C57" s="216"/>
      <c r="D57" s="215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209" t="s">
        <v>97</v>
      </c>
      <c r="D60" s="210" t="s">
        <v>98</v>
      </c>
    </row>
    <row r="61" spans="1:5" x14ac:dyDescent="0.2">
      <c r="A61" s="487" t="s">
        <v>1</v>
      </c>
      <c r="B61" s="300" t="s">
        <v>40</v>
      </c>
      <c r="C61" s="216">
        <v>0.2</v>
      </c>
      <c r="D61" s="212">
        <f>ROUND($D$39*C61,2)</f>
        <v>178.25</v>
      </c>
    </row>
    <row r="62" spans="1:5" x14ac:dyDescent="0.2">
      <c r="A62" s="487" t="s">
        <v>2</v>
      </c>
      <c r="B62" s="300" t="s">
        <v>41</v>
      </c>
      <c r="C62" s="216">
        <v>1.4999999999999999E-2</v>
      </c>
      <c r="D62" s="212">
        <f>ROUND($D$39*C62,2)</f>
        <v>13.37</v>
      </c>
    </row>
    <row r="63" spans="1:5" x14ac:dyDescent="0.2">
      <c r="A63" s="487" t="s">
        <v>4</v>
      </c>
      <c r="B63" s="300" t="s">
        <v>123</v>
      </c>
      <c r="C63" s="216">
        <v>0.01</v>
      </c>
      <c r="D63" s="212">
        <f t="shared" ref="D63:D68" si="0">ROUND($D$39*C63,2)</f>
        <v>8.91</v>
      </c>
    </row>
    <row r="64" spans="1:5" x14ac:dyDescent="0.2">
      <c r="A64" s="487" t="s">
        <v>3</v>
      </c>
      <c r="B64" s="300" t="s">
        <v>42</v>
      </c>
      <c r="C64" s="216">
        <v>2E-3</v>
      </c>
      <c r="D64" s="212">
        <f t="shared" si="0"/>
        <v>1.78</v>
      </c>
    </row>
    <row r="65" spans="1:6" x14ac:dyDescent="0.2">
      <c r="A65" s="487" t="s">
        <v>18</v>
      </c>
      <c r="B65" s="300" t="s">
        <v>43</v>
      </c>
      <c r="C65" s="216">
        <v>2.5000000000000001E-2</v>
      </c>
      <c r="D65" s="212">
        <f t="shared" si="0"/>
        <v>22.28</v>
      </c>
    </row>
    <row r="66" spans="1:6" x14ac:dyDescent="0.2">
      <c r="A66" s="487" t="s">
        <v>19</v>
      </c>
      <c r="B66" s="300" t="s">
        <v>44</v>
      </c>
      <c r="C66" s="216">
        <v>0.08</v>
      </c>
      <c r="D66" s="212">
        <f t="shared" si="0"/>
        <v>71.3</v>
      </c>
    </row>
    <row r="67" spans="1:6" x14ac:dyDescent="0.2">
      <c r="A67" s="487" t="s">
        <v>20</v>
      </c>
      <c r="B67" s="300" t="s">
        <v>124</v>
      </c>
      <c r="C67" s="216">
        <f>2%*F71</f>
        <v>0.03</v>
      </c>
      <c r="D67" s="212">
        <f t="shared" si="0"/>
        <v>26.74</v>
      </c>
    </row>
    <row r="68" spans="1:6" x14ac:dyDescent="0.2">
      <c r="A68" s="487" t="s">
        <v>21</v>
      </c>
      <c r="B68" s="300" t="s">
        <v>45</v>
      </c>
      <c r="C68" s="216">
        <v>6.0000000000000001E-3</v>
      </c>
      <c r="D68" s="212">
        <f t="shared" si="0"/>
        <v>5.35</v>
      </c>
    </row>
    <row r="69" spans="1:6" x14ac:dyDescent="0.2">
      <c r="A69" s="638" t="s">
        <v>51</v>
      </c>
      <c r="B69" s="644"/>
      <c r="C69" s="218">
        <f>SUM(C61:C68)</f>
        <v>0.36799999999999999</v>
      </c>
      <c r="D69" s="215">
        <f>ROUND(SUM(D61:D68),2)</f>
        <v>327.98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209" t="s">
        <v>97</v>
      </c>
      <c r="D71" s="210" t="s">
        <v>98</v>
      </c>
      <c r="E71" s="330" t="s">
        <v>125</v>
      </c>
      <c r="F71" s="345">
        <v>1.5</v>
      </c>
    </row>
    <row r="72" spans="1:6" x14ac:dyDescent="0.2">
      <c r="A72" s="487" t="s">
        <v>1</v>
      </c>
      <c r="B72" s="300" t="s">
        <v>47</v>
      </c>
      <c r="C72" s="216">
        <v>8.3299999999999999E-2</v>
      </c>
      <c r="D72" s="212">
        <f>ROUND($D$39*C72,2)</f>
        <v>74.239999999999995</v>
      </c>
    </row>
    <row r="73" spans="1:6" x14ac:dyDescent="0.2">
      <c r="A73" s="487" t="s">
        <v>2</v>
      </c>
      <c r="B73" s="300" t="s">
        <v>48</v>
      </c>
      <c r="C73" s="216">
        <f>C88/3</f>
        <v>2.7799999999999998E-2</v>
      </c>
      <c r="D73" s="212">
        <f>ROUND($D$39*C73,2)</f>
        <v>24.78</v>
      </c>
    </row>
    <row r="74" spans="1:6" x14ac:dyDescent="0.2">
      <c r="A74" s="625" t="s">
        <v>49</v>
      </c>
      <c r="B74" s="625"/>
      <c r="C74" s="218">
        <f>SUM(C72:C73)</f>
        <v>0.1111</v>
      </c>
      <c r="D74" s="215">
        <f>ROUND(SUM(D72:D73),2)</f>
        <v>99.02</v>
      </c>
    </row>
    <row r="75" spans="1:6" x14ac:dyDescent="0.2">
      <c r="A75" s="487" t="s">
        <v>4</v>
      </c>
      <c r="B75" s="300" t="s">
        <v>50</v>
      </c>
      <c r="C75" s="216">
        <f>C69*C74</f>
        <v>4.0899999999999999E-2</v>
      </c>
      <c r="D75" s="212">
        <f>ROUND($D$39*C75,2)</f>
        <v>36.450000000000003</v>
      </c>
    </row>
    <row r="76" spans="1:6" x14ac:dyDescent="0.2">
      <c r="A76" s="625" t="s">
        <v>46</v>
      </c>
      <c r="B76" s="625"/>
      <c r="C76" s="218">
        <f>C75+C74</f>
        <v>0.152</v>
      </c>
      <c r="D76" s="215">
        <f>ROUND(D75+D74,2)</f>
        <v>135.47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209" t="s">
        <v>97</v>
      </c>
      <c r="D78" s="210" t="s">
        <v>98</v>
      </c>
    </row>
    <row r="79" spans="1:6" x14ac:dyDescent="0.2">
      <c r="A79" s="487" t="s">
        <v>1</v>
      </c>
      <c r="B79" s="300" t="s">
        <v>52</v>
      </c>
      <c r="C79" s="216">
        <v>1.6999999999999999E-3</v>
      </c>
      <c r="D79" s="212">
        <f t="shared" ref="D79:D84" si="1">ROUND($D$39*C79,2)</f>
        <v>1.52</v>
      </c>
    </row>
    <row r="80" spans="1:6" x14ac:dyDescent="0.2">
      <c r="A80" s="487" t="s">
        <v>2</v>
      </c>
      <c r="B80" s="300" t="s">
        <v>53</v>
      </c>
      <c r="C80" s="216">
        <f>C66*C79</f>
        <v>1E-4</v>
      </c>
      <c r="D80" s="212">
        <f t="shared" si="1"/>
        <v>0.09</v>
      </c>
    </row>
    <row r="81" spans="1:5" x14ac:dyDescent="0.2">
      <c r="A81" s="487" t="s">
        <v>4</v>
      </c>
      <c r="B81" s="300" t="s">
        <v>54</v>
      </c>
      <c r="C81" s="216">
        <f>C66*10%</f>
        <v>8.0000000000000002E-3</v>
      </c>
      <c r="D81" s="212">
        <f t="shared" si="1"/>
        <v>7.13</v>
      </c>
    </row>
    <row r="82" spans="1:5" x14ac:dyDescent="0.2">
      <c r="A82" s="488" t="s">
        <v>3</v>
      </c>
      <c r="B82" s="332" t="s">
        <v>55</v>
      </c>
      <c r="C82" s="216">
        <v>1.9400000000000001E-2</v>
      </c>
      <c r="D82" s="212">
        <f t="shared" si="1"/>
        <v>17.29</v>
      </c>
    </row>
    <row r="83" spans="1:5" x14ac:dyDescent="0.2">
      <c r="A83" s="488" t="s">
        <v>18</v>
      </c>
      <c r="B83" s="332" t="s">
        <v>56</v>
      </c>
      <c r="C83" s="216">
        <f>C69*C82</f>
        <v>7.1000000000000004E-3</v>
      </c>
      <c r="D83" s="212">
        <f t="shared" si="1"/>
        <v>6.33</v>
      </c>
    </row>
    <row r="84" spans="1:5" x14ac:dyDescent="0.2">
      <c r="A84" s="488" t="s">
        <v>19</v>
      </c>
      <c r="B84" s="332" t="s">
        <v>57</v>
      </c>
      <c r="C84" s="216">
        <v>4.4200000000000003E-2</v>
      </c>
      <c r="D84" s="212">
        <f t="shared" si="1"/>
        <v>39.39</v>
      </c>
    </row>
    <row r="85" spans="1:5" x14ac:dyDescent="0.2">
      <c r="A85" s="625" t="s">
        <v>46</v>
      </c>
      <c r="B85" s="625"/>
      <c r="C85" s="218">
        <f>SUM(C79:C84)</f>
        <v>8.0500000000000002E-2</v>
      </c>
      <c r="D85" s="215">
        <f>ROUND(SUM(D79:D84),2)</f>
        <v>71.75</v>
      </c>
    </row>
    <row r="86" spans="1:5" x14ac:dyDescent="0.2">
      <c r="E86" s="346"/>
    </row>
    <row r="87" spans="1:5" x14ac:dyDescent="0.2">
      <c r="A87" s="630" t="s">
        <v>357</v>
      </c>
      <c r="B87" s="632"/>
      <c r="C87" s="209" t="s">
        <v>97</v>
      </c>
      <c r="D87" s="210" t="s">
        <v>98</v>
      </c>
      <c r="E87" s="346"/>
    </row>
    <row r="88" spans="1:5" x14ac:dyDescent="0.2">
      <c r="A88" s="488" t="s">
        <v>1</v>
      </c>
      <c r="B88" s="332" t="s">
        <v>58</v>
      </c>
      <c r="C88" s="216">
        <v>8.3299999999999999E-2</v>
      </c>
      <c r="D88" s="212">
        <f t="shared" ref="D88:D95" si="2">ROUND($D$39*C88,2)</f>
        <v>74.239999999999995</v>
      </c>
      <c r="E88" s="346"/>
    </row>
    <row r="89" spans="1:5" x14ac:dyDescent="0.2">
      <c r="A89" s="488" t="s">
        <v>2</v>
      </c>
      <c r="B89" s="332" t="s">
        <v>59</v>
      </c>
      <c r="C89" s="216">
        <v>5.5999999999999999E-3</v>
      </c>
      <c r="D89" s="212">
        <f t="shared" si="2"/>
        <v>4.99</v>
      </c>
    </row>
    <row r="90" spans="1:5" x14ac:dyDescent="0.2">
      <c r="A90" s="488" t="s">
        <v>4</v>
      </c>
      <c r="B90" s="300" t="s">
        <v>360</v>
      </c>
      <c r="C90" s="216">
        <v>6.9999999999999999E-4</v>
      </c>
      <c r="D90" s="212">
        <f t="shared" si="2"/>
        <v>0.62</v>
      </c>
    </row>
    <row r="91" spans="1:5" x14ac:dyDescent="0.2">
      <c r="A91" s="488" t="s">
        <v>3</v>
      </c>
      <c r="B91" s="332" t="s">
        <v>60</v>
      </c>
      <c r="C91" s="216">
        <v>2.8E-3</v>
      </c>
      <c r="D91" s="212">
        <f t="shared" si="2"/>
        <v>2.5</v>
      </c>
    </row>
    <row r="92" spans="1:5" x14ac:dyDescent="0.2">
      <c r="A92" s="488" t="s">
        <v>18</v>
      </c>
      <c r="B92" s="332" t="s">
        <v>61</v>
      </c>
      <c r="C92" s="216">
        <v>8.0000000000000004E-4</v>
      </c>
      <c r="D92" s="212">
        <f t="shared" si="2"/>
        <v>0.71</v>
      </c>
    </row>
    <row r="93" spans="1:5" x14ac:dyDescent="0.2">
      <c r="A93" s="488" t="s">
        <v>19</v>
      </c>
      <c r="B93" s="300" t="s">
        <v>367</v>
      </c>
      <c r="C93" s="216">
        <v>2.0000000000000001E-4</v>
      </c>
      <c r="D93" s="212">
        <f t="shared" si="2"/>
        <v>0.18</v>
      </c>
    </row>
    <row r="94" spans="1:5" x14ac:dyDescent="0.2">
      <c r="A94" s="625" t="s">
        <v>49</v>
      </c>
      <c r="B94" s="625"/>
      <c r="C94" s="218">
        <f>SUM(C88:C93)</f>
        <v>9.3399999999999997E-2</v>
      </c>
      <c r="D94" s="215">
        <f t="shared" si="2"/>
        <v>83.24</v>
      </c>
    </row>
    <row r="95" spans="1:5" x14ac:dyDescent="0.2">
      <c r="A95" s="488" t="s">
        <v>20</v>
      </c>
      <c r="B95" s="332" t="s">
        <v>104</v>
      </c>
      <c r="C95" s="216">
        <f>C69*C94</f>
        <v>3.44E-2</v>
      </c>
      <c r="D95" s="212">
        <f t="shared" si="2"/>
        <v>30.66</v>
      </c>
    </row>
    <row r="96" spans="1:5" x14ac:dyDescent="0.2">
      <c r="A96" s="625" t="s">
        <v>46</v>
      </c>
      <c r="B96" s="625"/>
      <c r="C96" s="218">
        <f>C95+C94</f>
        <v>0.1278</v>
      </c>
      <c r="D96" s="215">
        <f>ROUND(D95+D94,2)</f>
        <v>113.9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489">
        <v>4</v>
      </c>
      <c r="B99" s="633" t="s">
        <v>68</v>
      </c>
      <c r="C99" s="633"/>
      <c r="D99" s="210" t="s">
        <v>98</v>
      </c>
    </row>
    <row r="100" spans="1:5" x14ac:dyDescent="0.2">
      <c r="A100" s="488" t="s">
        <v>63</v>
      </c>
      <c r="B100" s="347" t="s">
        <v>69</v>
      </c>
      <c r="C100" s="359">
        <f>C76</f>
        <v>0.152</v>
      </c>
      <c r="D100" s="212">
        <f>ROUND($D$39*C100,2)</f>
        <v>135.47</v>
      </c>
      <c r="E100" s="346"/>
    </row>
    <row r="101" spans="1:5" x14ac:dyDescent="0.2">
      <c r="A101" s="488" t="s">
        <v>64</v>
      </c>
      <c r="B101" s="347" t="s">
        <v>126</v>
      </c>
      <c r="C101" s="359">
        <f>C69</f>
        <v>0.36799999999999999</v>
      </c>
      <c r="D101" s="212">
        <f>ROUND($D$39*C101,2)</f>
        <v>327.97</v>
      </c>
    </row>
    <row r="102" spans="1:5" x14ac:dyDescent="0.2">
      <c r="A102" s="487" t="s">
        <v>65</v>
      </c>
      <c r="B102" s="347" t="s">
        <v>70</v>
      </c>
      <c r="C102" s="359">
        <f>C85</f>
        <v>8.0500000000000002E-2</v>
      </c>
      <c r="D102" s="212">
        <f>ROUND($D$39*C102,2)</f>
        <v>71.739999999999995</v>
      </c>
    </row>
    <row r="103" spans="1:5" x14ac:dyDescent="0.2">
      <c r="A103" s="487" t="s">
        <v>66</v>
      </c>
      <c r="B103" s="347" t="s">
        <v>71</v>
      </c>
      <c r="C103" s="359">
        <f>C96</f>
        <v>0.1278</v>
      </c>
      <c r="D103" s="212">
        <f>ROUND($D$39*C103,2)</f>
        <v>113.9</v>
      </c>
    </row>
    <row r="104" spans="1:5" x14ac:dyDescent="0.2">
      <c r="A104" s="487" t="s">
        <v>67</v>
      </c>
      <c r="B104" s="347" t="s">
        <v>29</v>
      </c>
      <c r="C104" s="360"/>
      <c r="D104" s="212"/>
    </row>
    <row r="105" spans="1:5" x14ac:dyDescent="0.2">
      <c r="A105" s="488"/>
      <c r="B105" s="490" t="s">
        <v>46</v>
      </c>
      <c r="C105" s="361">
        <f>SUM(C100:C104)</f>
        <v>0.72829999999999995</v>
      </c>
      <c r="D105" s="215">
        <f>ROUND($D$39*C105,2)</f>
        <v>649.08000000000004</v>
      </c>
    </row>
    <row r="106" spans="1:5" x14ac:dyDescent="0.2">
      <c r="D106" s="222">
        <f>ROUND(D105+D57+D49+D39,2)</f>
        <v>2315.23</v>
      </c>
    </row>
    <row r="107" spans="1:5" x14ac:dyDescent="0.2">
      <c r="A107" s="489">
        <v>5</v>
      </c>
      <c r="B107" s="339" t="s">
        <v>72</v>
      </c>
      <c r="C107" s="209" t="s">
        <v>97</v>
      </c>
      <c r="D107" s="210" t="s">
        <v>98</v>
      </c>
      <c r="E107" s="346"/>
    </row>
    <row r="108" spans="1:5" x14ac:dyDescent="0.2">
      <c r="A108" s="488" t="s">
        <v>1</v>
      </c>
      <c r="B108" s="332" t="s">
        <v>73</v>
      </c>
      <c r="C108" s="216">
        <v>1.5599999999999999E-2</v>
      </c>
      <c r="D108" s="212">
        <f>ROUND($D$106*C108,2)</f>
        <v>36.119999999999997</v>
      </c>
    </row>
    <row r="109" spans="1:5" x14ac:dyDescent="0.2">
      <c r="A109" s="488" t="s">
        <v>2</v>
      </c>
      <c r="B109" s="332" t="s">
        <v>74</v>
      </c>
      <c r="C109" s="216"/>
      <c r="D109" s="212"/>
      <c r="E109" s="344"/>
    </row>
    <row r="110" spans="1:5" x14ac:dyDescent="0.2">
      <c r="A110" s="352" t="s">
        <v>105</v>
      </c>
      <c r="B110" s="332" t="s">
        <v>75</v>
      </c>
      <c r="C110" s="216">
        <v>0</v>
      </c>
      <c r="D110" s="212">
        <v>0</v>
      </c>
    </row>
    <row r="111" spans="1:5" x14ac:dyDescent="0.2">
      <c r="A111" s="352" t="s">
        <v>106</v>
      </c>
      <c r="B111" s="332" t="s">
        <v>76</v>
      </c>
      <c r="C111" s="216">
        <v>0</v>
      </c>
      <c r="D111" s="212">
        <v>0</v>
      </c>
    </row>
    <row r="112" spans="1:5" x14ac:dyDescent="0.2">
      <c r="A112" s="352" t="s">
        <v>107</v>
      </c>
      <c r="B112" s="332" t="s">
        <v>77</v>
      </c>
      <c r="C112" s="216">
        <v>1.6500000000000001E-2</v>
      </c>
      <c r="D112" s="212">
        <f>ROUND($F$115*C112,2)</f>
        <v>45.7</v>
      </c>
    </row>
    <row r="113" spans="1:6" x14ac:dyDescent="0.2">
      <c r="A113" s="352" t="s">
        <v>108</v>
      </c>
      <c r="B113" s="332" t="s">
        <v>78</v>
      </c>
      <c r="C113" s="216">
        <v>7.5999999999999998E-2</v>
      </c>
      <c r="D113" s="212">
        <f>ROUND($F$115*C113,2)</f>
        <v>210.48</v>
      </c>
      <c r="F113" s="353">
        <f>SUM(C110:C114)</f>
        <v>0.14249999999999999</v>
      </c>
    </row>
    <row r="114" spans="1:6" x14ac:dyDescent="0.2">
      <c r="A114" s="352" t="s">
        <v>109</v>
      </c>
      <c r="B114" s="332" t="s">
        <v>79</v>
      </c>
      <c r="C114" s="362">
        <v>0.05</v>
      </c>
      <c r="D114" s="212">
        <f>ROUND($F$115*C114,2)</f>
        <v>138.47999999999999</v>
      </c>
      <c r="F114" s="354">
        <f>ROUND(D115+D108+D106,2)</f>
        <v>2374.86</v>
      </c>
    </row>
    <row r="115" spans="1:6" x14ac:dyDescent="0.2">
      <c r="A115" s="488" t="s">
        <v>4</v>
      </c>
      <c r="B115" s="332" t="s">
        <v>80</v>
      </c>
      <c r="C115" s="216">
        <v>0.01</v>
      </c>
      <c r="D115" s="212">
        <f>ROUND(($D$106+D108)*C115,2)</f>
        <v>23.51</v>
      </c>
      <c r="F115" s="41">
        <f>ROUND(F114/(1-F113),2)</f>
        <v>2769.52</v>
      </c>
    </row>
    <row r="116" spans="1:6" x14ac:dyDescent="0.2">
      <c r="A116" s="638" t="s">
        <v>46</v>
      </c>
      <c r="B116" s="643"/>
      <c r="C116" s="639"/>
      <c r="D116" s="215">
        <f>ROUND(SUM(D108:D115),2)</f>
        <v>454.29</v>
      </c>
    </row>
    <row r="117" spans="1:6" x14ac:dyDescent="0.2">
      <c r="D117" s="222"/>
    </row>
    <row r="118" spans="1:6" x14ac:dyDescent="0.2">
      <c r="A118" s="629" t="s">
        <v>81</v>
      </c>
      <c r="B118" s="629"/>
      <c r="C118" s="629"/>
      <c r="D118" s="629"/>
    </row>
    <row r="119" spans="1:6" x14ac:dyDescent="0.2">
      <c r="A119" s="625" t="s">
        <v>82</v>
      </c>
      <c r="B119" s="625"/>
      <c r="C119" s="625"/>
      <c r="D119" s="625"/>
    </row>
    <row r="120" spans="1:6" x14ac:dyDescent="0.2">
      <c r="A120" s="488" t="s">
        <v>1</v>
      </c>
      <c r="B120" s="626" t="s">
        <v>83</v>
      </c>
      <c r="C120" s="626"/>
      <c r="D120" s="212">
        <f>D39</f>
        <v>891.23</v>
      </c>
    </row>
    <row r="121" spans="1:6" x14ac:dyDescent="0.2">
      <c r="A121" s="488" t="s">
        <v>2</v>
      </c>
      <c r="B121" s="626" t="s">
        <v>84</v>
      </c>
      <c r="C121" s="626"/>
      <c r="D121" s="212">
        <f>D49</f>
        <v>365.2</v>
      </c>
    </row>
    <row r="122" spans="1:6" x14ac:dyDescent="0.2">
      <c r="A122" s="488" t="s">
        <v>4</v>
      </c>
      <c r="B122" s="626" t="s">
        <v>85</v>
      </c>
      <c r="C122" s="626"/>
      <c r="D122" s="212">
        <f>D57</f>
        <v>409.72</v>
      </c>
    </row>
    <row r="123" spans="1:6" x14ac:dyDescent="0.2">
      <c r="A123" s="488" t="s">
        <v>3</v>
      </c>
      <c r="B123" s="626" t="s">
        <v>127</v>
      </c>
      <c r="C123" s="626"/>
      <c r="D123" s="212">
        <f>D105</f>
        <v>649.08000000000004</v>
      </c>
    </row>
    <row r="124" spans="1:6" x14ac:dyDescent="0.2">
      <c r="A124" s="625" t="s">
        <v>49</v>
      </c>
      <c r="B124" s="625"/>
      <c r="C124" s="625"/>
      <c r="D124" s="215">
        <f>ROUND(SUM(D120:D123),2)</f>
        <v>2315.23</v>
      </c>
    </row>
    <row r="125" spans="1:6" x14ac:dyDescent="0.2">
      <c r="A125" s="488" t="s">
        <v>18</v>
      </c>
      <c r="B125" s="645" t="s">
        <v>86</v>
      </c>
      <c r="C125" s="645"/>
      <c r="D125" s="212">
        <f>D116</f>
        <v>454.29</v>
      </c>
    </row>
    <row r="126" spans="1:6" x14ac:dyDescent="0.2">
      <c r="A126" s="625" t="s">
        <v>87</v>
      </c>
      <c r="B126" s="625"/>
      <c r="C126" s="625"/>
      <c r="D126" s="215">
        <f>ROUND(D125+D124,2)</f>
        <v>2769.52</v>
      </c>
    </row>
    <row r="128" spans="1:6" x14ac:dyDescent="0.2">
      <c r="A128" s="623" t="s">
        <v>110</v>
      </c>
      <c r="B128" s="623"/>
      <c r="C128" s="623"/>
      <c r="D128" s="623"/>
    </row>
    <row r="129" spans="1:5" x14ac:dyDescent="0.2">
      <c r="A129" s="626" t="s">
        <v>13</v>
      </c>
      <c r="B129" s="626"/>
      <c r="C129" s="626"/>
      <c r="D129" s="212"/>
    </row>
    <row r="130" spans="1:5" x14ac:dyDescent="0.2">
      <c r="A130" s="626" t="s">
        <v>88</v>
      </c>
      <c r="B130" s="626"/>
      <c r="C130" s="626"/>
      <c r="D130" s="212">
        <f>D126</f>
        <v>2769.52</v>
      </c>
      <c r="E130" s="200"/>
    </row>
    <row r="131" spans="1:5" x14ac:dyDescent="0.2">
      <c r="A131" s="626" t="s">
        <v>89</v>
      </c>
      <c r="B131" s="626"/>
      <c r="C131" s="626"/>
      <c r="D131" s="212">
        <v>1</v>
      </c>
      <c r="E131" s="200"/>
    </row>
    <row r="132" spans="1:5" x14ac:dyDescent="0.2">
      <c r="A132" s="626" t="s">
        <v>90</v>
      </c>
      <c r="B132" s="626"/>
      <c r="C132" s="626"/>
      <c r="D132" s="212">
        <f>ROUND(D131*D130,2)</f>
        <v>2769.52</v>
      </c>
      <c r="E132" s="200"/>
    </row>
    <row r="133" spans="1:5" x14ac:dyDescent="0.2">
      <c r="A133" s="626" t="s">
        <v>91</v>
      </c>
      <c r="B133" s="626"/>
      <c r="C133" s="626"/>
      <c r="D133" s="212">
        <v>1</v>
      </c>
      <c r="E133" s="200"/>
    </row>
    <row r="134" spans="1:5" x14ac:dyDescent="0.2">
      <c r="A134" s="633" t="s">
        <v>92</v>
      </c>
      <c r="B134" s="633"/>
      <c r="C134" s="633"/>
      <c r="D134" s="215">
        <f>ROUND(D133*D132,2)</f>
        <v>2769.52</v>
      </c>
      <c r="E134" s="200"/>
    </row>
    <row r="135" spans="1:5" x14ac:dyDescent="0.2">
      <c r="E135" s="200"/>
    </row>
    <row r="136" spans="1:5" x14ac:dyDescent="0.2">
      <c r="A136" s="623" t="s">
        <v>111</v>
      </c>
      <c r="B136" s="623"/>
      <c r="C136" s="623"/>
      <c r="D136" s="623"/>
    </row>
    <row r="137" spans="1:5" x14ac:dyDescent="0.2">
      <c r="A137" s="488" t="s">
        <v>1</v>
      </c>
      <c r="B137" s="626" t="s">
        <v>93</v>
      </c>
      <c r="C137" s="626"/>
      <c r="D137" s="297">
        <f>D130</f>
        <v>2769.52</v>
      </c>
      <c r="E137" s="303">
        <v>2183.9299999999998</v>
      </c>
    </row>
    <row r="138" spans="1:5" x14ac:dyDescent="0.2">
      <c r="A138" s="488" t="s">
        <v>2</v>
      </c>
      <c r="B138" s="626" t="s">
        <v>94</v>
      </c>
      <c r="C138" s="626"/>
      <c r="D138" s="212">
        <f>D134</f>
        <v>2769.52</v>
      </c>
    </row>
    <row r="139" spans="1:5" x14ac:dyDescent="0.2">
      <c r="A139" s="489" t="s">
        <v>4</v>
      </c>
      <c r="B139" s="633" t="s">
        <v>95</v>
      </c>
      <c r="C139" s="633"/>
      <c r="D139" s="215">
        <f>ROUND(D138*12,2)</f>
        <v>33234.239999999998</v>
      </c>
      <c r="E139" s="363"/>
    </row>
    <row r="140" spans="1:5" x14ac:dyDescent="0.2">
      <c r="A140" s="343"/>
    </row>
    <row r="141" spans="1:5" x14ac:dyDescent="0.2">
      <c r="A141" s="343"/>
      <c r="C141" s="364"/>
      <c r="D141" s="365"/>
    </row>
    <row r="142" spans="1:5" x14ac:dyDescent="0.2">
      <c r="A142" s="647" t="str">
        <f>'[1]CURITIBA (servente copeira )'!A142:B142</f>
        <v>Curitiba, 20 de Fevereiro de 2014.</v>
      </c>
      <c r="B142" s="648"/>
    </row>
    <row r="143" spans="1:5" x14ac:dyDescent="0.2">
      <c r="A143" s="343"/>
    </row>
    <row r="144" spans="1:5" x14ac:dyDescent="0.2">
      <c r="A144" s="343"/>
    </row>
    <row r="145" spans="1:2" x14ac:dyDescent="0.2">
      <c r="A145" s="649" t="s">
        <v>381</v>
      </c>
      <c r="B145" s="649"/>
    </row>
    <row r="146" spans="1:2" x14ac:dyDescent="0.2">
      <c r="A146" s="646" t="s">
        <v>379</v>
      </c>
      <c r="B146" s="646"/>
    </row>
    <row r="147" spans="1:2" x14ac:dyDescent="0.2">
      <c r="A147" s="646" t="s">
        <v>380</v>
      </c>
      <c r="B147" s="646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1" orientation="portrait" r:id="rId1"/>
  <headerFooter alignWithMargins="0"/>
  <rowBreaks count="1" manualBreakCount="1">
    <brk id="7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205" customWidth="1"/>
    <col min="4" max="4" width="22.85546875" style="206" customWidth="1"/>
    <col min="5" max="5" width="14.7109375" style="330" hidden="1" customWidth="1"/>
    <col min="6" max="6" width="9.28515625" style="333" bestFit="1" customWidth="1"/>
    <col min="7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 t="s">
        <v>143</v>
      </c>
    </row>
    <row r="5" spans="1:4" x14ac:dyDescent="0.2">
      <c r="A5" s="3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720"/>
      <c r="D8" s="719"/>
    </row>
    <row r="9" spans="1:4" x14ac:dyDescent="0.2">
      <c r="A9" s="331" t="s">
        <v>2</v>
      </c>
      <c r="B9" s="332" t="s">
        <v>114</v>
      </c>
      <c r="C9" s="721" t="s">
        <v>524</v>
      </c>
      <c r="D9" s="721"/>
    </row>
    <row r="10" spans="1:4" x14ac:dyDescent="0.2">
      <c r="A10" s="331" t="s">
        <v>4</v>
      </c>
      <c r="B10" s="332" t="s">
        <v>6</v>
      </c>
      <c r="C10" s="720">
        <v>40909</v>
      </c>
      <c r="D10" s="719"/>
    </row>
    <row r="11" spans="1:4" x14ac:dyDescent="0.2">
      <c r="A11" s="331" t="s">
        <v>3</v>
      </c>
      <c r="B11" s="332" t="s">
        <v>7</v>
      </c>
      <c r="C11" s="718" t="s">
        <v>141</v>
      </c>
      <c r="D11" s="719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718" t="s">
        <v>113</v>
      </c>
      <c r="D14" s="719"/>
    </row>
    <row r="15" spans="1:4" x14ac:dyDescent="0.2">
      <c r="A15" s="626" t="s">
        <v>129</v>
      </c>
      <c r="B15" s="626"/>
      <c r="C15" s="718" t="s">
        <v>142</v>
      </c>
      <c r="D15" s="719"/>
    </row>
    <row r="16" spans="1:4" x14ac:dyDescent="0.2">
      <c r="A16" s="626" t="s">
        <v>10</v>
      </c>
      <c r="B16" s="626"/>
      <c r="C16" s="719">
        <v>3</v>
      </c>
      <c r="D16" s="719"/>
    </row>
    <row r="17" spans="1:5" x14ac:dyDescent="0.2">
      <c r="A17" s="627" t="s">
        <v>253</v>
      </c>
      <c r="B17" s="628"/>
      <c r="C17" s="719" t="s">
        <v>254</v>
      </c>
      <c r="D17" s="719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718" t="s">
        <v>145</v>
      </c>
      <c r="D22" s="719"/>
    </row>
    <row r="23" spans="1:5" x14ac:dyDescent="0.2">
      <c r="A23" s="331">
        <v>2</v>
      </c>
      <c r="B23" s="332" t="s">
        <v>14</v>
      </c>
      <c r="C23" s="634">
        <f>'REPACTUAÇÃO 2014'!F5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717"/>
      <c r="D26" s="71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209" t="s">
        <v>121</v>
      </c>
      <c r="D28" s="210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v>860</v>
      </c>
      <c r="E29" s="203">
        <v>714</v>
      </c>
    </row>
    <row r="30" spans="1:5" x14ac:dyDescent="0.2">
      <c r="A30" s="331" t="s">
        <v>2</v>
      </c>
      <c r="B30" s="332" t="s">
        <v>23</v>
      </c>
      <c r="C30" s="213"/>
      <c r="D30" s="212"/>
    </row>
    <row r="31" spans="1:5" x14ac:dyDescent="0.2">
      <c r="A31" s="331" t="s">
        <v>4</v>
      </c>
      <c r="B31" s="332" t="s">
        <v>24</v>
      </c>
      <c r="C31" s="213"/>
      <c r="D31" s="212"/>
      <c r="E31" s="196"/>
    </row>
    <row r="32" spans="1:5" x14ac:dyDescent="0.2">
      <c r="A32" s="331" t="s">
        <v>3</v>
      </c>
      <c r="B32" s="332" t="s">
        <v>25</v>
      </c>
      <c r="C32" s="214"/>
      <c r="D32" s="212"/>
      <c r="E32" s="153"/>
    </row>
    <row r="33" spans="1:5" x14ac:dyDescent="0.2">
      <c r="A33" s="331" t="s">
        <v>18</v>
      </c>
      <c r="B33" s="332" t="s">
        <v>26</v>
      </c>
      <c r="C33" s="214"/>
      <c r="D33" s="212"/>
      <c r="E33" s="153"/>
    </row>
    <row r="34" spans="1:5" x14ac:dyDescent="0.2">
      <c r="A34" s="331" t="s">
        <v>19</v>
      </c>
      <c r="B34" s="332" t="s">
        <v>27</v>
      </c>
      <c r="C34" s="211"/>
      <c r="D34" s="212"/>
      <c r="E34" s="196"/>
    </row>
    <row r="35" spans="1:5" x14ac:dyDescent="0.2">
      <c r="A35" s="331" t="s">
        <v>20</v>
      </c>
      <c r="B35" s="332" t="s">
        <v>28</v>
      </c>
      <c r="C35" s="214"/>
      <c r="D35" s="212"/>
      <c r="E35" s="153"/>
    </row>
    <row r="36" spans="1:5" x14ac:dyDescent="0.2">
      <c r="A36" s="331" t="s">
        <v>21</v>
      </c>
      <c r="B36" s="332" t="s">
        <v>119</v>
      </c>
      <c r="C36" s="211"/>
      <c r="D36" s="212"/>
    </row>
    <row r="37" spans="1:5" x14ac:dyDescent="0.2">
      <c r="A37" s="331" t="s">
        <v>116</v>
      </c>
      <c r="B37" s="332" t="s">
        <v>122</v>
      </c>
      <c r="C37" s="211"/>
      <c r="D37" s="212">
        <f>ROUND(SUM(D32:D35)/23*7,2)</f>
        <v>0</v>
      </c>
    </row>
    <row r="38" spans="1:5" x14ac:dyDescent="0.2">
      <c r="A38" s="299" t="s">
        <v>487</v>
      </c>
      <c r="B38" s="300" t="s">
        <v>488</v>
      </c>
      <c r="C38" s="301"/>
      <c r="D38" s="302">
        <f>D29*3.6316%</f>
        <v>31.23</v>
      </c>
      <c r="E38" s="303" t="s">
        <v>489</v>
      </c>
    </row>
    <row r="39" spans="1:5" x14ac:dyDescent="0.2">
      <c r="A39" s="638" t="s">
        <v>30</v>
      </c>
      <c r="B39" s="639"/>
      <c r="C39" s="18"/>
      <c r="D39" s="22">
        <f>ROUND(SUM(D29:D38),2)</f>
        <v>891.23</v>
      </c>
    </row>
    <row r="41" spans="1:5" x14ac:dyDescent="0.2">
      <c r="A41" s="640" t="s">
        <v>99</v>
      </c>
      <c r="B41" s="641"/>
      <c r="C41" s="641"/>
      <c r="D41" s="642"/>
    </row>
    <row r="42" spans="1:5" x14ac:dyDescent="0.2">
      <c r="A42" s="337">
        <v>2</v>
      </c>
      <c r="B42" s="339" t="s">
        <v>31</v>
      </c>
      <c r="C42" s="209" t="s">
        <v>120</v>
      </c>
      <c r="D42" s="210" t="s">
        <v>98</v>
      </c>
    </row>
    <row r="43" spans="1:5" ht="13.5" customHeight="1" x14ac:dyDescent="0.2">
      <c r="A43" s="331" t="s">
        <v>1</v>
      </c>
      <c r="B43" s="340" t="s">
        <v>133</v>
      </c>
      <c r="C43" s="212">
        <v>3.15</v>
      </c>
      <c r="D43" s="212">
        <f>ROUND((C43*44)-(D29*6%),2)</f>
        <v>87</v>
      </c>
      <c r="E43" s="197"/>
    </row>
    <row r="44" spans="1:5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5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5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5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5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216"/>
      <c r="D49" s="215">
        <f>ROUND(SUM(D43:D48),2)</f>
        <v>385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209" t="s">
        <v>97</v>
      </c>
      <c r="D52" s="210" t="s">
        <v>98</v>
      </c>
    </row>
    <row r="53" spans="1:5" x14ac:dyDescent="0.2">
      <c r="A53" s="331" t="s">
        <v>1</v>
      </c>
      <c r="B53" s="332" t="s">
        <v>36</v>
      </c>
      <c r="C53" s="217">
        <v>31.1</v>
      </c>
      <c r="D53" s="212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255.48</v>
      </c>
    </row>
    <row r="55" spans="1:5" x14ac:dyDescent="0.2">
      <c r="A55" s="331" t="s">
        <v>4</v>
      </c>
      <c r="B55" s="332" t="s">
        <v>38</v>
      </c>
      <c r="C55" s="217">
        <f>[1]Equipamentos!D14</f>
        <v>37.479999999999997</v>
      </c>
      <c r="D55" s="212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212">
        <f>'[1]Epi''s'!E6</f>
        <v>2.8</v>
      </c>
      <c r="D56" s="212">
        <f>C56</f>
        <v>2.8</v>
      </c>
      <c r="E56" s="344"/>
    </row>
    <row r="57" spans="1:5" x14ac:dyDescent="0.2">
      <c r="A57" s="638" t="s">
        <v>39</v>
      </c>
      <c r="B57" s="639"/>
      <c r="C57" s="216"/>
      <c r="D57" s="215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209" t="s">
        <v>97</v>
      </c>
      <c r="D60" s="210" t="s">
        <v>98</v>
      </c>
    </row>
    <row r="61" spans="1:5" x14ac:dyDescent="0.2">
      <c r="A61" s="299" t="s">
        <v>1</v>
      </c>
      <c r="B61" s="300" t="s">
        <v>40</v>
      </c>
      <c r="C61" s="216">
        <v>0.2</v>
      </c>
      <c r="D61" s="212">
        <f>ROUND($D$39*C61,2)</f>
        <v>178.25</v>
      </c>
    </row>
    <row r="62" spans="1:5" x14ac:dyDescent="0.2">
      <c r="A62" s="299" t="s">
        <v>2</v>
      </c>
      <c r="B62" s="300" t="s">
        <v>41</v>
      </c>
      <c r="C62" s="216">
        <v>1.4999999999999999E-2</v>
      </c>
      <c r="D62" s="212">
        <f>ROUND($D$39*C62,2)</f>
        <v>13.37</v>
      </c>
    </row>
    <row r="63" spans="1:5" x14ac:dyDescent="0.2">
      <c r="A63" s="299" t="s">
        <v>4</v>
      </c>
      <c r="B63" s="300" t="s">
        <v>123</v>
      </c>
      <c r="C63" s="216">
        <v>0.01</v>
      </c>
      <c r="D63" s="212">
        <f t="shared" ref="D63:D68" si="0">ROUND($D$39*C63,2)</f>
        <v>8.91</v>
      </c>
    </row>
    <row r="64" spans="1:5" x14ac:dyDescent="0.2">
      <c r="A64" s="299" t="s">
        <v>3</v>
      </c>
      <c r="B64" s="300" t="s">
        <v>42</v>
      </c>
      <c r="C64" s="216">
        <v>2E-3</v>
      </c>
      <c r="D64" s="212">
        <f t="shared" si="0"/>
        <v>1.78</v>
      </c>
    </row>
    <row r="65" spans="1:6" x14ac:dyDescent="0.2">
      <c r="A65" s="299" t="s">
        <v>18</v>
      </c>
      <c r="B65" s="300" t="s">
        <v>43</v>
      </c>
      <c r="C65" s="216">
        <v>2.5000000000000001E-2</v>
      </c>
      <c r="D65" s="212">
        <f t="shared" si="0"/>
        <v>22.28</v>
      </c>
    </row>
    <row r="66" spans="1:6" x14ac:dyDescent="0.2">
      <c r="A66" s="299" t="s">
        <v>19</v>
      </c>
      <c r="B66" s="300" t="s">
        <v>44</v>
      </c>
      <c r="C66" s="216">
        <v>0.08</v>
      </c>
      <c r="D66" s="212">
        <f t="shared" si="0"/>
        <v>71.3</v>
      </c>
    </row>
    <row r="67" spans="1:6" x14ac:dyDescent="0.2">
      <c r="A67" s="299" t="s">
        <v>20</v>
      </c>
      <c r="B67" s="300" t="s">
        <v>124</v>
      </c>
      <c r="C67" s="216">
        <f>2%*F71</f>
        <v>0.03</v>
      </c>
      <c r="D67" s="212">
        <f t="shared" si="0"/>
        <v>26.74</v>
      </c>
    </row>
    <row r="68" spans="1:6" x14ac:dyDescent="0.2">
      <c r="A68" s="299" t="s">
        <v>21</v>
      </c>
      <c r="B68" s="300" t="s">
        <v>45</v>
      </c>
      <c r="C68" s="216">
        <v>6.0000000000000001E-3</v>
      </c>
      <c r="D68" s="212">
        <f t="shared" si="0"/>
        <v>5.35</v>
      </c>
    </row>
    <row r="69" spans="1:6" x14ac:dyDescent="0.2">
      <c r="A69" s="638" t="s">
        <v>51</v>
      </c>
      <c r="B69" s="644"/>
      <c r="C69" s="218">
        <f>SUM(C61:C68)</f>
        <v>0.36799999999999999</v>
      </c>
      <c r="D69" s="215">
        <f>ROUND(SUM(D61:D68),2)</f>
        <v>327.98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209" t="s">
        <v>97</v>
      </c>
      <c r="D71" s="210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216">
        <v>8.3299999999999999E-2</v>
      </c>
      <c r="D72" s="212">
        <f>ROUND($D$39*C72,2)</f>
        <v>74.239999999999995</v>
      </c>
    </row>
    <row r="73" spans="1:6" x14ac:dyDescent="0.2">
      <c r="A73" s="299" t="s">
        <v>2</v>
      </c>
      <c r="B73" s="300" t="s">
        <v>48</v>
      </c>
      <c r="C73" s="216">
        <f>C88/3</f>
        <v>2.7799999999999998E-2</v>
      </c>
      <c r="D73" s="212">
        <f>ROUND($D$39*C73,2)</f>
        <v>24.78</v>
      </c>
    </row>
    <row r="74" spans="1:6" x14ac:dyDescent="0.2">
      <c r="A74" s="625" t="s">
        <v>49</v>
      </c>
      <c r="B74" s="625"/>
      <c r="C74" s="218">
        <f>SUM(C72:C73)</f>
        <v>0.1111</v>
      </c>
      <c r="D74" s="215">
        <f>ROUND(SUM(D72:D73),2)</f>
        <v>99.02</v>
      </c>
    </row>
    <row r="75" spans="1:6" x14ac:dyDescent="0.2">
      <c r="A75" s="299" t="s">
        <v>4</v>
      </c>
      <c r="B75" s="300" t="s">
        <v>50</v>
      </c>
      <c r="C75" s="216">
        <f>C69*C74</f>
        <v>4.0899999999999999E-2</v>
      </c>
      <c r="D75" s="212">
        <f>ROUND($D$39*C75,2)</f>
        <v>36.450000000000003</v>
      </c>
    </row>
    <row r="76" spans="1:6" x14ac:dyDescent="0.2">
      <c r="A76" s="625" t="s">
        <v>46</v>
      </c>
      <c r="B76" s="625"/>
      <c r="C76" s="218">
        <f>C75+C74</f>
        <v>0.152</v>
      </c>
      <c r="D76" s="215">
        <f>ROUND(D75+D74,2)</f>
        <v>135.47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209" t="s">
        <v>97</v>
      </c>
      <c r="D78" s="210" t="s">
        <v>98</v>
      </c>
    </row>
    <row r="79" spans="1:6" x14ac:dyDescent="0.2">
      <c r="A79" s="299" t="s">
        <v>1</v>
      </c>
      <c r="B79" s="300" t="s">
        <v>52</v>
      </c>
      <c r="C79" s="216">
        <v>1.6999999999999999E-3</v>
      </c>
      <c r="D79" s="212">
        <f t="shared" ref="D79:D84" si="1">ROUND($D$39*C79,2)</f>
        <v>1.52</v>
      </c>
    </row>
    <row r="80" spans="1:6" x14ac:dyDescent="0.2">
      <c r="A80" s="299" t="s">
        <v>2</v>
      </c>
      <c r="B80" s="300" t="s">
        <v>53</v>
      </c>
      <c r="C80" s="216">
        <f>C66*C79</f>
        <v>1E-4</v>
      </c>
      <c r="D80" s="212">
        <f t="shared" si="1"/>
        <v>0.09</v>
      </c>
    </row>
    <row r="81" spans="1:5" x14ac:dyDescent="0.2">
      <c r="A81" s="299" t="s">
        <v>4</v>
      </c>
      <c r="B81" s="300" t="s">
        <v>54</v>
      </c>
      <c r="C81" s="216">
        <f>C66*10%</f>
        <v>8.0000000000000002E-3</v>
      </c>
      <c r="D81" s="212">
        <f t="shared" si="1"/>
        <v>7.13</v>
      </c>
    </row>
    <row r="82" spans="1:5" x14ac:dyDescent="0.2">
      <c r="A82" s="331" t="s">
        <v>3</v>
      </c>
      <c r="B82" s="332" t="s">
        <v>55</v>
      </c>
      <c r="C82" s="216">
        <v>1.9400000000000001E-2</v>
      </c>
      <c r="D82" s="212">
        <f t="shared" si="1"/>
        <v>17.29</v>
      </c>
    </row>
    <row r="83" spans="1:5" x14ac:dyDescent="0.2">
      <c r="A83" s="331" t="s">
        <v>18</v>
      </c>
      <c r="B83" s="332" t="s">
        <v>56</v>
      </c>
      <c r="C83" s="216">
        <f>C69*C82</f>
        <v>7.1000000000000004E-3</v>
      </c>
      <c r="D83" s="212">
        <f t="shared" si="1"/>
        <v>6.33</v>
      </c>
    </row>
    <row r="84" spans="1:5" x14ac:dyDescent="0.2">
      <c r="A84" s="331" t="s">
        <v>19</v>
      </c>
      <c r="B84" s="332" t="s">
        <v>57</v>
      </c>
      <c r="C84" s="216">
        <v>4.4200000000000003E-2</v>
      </c>
      <c r="D84" s="212">
        <f t="shared" si="1"/>
        <v>39.39</v>
      </c>
    </row>
    <row r="85" spans="1:5" x14ac:dyDescent="0.2">
      <c r="A85" s="625" t="s">
        <v>46</v>
      </c>
      <c r="B85" s="625"/>
      <c r="C85" s="218">
        <f>SUM(C79:C84)</f>
        <v>8.0500000000000002E-2</v>
      </c>
      <c r="D85" s="215">
        <f>ROUND(SUM(D79:D84),2)</f>
        <v>71.75</v>
      </c>
    </row>
    <row r="86" spans="1:5" x14ac:dyDescent="0.2">
      <c r="E86" s="346"/>
    </row>
    <row r="87" spans="1:5" x14ac:dyDescent="0.2">
      <c r="A87" s="630" t="s">
        <v>357</v>
      </c>
      <c r="B87" s="632"/>
      <c r="C87" s="209" t="s">
        <v>97</v>
      </c>
      <c r="D87" s="210" t="s">
        <v>98</v>
      </c>
      <c r="E87" s="346"/>
    </row>
    <row r="88" spans="1:5" x14ac:dyDescent="0.2">
      <c r="A88" s="331" t="s">
        <v>1</v>
      </c>
      <c r="B88" s="332" t="s">
        <v>58</v>
      </c>
      <c r="C88" s="216">
        <v>8.3299999999999999E-2</v>
      </c>
      <c r="D88" s="212">
        <f t="shared" ref="D88:D95" si="2">ROUND($D$39*C88,2)</f>
        <v>74.239999999999995</v>
      </c>
      <c r="E88" s="346"/>
    </row>
    <row r="89" spans="1:5" x14ac:dyDescent="0.2">
      <c r="A89" s="331" t="s">
        <v>2</v>
      </c>
      <c r="B89" s="332" t="s">
        <v>59</v>
      </c>
      <c r="C89" s="216">
        <v>5.5999999999999999E-3</v>
      </c>
      <c r="D89" s="212">
        <f t="shared" si="2"/>
        <v>4.99</v>
      </c>
    </row>
    <row r="90" spans="1:5" x14ac:dyDescent="0.2">
      <c r="A90" s="331" t="s">
        <v>4</v>
      </c>
      <c r="B90" s="300" t="s">
        <v>360</v>
      </c>
      <c r="C90" s="216">
        <v>6.9999999999999999E-4</v>
      </c>
      <c r="D90" s="212">
        <f t="shared" si="2"/>
        <v>0.62</v>
      </c>
    </row>
    <row r="91" spans="1:5" x14ac:dyDescent="0.2">
      <c r="A91" s="331" t="s">
        <v>3</v>
      </c>
      <c r="B91" s="332" t="s">
        <v>60</v>
      </c>
      <c r="C91" s="216">
        <v>2.8E-3</v>
      </c>
      <c r="D91" s="212">
        <f t="shared" si="2"/>
        <v>2.5</v>
      </c>
    </row>
    <row r="92" spans="1:5" x14ac:dyDescent="0.2">
      <c r="A92" s="331" t="s">
        <v>18</v>
      </c>
      <c r="B92" s="332" t="s">
        <v>61</v>
      </c>
      <c r="C92" s="216">
        <v>8.0000000000000004E-4</v>
      </c>
      <c r="D92" s="212">
        <f t="shared" si="2"/>
        <v>0.71</v>
      </c>
    </row>
    <row r="93" spans="1:5" x14ac:dyDescent="0.2">
      <c r="A93" s="331" t="s">
        <v>19</v>
      </c>
      <c r="B93" s="300" t="s">
        <v>367</v>
      </c>
      <c r="C93" s="216">
        <v>2.0000000000000001E-4</v>
      </c>
      <c r="D93" s="212">
        <f t="shared" si="2"/>
        <v>0.18</v>
      </c>
    </row>
    <row r="94" spans="1:5" x14ac:dyDescent="0.2">
      <c r="A94" s="625" t="s">
        <v>49</v>
      </c>
      <c r="B94" s="625"/>
      <c r="C94" s="218">
        <f>SUM(C88:C93)</f>
        <v>9.3399999999999997E-2</v>
      </c>
      <c r="D94" s="215">
        <f t="shared" si="2"/>
        <v>83.24</v>
      </c>
    </row>
    <row r="95" spans="1:5" x14ac:dyDescent="0.2">
      <c r="A95" s="331" t="s">
        <v>20</v>
      </c>
      <c r="B95" s="332" t="s">
        <v>104</v>
      </c>
      <c r="C95" s="216">
        <f>C69*C94</f>
        <v>3.44E-2</v>
      </c>
      <c r="D95" s="212">
        <f t="shared" si="2"/>
        <v>30.66</v>
      </c>
    </row>
    <row r="96" spans="1:5" x14ac:dyDescent="0.2">
      <c r="A96" s="625" t="s">
        <v>46</v>
      </c>
      <c r="B96" s="625"/>
      <c r="C96" s="218">
        <f>C95+C94</f>
        <v>0.1278</v>
      </c>
      <c r="D96" s="215">
        <f>ROUND(D95+D94,2)</f>
        <v>113.9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210" t="s">
        <v>98</v>
      </c>
    </row>
    <row r="100" spans="1:5" x14ac:dyDescent="0.2">
      <c r="A100" s="331" t="s">
        <v>63</v>
      </c>
      <c r="B100" s="347" t="s">
        <v>69</v>
      </c>
      <c r="C100" s="359">
        <f>C76</f>
        <v>0.152</v>
      </c>
      <c r="D100" s="212">
        <f>ROUND($D$39*C100,2)</f>
        <v>135.47</v>
      </c>
      <c r="E100" s="346"/>
    </row>
    <row r="101" spans="1:5" x14ac:dyDescent="0.2">
      <c r="A101" s="331" t="s">
        <v>64</v>
      </c>
      <c r="B101" s="347" t="s">
        <v>126</v>
      </c>
      <c r="C101" s="359">
        <f>C69</f>
        <v>0.36799999999999999</v>
      </c>
      <c r="D101" s="212">
        <f>ROUND($D$39*C101,2)</f>
        <v>327.97</v>
      </c>
    </row>
    <row r="102" spans="1:5" x14ac:dyDescent="0.2">
      <c r="A102" s="299" t="s">
        <v>65</v>
      </c>
      <c r="B102" s="347" t="s">
        <v>70</v>
      </c>
      <c r="C102" s="359">
        <f>C85</f>
        <v>8.0500000000000002E-2</v>
      </c>
      <c r="D102" s="212">
        <f>ROUND($D$39*C102,2)</f>
        <v>71.739999999999995</v>
      </c>
    </row>
    <row r="103" spans="1:5" x14ac:dyDescent="0.2">
      <c r="A103" s="299" t="s">
        <v>66</v>
      </c>
      <c r="B103" s="347" t="s">
        <v>71</v>
      </c>
      <c r="C103" s="359">
        <f>C96</f>
        <v>0.1278</v>
      </c>
      <c r="D103" s="212">
        <f>ROUND($D$39*C103,2)</f>
        <v>113.9</v>
      </c>
    </row>
    <row r="104" spans="1:5" x14ac:dyDescent="0.2">
      <c r="A104" s="299" t="s">
        <v>67</v>
      </c>
      <c r="B104" s="347" t="s">
        <v>29</v>
      </c>
      <c r="C104" s="360"/>
      <c r="D104" s="212"/>
    </row>
    <row r="105" spans="1:5" x14ac:dyDescent="0.2">
      <c r="A105" s="331"/>
      <c r="B105" s="350" t="s">
        <v>46</v>
      </c>
      <c r="C105" s="361">
        <f>SUM(C100:C104)</f>
        <v>0.72829999999999995</v>
      </c>
      <c r="D105" s="215">
        <f>ROUND($D$39*C105,2)</f>
        <v>649.08000000000004</v>
      </c>
    </row>
    <row r="106" spans="1:5" x14ac:dyDescent="0.2">
      <c r="D106" s="222">
        <f>ROUND(D105+D57+D49+D39,2)</f>
        <v>2335.0300000000002</v>
      </c>
    </row>
    <row r="107" spans="1:5" x14ac:dyDescent="0.2">
      <c r="A107" s="337">
        <v>5</v>
      </c>
      <c r="B107" s="339" t="s">
        <v>72</v>
      </c>
      <c r="C107" s="209" t="s">
        <v>97</v>
      </c>
      <c r="D107" s="210" t="s">
        <v>98</v>
      </c>
      <c r="E107" s="346"/>
    </row>
    <row r="108" spans="1:5" x14ac:dyDescent="0.2">
      <c r="A108" s="331" t="s">
        <v>1</v>
      </c>
      <c r="B108" s="332" t="s">
        <v>73</v>
      </c>
      <c r="C108" s="216">
        <v>1.5599999999999999E-2</v>
      </c>
      <c r="D108" s="212">
        <f>ROUND($D$106*C108,2)</f>
        <v>36.43</v>
      </c>
    </row>
    <row r="109" spans="1:5" x14ac:dyDescent="0.2">
      <c r="A109" s="331" t="s">
        <v>2</v>
      </c>
      <c r="B109" s="332" t="s">
        <v>74</v>
      </c>
      <c r="C109" s="216"/>
      <c r="D109" s="212"/>
      <c r="E109" s="344"/>
    </row>
    <row r="110" spans="1:5" x14ac:dyDescent="0.2">
      <c r="A110" s="352" t="s">
        <v>105</v>
      </c>
      <c r="B110" s="332" t="s">
        <v>75</v>
      </c>
      <c r="C110" s="216">
        <v>0</v>
      </c>
      <c r="D110" s="212">
        <v>0</v>
      </c>
    </row>
    <row r="111" spans="1:5" x14ac:dyDescent="0.2">
      <c r="A111" s="352" t="s">
        <v>106</v>
      </c>
      <c r="B111" s="332" t="s">
        <v>76</v>
      </c>
      <c r="C111" s="216">
        <v>0</v>
      </c>
      <c r="D111" s="212">
        <v>0</v>
      </c>
    </row>
    <row r="112" spans="1:5" x14ac:dyDescent="0.2">
      <c r="A112" s="352" t="s">
        <v>107</v>
      </c>
      <c r="B112" s="332" t="s">
        <v>77</v>
      </c>
      <c r="C112" s="216">
        <v>1.6500000000000001E-2</v>
      </c>
      <c r="D112" s="212">
        <f>ROUND($F$115*C112,2)</f>
        <v>44.53</v>
      </c>
    </row>
    <row r="113" spans="1:6" x14ac:dyDescent="0.2">
      <c r="A113" s="352" t="s">
        <v>108</v>
      </c>
      <c r="B113" s="332" t="s">
        <v>78</v>
      </c>
      <c r="C113" s="216">
        <v>7.5999999999999998E-2</v>
      </c>
      <c r="D113" s="212">
        <f>ROUND($F$115*C113,2)</f>
        <v>205.11</v>
      </c>
      <c r="F113" s="353">
        <f>SUM(C110:C114)</f>
        <v>0.1125</v>
      </c>
    </row>
    <row r="114" spans="1:6" x14ac:dyDescent="0.2">
      <c r="A114" s="352" t="s">
        <v>109</v>
      </c>
      <c r="B114" s="332" t="s">
        <v>79</v>
      </c>
      <c r="C114" s="362">
        <v>0.02</v>
      </c>
      <c r="D114" s="212">
        <f>ROUND($F$115*C114,2)</f>
        <v>53.98</v>
      </c>
      <c r="F114" s="354">
        <f>ROUND(D115+D108+D106,2)</f>
        <v>2395.17</v>
      </c>
    </row>
    <row r="115" spans="1:6" x14ac:dyDescent="0.2">
      <c r="A115" s="331" t="s">
        <v>4</v>
      </c>
      <c r="B115" s="332" t="s">
        <v>80</v>
      </c>
      <c r="C115" s="216">
        <v>0.01</v>
      </c>
      <c r="D115" s="212">
        <f>ROUND(($D$106+D108)*C115,2)</f>
        <v>23.71</v>
      </c>
      <c r="F115" s="41">
        <f>ROUND(F114/(1-F113),2)</f>
        <v>2698.78</v>
      </c>
    </row>
    <row r="116" spans="1:6" x14ac:dyDescent="0.2">
      <c r="A116" s="638" t="s">
        <v>46</v>
      </c>
      <c r="B116" s="643"/>
      <c r="C116" s="639"/>
      <c r="D116" s="215">
        <f>ROUND(SUM(D108:D115),2)</f>
        <v>363.76</v>
      </c>
    </row>
    <row r="117" spans="1:6" x14ac:dyDescent="0.2">
      <c r="D117" s="222"/>
    </row>
    <row r="118" spans="1:6" x14ac:dyDescent="0.2">
      <c r="A118" s="629" t="s">
        <v>81</v>
      </c>
      <c r="B118" s="629"/>
      <c r="C118" s="629"/>
      <c r="D118" s="629"/>
    </row>
    <row r="119" spans="1:6" x14ac:dyDescent="0.2">
      <c r="A119" s="625" t="s">
        <v>82</v>
      </c>
      <c r="B119" s="625"/>
      <c r="C119" s="625"/>
      <c r="D119" s="625"/>
    </row>
    <row r="120" spans="1:6" x14ac:dyDescent="0.2">
      <c r="A120" s="331" t="s">
        <v>1</v>
      </c>
      <c r="B120" s="626" t="s">
        <v>83</v>
      </c>
      <c r="C120" s="626"/>
      <c r="D120" s="212">
        <f>D39</f>
        <v>891.23</v>
      </c>
    </row>
    <row r="121" spans="1:6" x14ac:dyDescent="0.2">
      <c r="A121" s="331" t="s">
        <v>2</v>
      </c>
      <c r="B121" s="626" t="s">
        <v>84</v>
      </c>
      <c r="C121" s="626"/>
      <c r="D121" s="212">
        <f>D49</f>
        <v>385</v>
      </c>
    </row>
    <row r="122" spans="1:6" x14ac:dyDescent="0.2">
      <c r="A122" s="331" t="s">
        <v>4</v>
      </c>
      <c r="B122" s="626" t="s">
        <v>85</v>
      </c>
      <c r="C122" s="626"/>
      <c r="D122" s="212">
        <f>D57</f>
        <v>409.72</v>
      </c>
    </row>
    <row r="123" spans="1:6" x14ac:dyDescent="0.2">
      <c r="A123" s="331" t="s">
        <v>3</v>
      </c>
      <c r="B123" s="626" t="s">
        <v>127</v>
      </c>
      <c r="C123" s="626"/>
      <c r="D123" s="212">
        <f>D105</f>
        <v>649.08000000000004</v>
      </c>
    </row>
    <row r="124" spans="1:6" x14ac:dyDescent="0.2">
      <c r="A124" s="625" t="s">
        <v>49</v>
      </c>
      <c r="B124" s="625"/>
      <c r="C124" s="625"/>
      <c r="D124" s="215">
        <f>ROUND(SUM(D120:D123),2)</f>
        <v>2335.0300000000002</v>
      </c>
    </row>
    <row r="125" spans="1:6" x14ac:dyDescent="0.2">
      <c r="A125" s="331" t="s">
        <v>18</v>
      </c>
      <c r="B125" s="645" t="s">
        <v>86</v>
      </c>
      <c r="C125" s="645"/>
      <c r="D125" s="212">
        <f>D116</f>
        <v>363.76</v>
      </c>
    </row>
    <row r="126" spans="1:6" x14ac:dyDescent="0.2">
      <c r="A126" s="625" t="s">
        <v>87</v>
      </c>
      <c r="B126" s="625"/>
      <c r="C126" s="625"/>
      <c r="D126" s="215">
        <f>ROUND(D125+D124,2)</f>
        <v>2698.79</v>
      </c>
    </row>
    <row r="128" spans="1:6" x14ac:dyDescent="0.2">
      <c r="A128" s="623" t="s">
        <v>110</v>
      </c>
      <c r="B128" s="623"/>
      <c r="C128" s="623"/>
      <c r="D128" s="623"/>
    </row>
    <row r="129" spans="1:5" x14ac:dyDescent="0.2">
      <c r="A129" s="626" t="s">
        <v>13</v>
      </c>
      <c r="B129" s="626"/>
      <c r="C129" s="626"/>
      <c r="D129" s="212"/>
    </row>
    <row r="130" spans="1:5" x14ac:dyDescent="0.2">
      <c r="A130" s="626" t="s">
        <v>88</v>
      </c>
      <c r="B130" s="626"/>
      <c r="C130" s="626"/>
      <c r="D130" s="212">
        <f>D126</f>
        <v>2698.79</v>
      </c>
      <c r="E130" s="200"/>
    </row>
    <row r="131" spans="1:5" x14ac:dyDescent="0.2">
      <c r="A131" s="626" t="s">
        <v>89</v>
      </c>
      <c r="B131" s="626"/>
      <c r="C131" s="626"/>
      <c r="D131" s="212">
        <v>1</v>
      </c>
      <c r="E131" s="200"/>
    </row>
    <row r="132" spans="1:5" x14ac:dyDescent="0.2">
      <c r="A132" s="626" t="s">
        <v>90</v>
      </c>
      <c r="B132" s="626"/>
      <c r="C132" s="626"/>
      <c r="D132" s="212">
        <f>ROUND(D131*D130,2)</f>
        <v>2698.79</v>
      </c>
      <c r="E132" s="200"/>
    </row>
    <row r="133" spans="1:5" x14ac:dyDescent="0.2">
      <c r="A133" s="626" t="s">
        <v>91</v>
      </c>
      <c r="B133" s="626"/>
      <c r="C133" s="626"/>
      <c r="D133" s="212">
        <v>3</v>
      </c>
      <c r="E133" s="200"/>
    </row>
    <row r="134" spans="1:5" x14ac:dyDescent="0.2">
      <c r="A134" s="633" t="s">
        <v>92</v>
      </c>
      <c r="B134" s="633"/>
      <c r="C134" s="633"/>
      <c r="D134" s="215">
        <f>ROUND(D133*D132,2)</f>
        <v>8096.37</v>
      </c>
      <c r="E134" s="200"/>
    </row>
    <row r="135" spans="1:5" x14ac:dyDescent="0.2">
      <c r="E135" s="200"/>
    </row>
    <row r="136" spans="1:5" x14ac:dyDescent="0.2">
      <c r="A136" s="623" t="s">
        <v>111</v>
      </c>
      <c r="B136" s="623"/>
      <c r="C136" s="623"/>
      <c r="D136" s="623"/>
    </row>
    <row r="137" spans="1:5" x14ac:dyDescent="0.2">
      <c r="A137" s="331" t="s">
        <v>1</v>
      </c>
      <c r="B137" s="626" t="s">
        <v>93</v>
      </c>
      <c r="C137" s="626"/>
      <c r="D137" s="297">
        <f>D130</f>
        <v>2698.79</v>
      </c>
      <c r="E137" s="303">
        <v>2183.9299999999998</v>
      </c>
    </row>
    <row r="138" spans="1:5" x14ac:dyDescent="0.2">
      <c r="A138" s="331" t="s">
        <v>2</v>
      </c>
      <c r="B138" s="626" t="s">
        <v>94</v>
      </c>
      <c r="C138" s="626"/>
      <c r="D138" s="212">
        <f>D134</f>
        <v>8096.37</v>
      </c>
    </row>
    <row r="139" spans="1:5" x14ac:dyDescent="0.2">
      <c r="A139" s="337" t="s">
        <v>4</v>
      </c>
      <c r="B139" s="633" t="s">
        <v>95</v>
      </c>
      <c r="C139" s="633"/>
      <c r="D139" s="215">
        <f>ROUND(D138*12,2)</f>
        <v>97156.44</v>
      </c>
      <c r="E139" s="363"/>
    </row>
    <row r="140" spans="1:5" x14ac:dyDescent="0.2">
      <c r="A140" s="343"/>
    </row>
    <row r="141" spans="1:5" x14ac:dyDescent="0.2">
      <c r="A141" s="343"/>
      <c r="C141" s="364"/>
      <c r="D141" s="365"/>
    </row>
    <row r="142" spans="1:5" x14ac:dyDescent="0.2">
      <c r="A142" s="647" t="str">
        <f>'[1]CURITIBA (servente copeira )'!A142:B142</f>
        <v>Curitiba, 20 de Fevereiro de 2014.</v>
      </c>
      <c r="B142" s="648"/>
    </row>
    <row r="143" spans="1:5" x14ac:dyDescent="0.2">
      <c r="A143" s="343"/>
    </row>
    <row r="144" spans="1:5" x14ac:dyDescent="0.2">
      <c r="A144" s="343"/>
    </row>
    <row r="145" spans="1:2" x14ac:dyDescent="0.2">
      <c r="A145" s="649" t="s">
        <v>381</v>
      </c>
      <c r="B145" s="649"/>
    </row>
    <row r="146" spans="1:2" x14ac:dyDescent="0.2">
      <c r="A146" s="646" t="s">
        <v>379</v>
      </c>
      <c r="B146" s="646"/>
    </row>
    <row r="147" spans="1:2" x14ac:dyDescent="0.2">
      <c r="A147" s="646" t="s">
        <v>380</v>
      </c>
      <c r="B147" s="646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1" orientation="portrait" r:id="rId1"/>
  <headerFooter alignWithMargins="0"/>
  <rowBreaks count="1" manualBreakCount="1">
    <brk id="7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624">
        <v>41015</v>
      </c>
      <c r="D8" s="621"/>
    </row>
    <row r="9" spans="1:4" x14ac:dyDescent="0.2">
      <c r="A9" s="331" t="s">
        <v>2</v>
      </c>
      <c r="B9" s="332" t="s">
        <v>114</v>
      </c>
      <c r="C9" s="625" t="s">
        <v>524</v>
      </c>
      <c r="D9" s="625"/>
    </row>
    <row r="10" spans="1:4" x14ac:dyDescent="0.2">
      <c r="A10" s="331" t="s">
        <v>4</v>
      </c>
      <c r="B10" s="332" t="s">
        <v>6</v>
      </c>
      <c r="C10" s="624">
        <v>41641</v>
      </c>
      <c r="D10" s="621"/>
    </row>
    <row r="11" spans="1:4" x14ac:dyDescent="0.2">
      <c r="A11" s="331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440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620" t="s">
        <v>145</v>
      </c>
      <c r="D22" s="621"/>
    </row>
    <row r="23" spans="1:5" x14ac:dyDescent="0.2">
      <c r="A23" s="331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438</v>
      </c>
      <c r="C30" s="298"/>
      <c r="D30" s="297">
        <f>'REPACTUAÇÃO 2014'!G6</f>
        <v>66</v>
      </c>
      <c r="E30" s="303">
        <v>62</v>
      </c>
    </row>
    <row r="31" spans="1:5" x14ac:dyDescent="0.2">
      <c r="A31" s="331" t="s">
        <v>4</v>
      </c>
      <c r="B31" s="332" t="s">
        <v>24</v>
      </c>
      <c r="C31" s="19"/>
      <c r="D31" s="13"/>
      <c r="E31" s="196"/>
    </row>
    <row r="32" spans="1:5" x14ac:dyDescent="0.2">
      <c r="A32" s="331" t="s">
        <v>3</v>
      </c>
      <c r="B32" s="332" t="s">
        <v>25</v>
      </c>
      <c r="C32" s="20"/>
      <c r="D32" s="13"/>
      <c r="E32" s="153"/>
    </row>
    <row r="33" spans="1:6" x14ac:dyDescent="0.2">
      <c r="A33" s="331" t="s">
        <v>18</v>
      </c>
      <c r="B33" s="332" t="s">
        <v>26</v>
      </c>
      <c r="C33" s="20"/>
      <c r="D33" s="13"/>
      <c r="E33" s="153"/>
    </row>
    <row r="34" spans="1:6" x14ac:dyDescent="0.2">
      <c r="A34" s="331" t="s">
        <v>19</v>
      </c>
      <c r="B34" s="332" t="s">
        <v>27</v>
      </c>
      <c r="C34" s="18"/>
      <c r="D34" s="13"/>
      <c r="E34" s="196"/>
    </row>
    <row r="35" spans="1:6" x14ac:dyDescent="0.2">
      <c r="A35" s="331" t="s">
        <v>20</v>
      </c>
      <c r="B35" s="332" t="s">
        <v>28</v>
      </c>
      <c r="C35" s="20"/>
      <c r="D35" s="13"/>
      <c r="E35" s="153"/>
    </row>
    <row r="36" spans="1:6" x14ac:dyDescent="0.2">
      <c r="A36" s="331" t="s">
        <v>21</v>
      </c>
      <c r="B36" s="332" t="s">
        <v>119</v>
      </c>
      <c r="C36" s="18"/>
      <c r="D36" s="13"/>
    </row>
    <row r="37" spans="1:6" x14ac:dyDescent="0.2">
      <c r="A37" s="331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299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1052.9000000000001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337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331" t="s">
        <v>1</v>
      </c>
      <c r="B43" s="340" t="s">
        <v>133</v>
      </c>
      <c r="C43" s="13">
        <v>3.15</v>
      </c>
      <c r="D43" s="13">
        <f>ROUND((C43*44)-(D29*6%),2)</f>
        <v>81.599999999999994</v>
      </c>
      <c r="E43" s="197"/>
    </row>
    <row r="44" spans="1:6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379.6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331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331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299" t="s">
        <v>1</v>
      </c>
      <c r="B61" s="300" t="s">
        <v>40</v>
      </c>
      <c r="C61" s="10">
        <v>0.2</v>
      </c>
      <c r="D61" s="13">
        <f>ROUND($D$39*C61,2)</f>
        <v>210.58</v>
      </c>
    </row>
    <row r="62" spans="1:5" x14ac:dyDescent="0.2">
      <c r="A62" s="299" t="s">
        <v>2</v>
      </c>
      <c r="B62" s="300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299" t="s">
        <v>4</v>
      </c>
      <c r="B63" s="300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299" t="s">
        <v>3</v>
      </c>
      <c r="B64" s="300" t="s">
        <v>42</v>
      </c>
      <c r="C64" s="10">
        <v>2E-3</v>
      </c>
      <c r="D64" s="13">
        <f t="shared" si="0"/>
        <v>2.11</v>
      </c>
    </row>
    <row r="65" spans="1:6" x14ac:dyDescent="0.2">
      <c r="A65" s="299" t="s">
        <v>18</v>
      </c>
      <c r="B65" s="300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299" t="s">
        <v>19</v>
      </c>
      <c r="B66" s="300" t="s">
        <v>44</v>
      </c>
      <c r="C66" s="10">
        <v>0.08</v>
      </c>
      <c r="D66" s="13">
        <f t="shared" si="0"/>
        <v>84.23</v>
      </c>
    </row>
    <row r="67" spans="1:6" x14ac:dyDescent="0.2">
      <c r="A67" s="299" t="s">
        <v>20</v>
      </c>
      <c r="B67" s="300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299" t="s">
        <v>21</v>
      </c>
      <c r="B68" s="300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299" t="s">
        <v>2</v>
      </c>
      <c r="B73" s="300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116.98</v>
      </c>
    </row>
    <row r="75" spans="1:6" x14ac:dyDescent="0.2">
      <c r="A75" s="299" t="s">
        <v>4</v>
      </c>
      <c r="B75" s="300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160.04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299" t="s">
        <v>1</v>
      </c>
      <c r="B79" s="300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299" t="s">
        <v>2</v>
      </c>
      <c r="B80" s="300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299" t="s">
        <v>4</v>
      </c>
      <c r="B81" s="300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331" t="s">
        <v>3</v>
      </c>
      <c r="B82" s="332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331" t="s">
        <v>18</v>
      </c>
      <c r="B83" s="332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331" t="s">
        <v>19</v>
      </c>
      <c r="B84" s="332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331" t="s">
        <v>1</v>
      </c>
      <c r="B88" s="332" t="s">
        <v>58</v>
      </c>
      <c r="C88" s="10">
        <v>8.3299999999999999E-2</v>
      </c>
      <c r="D88" s="13">
        <f t="shared" ref="D88:D95" si="2">ROUND($D$39*C88,2)</f>
        <v>87.71</v>
      </c>
      <c r="E88" s="346"/>
    </row>
    <row r="89" spans="1:5" x14ac:dyDescent="0.2">
      <c r="A89" s="331" t="s">
        <v>2</v>
      </c>
      <c r="B89" s="332" t="s">
        <v>59</v>
      </c>
      <c r="C89" s="10">
        <v>5.5999999999999999E-3</v>
      </c>
      <c r="D89" s="13">
        <f t="shared" si="2"/>
        <v>5.9</v>
      </c>
    </row>
    <row r="90" spans="1:5" x14ac:dyDescent="0.2">
      <c r="A90" s="331" t="s">
        <v>4</v>
      </c>
      <c r="B90" s="300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331" t="s">
        <v>3</v>
      </c>
      <c r="B91" s="332" t="s">
        <v>60</v>
      </c>
      <c r="C91" s="10">
        <v>2.8E-3</v>
      </c>
      <c r="D91" s="13">
        <f t="shared" si="2"/>
        <v>2.95</v>
      </c>
    </row>
    <row r="92" spans="1:5" x14ac:dyDescent="0.2">
      <c r="A92" s="331" t="s">
        <v>18</v>
      </c>
      <c r="B92" s="332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331" t="s">
        <v>19</v>
      </c>
      <c r="B93" s="300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98.34</v>
      </c>
    </row>
    <row r="95" spans="1:5" x14ac:dyDescent="0.2">
      <c r="A95" s="331" t="s">
        <v>20</v>
      </c>
      <c r="B95" s="332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134.56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12" t="s">
        <v>98</v>
      </c>
    </row>
    <row r="100" spans="1:5" x14ac:dyDescent="0.2">
      <c r="A100" s="331" t="s">
        <v>63</v>
      </c>
      <c r="B100" s="347" t="s">
        <v>69</v>
      </c>
      <c r="C100" s="348">
        <f>C76</f>
        <v>0.152</v>
      </c>
      <c r="D100" s="13">
        <f>ROUND($D$39*C100,2)</f>
        <v>160.04</v>
      </c>
      <c r="E100" s="346"/>
    </row>
    <row r="101" spans="1:5" x14ac:dyDescent="0.2">
      <c r="A101" s="331" t="s">
        <v>64</v>
      </c>
      <c r="B101" s="347" t="s">
        <v>126</v>
      </c>
      <c r="C101" s="348">
        <f>C69</f>
        <v>0.36799999999999999</v>
      </c>
      <c r="D101" s="13">
        <f>ROUND($D$39*C101,2)</f>
        <v>387.47</v>
      </c>
    </row>
    <row r="102" spans="1:5" x14ac:dyDescent="0.2">
      <c r="A102" s="299" t="s">
        <v>65</v>
      </c>
      <c r="B102" s="347" t="s">
        <v>70</v>
      </c>
      <c r="C102" s="348">
        <f>C85</f>
        <v>8.0500000000000002E-2</v>
      </c>
      <c r="D102" s="13">
        <f>ROUND($D$39*C102,2)</f>
        <v>84.76</v>
      </c>
    </row>
    <row r="103" spans="1:5" x14ac:dyDescent="0.2">
      <c r="A103" s="299" t="s">
        <v>66</v>
      </c>
      <c r="B103" s="347" t="s">
        <v>71</v>
      </c>
      <c r="C103" s="348">
        <f>C96</f>
        <v>0.1278</v>
      </c>
      <c r="D103" s="13">
        <f>ROUND($D$39*C103,2)</f>
        <v>134.56</v>
      </c>
    </row>
    <row r="104" spans="1:5" x14ac:dyDescent="0.2">
      <c r="A104" s="299" t="s">
        <v>67</v>
      </c>
      <c r="B104" s="347" t="s">
        <v>29</v>
      </c>
      <c r="C104" s="349"/>
      <c r="D104" s="13"/>
    </row>
    <row r="105" spans="1:5" x14ac:dyDescent="0.2">
      <c r="A105" s="331"/>
      <c r="B105" s="350" t="s">
        <v>46</v>
      </c>
      <c r="C105" s="35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2609.0500000000002</v>
      </c>
    </row>
    <row r="107" spans="1:5" x14ac:dyDescent="0.2">
      <c r="A107" s="337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331" t="s">
        <v>1</v>
      </c>
      <c r="B108" s="332" t="s">
        <v>73</v>
      </c>
      <c r="C108" s="10">
        <v>1.06E-2</v>
      </c>
      <c r="D108" s="13">
        <f>ROUND($D$106*C108,2)</f>
        <v>27.66</v>
      </c>
    </row>
    <row r="109" spans="1:5" x14ac:dyDescent="0.2">
      <c r="A109" s="331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49.27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226.92</v>
      </c>
      <c r="F113" s="353">
        <f>SUM(C110:C114)</f>
        <v>0.1125</v>
      </c>
    </row>
    <row r="114" spans="1:9" x14ac:dyDescent="0.2">
      <c r="A114" s="352" t="s">
        <v>109</v>
      </c>
      <c r="B114" s="332" t="s">
        <v>79</v>
      </c>
      <c r="C114" s="131">
        <v>0.02</v>
      </c>
      <c r="D114" s="13">
        <f>ROUND($F$115*C114,2)</f>
        <v>59.72</v>
      </c>
      <c r="F114" s="354">
        <f>ROUND(D115+D108+D106,2)</f>
        <v>2649.89</v>
      </c>
    </row>
    <row r="115" spans="1:9" x14ac:dyDescent="0.2">
      <c r="A115" s="331" t="s">
        <v>4</v>
      </c>
      <c r="B115" s="332" t="s">
        <v>80</v>
      </c>
      <c r="C115" s="10">
        <v>5.0000000000000001E-3</v>
      </c>
      <c r="D115" s="13">
        <f>ROUND(($D$106+D108)*C115,2)</f>
        <v>13.18</v>
      </c>
      <c r="F115" s="41">
        <f>ROUND(F114/(1-F113),2)</f>
        <v>2985.79</v>
      </c>
    </row>
    <row r="116" spans="1:9" x14ac:dyDescent="0.2">
      <c r="A116" s="638" t="s">
        <v>46</v>
      </c>
      <c r="B116" s="643"/>
      <c r="C116" s="639"/>
      <c r="D116" s="22">
        <f>ROUND(SUM(D108:D115),2)</f>
        <v>376.75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331" t="s">
        <v>1</v>
      </c>
      <c r="B120" s="626" t="s">
        <v>83</v>
      </c>
      <c r="C120" s="626"/>
      <c r="D120" s="13">
        <f>D39</f>
        <v>1052.9000000000001</v>
      </c>
    </row>
    <row r="121" spans="1:9" x14ac:dyDescent="0.2">
      <c r="A121" s="331" t="s">
        <v>2</v>
      </c>
      <c r="B121" s="626" t="s">
        <v>84</v>
      </c>
      <c r="C121" s="626"/>
      <c r="D121" s="13">
        <f>D49</f>
        <v>379.6</v>
      </c>
    </row>
    <row r="122" spans="1:9" x14ac:dyDescent="0.2">
      <c r="A122" s="331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331" t="s">
        <v>3</v>
      </c>
      <c r="B123" s="626" t="s">
        <v>127</v>
      </c>
      <c r="C123" s="626"/>
      <c r="D123" s="13">
        <f>D105</f>
        <v>766.83</v>
      </c>
    </row>
    <row r="124" spans="1:9" x14ac:dyDescent="0.2">
      <c r="A124" s="625" t="s">
        <v>49</v>
      </c>
      <c r="B124" s="625"/>
      <c r="C124" s="625"/>
      <c r="D124" s="22">
        <f>ROUND(SUM(D120:D123),2)</f>
        <v>2609.0500000000002</v>
      </c>
    </row>
    <row r="125" spans="1:9" ht="18.75" x14ac:dyDescent="0.3">
      <c r="A125" s="331" t="s">
        <v>18</v>
      </c>
      <c r="B125" s="645" t="s">
        <v>86</v>
      </c>
      <c r="C125" s="645"/>
      <c r="D125" s="13">
        <f>D116</f>
        <v>376.75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2985.8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2985.8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2985.8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2985.8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331" t="s">
        <v>1</v>
      </c>
      <c r="B137" s="626" t="s">
        <v>93</v>
      </c>
      <c r="C137" s="626"/>
      <c r="D137" s="297">
        <f>D130</f>
        <v>2985.8</v>
      </c>
      <c r="E137" s="303">
        <v>2279.4299999999998</v>
      </c>
    </row>
    <row r="138" spans="1:9" x14ac:dyDescent="0.2">
      <c r="A138" s="331" t="s">
        <v>2</v>
      </c>
      <c r="B138" s="626" t="s">
        <v>94</v>
      </c>
      <c r="C138" s="626"/>
      <c r="D138" s="13">
        <f>D134</f>
        <v>2985.8</v>
      </c>
    </row>
    <row r="139" spans="1:9" x14ac:dyDescent="0.2">
      <c r="A139" s="337" t="s">
        <v>4</v>
      </c>
      <c r="B139" s="633" t="s">
        <v>95</v>
      </c>
      <c r="C139" s="633"/>
      <c r="D139" s="22">
        <f>ROUND(D138*12,2)</f>
        <v>35829.599999999999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205" customWidth="1"/>
    <col min="4" max="4" width="22.85546875" style="206" customWidth="1"/>
    <col min="5" max="5" width="14.7109375" style="330" hidden="1" customWidth="1"/>
    <col min="6" max="6" width="9.28515625" style="333" bestFit="1" customWidth="1"/>
    <col min="7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 t="s">
        <v>143</v>
      </c>
    </row>
    <row r="5" spans="1:4" x14ac:dyDescent="0.2">
      <c r="A5" s="3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720"/>
      <c r="D8" s="719"/>
    </row>
    <row r="9" spans="1:4" x14ac:dyDescent="0.2">
      <c r="A9" s="331" t="s">
        <v>2</v>
      </c>
      <c r="B9" s="332" t="s">
        <v>114</v>
      </c>
      <c r="C9" s="721" t="s">
        <v>525</v>
      </c>
      <c r="D9" s="721"/>
    </row>
    <row r="10" spans="1:4" x14ac:dyDescent="0.2">
      <c r="A10" s="331" t="s">
        <v>4</v>
      </c>
      <c r="B10" s="332" t="s">
        <v>6</v>
      </c>
      <c r="C10" s="720">
        <v>40909</v>
      </c>
      <c r="D10" s="719"/>
    </row>
    <row r="11" spans="1:4" x14ac:dyDescent="0.2">
      <c r="A11" s="331" t="s">
        <v>3</v>
      </c>
      <c r="B11" s="332" t="s">
        <v>7</v>
      </c>
      <c r="C11" s="718" t="s">
        <v>141</v>
      </c>
      <c r="D11" s="719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718" t="s">
        <v>113</v>
      </c>
      <c r="D14" s="719"/>
    </row>
    <row r="15" spans="1:4" x14ac:dyDescent="0.2">
      <c r="A15" s="626" t="s">
        <v>129</v>
      </c>
      <c r="B15" s="626"/>
      <c r="C15" s="718" t="s">
        <v>142</v>
      </c>
      <c r="D15" s="719"/>
    </row>
    <row r="16" spans="1:4" x14ac:dyDescent="0.2">
      <c r="A16" s="626" t="s">
        <v>10</v>
      </c>
      <c r="B16" s="626"/>
      <c r="C16" s="719">
        <v>3</v>
      </c>
      <c r="D16" s="719"/>
    </row>
    <row r="17" spans="1:5" x14ac:dyDescent="0.2">
      <c r="A17" s="627" t="s">
        <v>253</v>
      </c>
      <c r="B17" s="628"/>
      <c r="C17" s="719" t="s">
        <v>254</v>
      </c>
      <c r="D17" s="719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718" t="s">
        <v>145</v>
      </c>
      <c r="D22" s="719"/>
    </row>
    <row r="23" spans="1:5" x14ac:dyDescent="0.2">
      <c r="A23" s="331">
        <v>2</v>
      </c>
      <c r="B23" s="332" t="s">
        <v>14</v>
      </c>
      <c r="C23" s="634">
        <f>'REPACTUAÇÃO 2014'!F5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717"/>
      <c r="D26" s="71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209" t="s">
        <v>121</v>
      </c>
      <c r="D28" s="210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23</v>
      </c>
      <c r="C30" s="213"/>
      <c r="D30" s="212"/>
    </row>
    <row r="31" spans="1:5" x14ac:dyDescent="0.2">
      <c r="A31" s="331" t="s">
        <v>4</v>
      </c>
      <c r="B31" s="332" t="s">
        <v>24</v>
      </c>
      <c r="C31" s="213"/>
      <c r="D31" s="212"/>
      <c r="E31" s="196"/>
    </row>
    <row r="32" spans="1:5" x14ac:dyDescent="0.2">
      <c r="A32" s="331" t="s">
        <v>3</v>
      </c>
      <c r="B32" s="332" t="s">
        <v>25</v>
      </c>
      <c r="C32" s="214"/>
      <c r="D32" s="212"/>
      <c r="E32" s="153"/>
    </row>
    <row r="33" spans="1:5" x14ac:dyDescent="0.2">
      <c r="A33" s="331" t="s">
        <v>18</v>
      </c>
      <c r="B33" s="332" t="s">
        <v>26</v>
      </c>
      <c r="C33" s="214"/>
      <c r="D33" s="212"/>
      <c r="E33" s="153"/>
    </row>
    <row r="34" spans="1:5" x14ac:dyDescent="0.2">
      <c r="A34" s="331" t="s">
        <v>19</v>
      </c>
      <c r="B34" s="332" t="s">
        <v>27</v>
      </c>
      <c r="C34" s="211"/>
      <c r="D34" s="212"/>
      <c r="E34" s="196"/>
    </row>
    <row r="35" spans="1:5" x14ac:dyDescent="0.2">
      <c r="A35" s="331" t="s">
        <v>20</v>
      </c>
      <c r="B35" s="332" t="s">
        <v>28</v>
      </c>
      <c r="C35" s="214"/>
      <c r="D35" s="212"/>
      <c r="E35" s="153"/>
    </row>
    <row r="36" spans="1:5" x14ac:dyDescent="0.2">
      <c r="A36" s="331" t="s">
        <v>21</v>
      </c>
      <c r="B36" s="332" t="s">
        <v>119</v>
      </c>
      <c r="C36" s="211"/>
      <c r="D36" s="212"/>
    </row>
    <row r="37" spans="1:5" x14ac:dyDescent="0.2">
      <c r="A37" s="331" t="s">
        <v>116</v>
      </c>
      <c r="B37" s="332" t="s">
        <v>122</v>
      </c>
      <c r="C37" s="211"/>
      <c r="D37" s="212">
        <f>ROUND(SUM(D32:D35)/23*7,2)</f>
        <v>0</v>
      </c>
    </row>
    <row r="38" spans="1:5" x14ac:dyDescent="0.2">
      <c r="A38" s="299" t="s">
        <v>487</v>
      </c>
      <c r="B38" s="300" t="s">
        <v>488</v>
      </c>
      <c r="C38" s="301"/>
      <c r="D38" s="302">
        <f>D29*3.6316%</f>
        <v>34.5</v>
      </c>
      <c r="E38" s="303" t="s">
        <v>489</v>
      </c>
    </row>
    <row r="39" spans="1:5" x14ac:dyDescent="0.2">
      <c r="A39" s="638" t="s">
        <v>30</v>
      </c>
      <c r="B39" s="639"/>
      <c r="C39" s="18"/>
      <c r="D39" s="22">
        <f>ROUND(SUM(D29:D38),2)</f>
        <v>984.5</v>
      </c>
    </row>
    <row r="41" spans="1:5" x14ac:dyDescent="0.2">
      <c r="A41" s="640" t="s">
        <v>99</v>
      </c>
      <c r="B41" s="641"/>
      <c r="C41" s="641"/>
      <c r="D41" s="642"/>
    </row>
    <row r="42" spans="1:5" x14ac:dyDescent="0.2">
      <c r="A42" s="337">
        <v>2</v>
      </c>
      <c r="B42" s="339" t="s">
        <v>31</v>
      </c>
      <c r="C42" s="209" t="s">
        <v>120</v>
      </c>
      <c r="D42" s="210" t="s">
        <v>98</v>
      </c>
    </row>
    <row r="43" spans="1:5" ht="13.5" customHeight="1" x14ac:dyDescent="0.2">
      <c r="A43" s="331" t="s">
        <v>1</v>
      </c>
      <c r="B43" s="340" t="s">
        <v>133</v>
      </c>
      <c r="C43" s="212">
        <v>0</v>
      </c>
      <c r="D43" s="212"/>
      <c r="E43" s="197"/>
    </row>
    <row r="44" spans="1:5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5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5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5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5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216"/>
      <c r="D49" s="215">
        <f>ROUND(SUM(D43:D48),2)</f>
        <v>298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209" t="s">
        <v>97</v>
      </c>
      <c r="D52" s="210" t="s">
        <v>98</v>
      </c>
    </row>
    <row r="53" spans="1:5" x14ac:dyDescent="0.2">
      <c r="A53" s="331" t="s">
        <v>1</v>
      </c>
      <c r="B53" s="332" t="s">
        <v>36</v>
      </c>
      <c r="C53" s="217">
        <v>31.1</v>
      </c>
      <c r="D53" s="212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255.48</v>
      </c>
    </row>
    <row r="55" spans="1:5" x14ac:dyDescent="0.2">
      <c r="A55" s="331" t="s">
        <v>4</v>
      </c>
      <c r="B55" s="332" t="s">
        <v>38</v>
      </c>
      <c r="C55" s="217">
        <f>[1]Equipamentos!D14</f>
        <v>37.479999999999997</v>
      </c>
      <c r="D55" s="212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212">
        <f>'[1]Epi''s'!E6</f>
        <v>2.8</v>
      </c>
      <c r="D56" s="212">
        <f>C56</f>
        <v>2.8</v>
      </c>
      <c r="E56" s="344"/>
    </row>
    <row r="57" spans="1:5" x14ac:dyDescent="0.2">
      <c r="A57" s="638" t="s">
        <v>39</v>
      </c>
      <c r="B57" s="639"/>
      <c r="C57" s="216"/>
      <c r="D57" s="215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209" t="s">
        <v>97</v>
      </c>
      <c r="D60" s="210" t="s">
        <v>98</v>
      </c>
    </row>
    <row r="61" spans="1:5" x14ac:dyDescent="0.2">
      <c r="A61" s="299" t="s">
        <v>1</v>
      </c>
      <c r="B61" s="300" t="s">
        <v>40</v>
      </c>
      <c r="C61" s="216">
        <v>0.2</v>
      </c>
      <c r="D61" s="212">
        <f>ROUND($D$39*C61,2)</f>
        <v>196.9</v>
      </c>
    </row>
    <row r="62" spans="1:5" x14ac:dyDescent="0.2">
      <c r="A62" s="299" t="s">
        <v>2</v>
      </c>
      <c r="B62" s="300" t="s">
        <v>41</v>
      </c>
      <c r="C62" s="216">
        <v>1.4999999999999999E-2</v>
      </c>
      <c r="D62" s="212">
        <f>ROUND($D$39*C62,2)</f>
        <v>14.77</v>
      </c>
    </row>
    <row r="63" spans="1:5" x14ac:dyDescent="0.2">
      <c r="A63" s="299" t="s">
        <v>4</v>
      </c>
      <c r="B63" s="300" t="s">
        <v>123</v>
      </c>
      <c r="C63" s="216">
        <v>0.01</v>
      </c>
      <c r="D63" s="212">
        <f t="shared" ref="D63:D68" si="0">ROUND($D$39*C63,2)</f>
        <v>9.85</v>
      </c>
    </row>
    <row r="64" spans="1:5" x14ac:dyDescent="0.2">
      <c r="A64" s="299" t="s">
        <v>3</v>
      </c>
      <c r="B64" s="300" t="s">
        <v>42</v>
      </c>
      <c r="C64" s="216">
        <v>2E-3</v>
      </c>
      <c r="D64" s="212">
        <f t="shared" si="0"/>
        <v>1.97</v>
      </c>
    </row>
    <row r="65" spans="1:6" x14ac:dyDescent="0.2">
      <c r="A65" s="299" t="s">
        <v>18</v>
      </c>
      <c r="B65" s="300" t="s">
        <v>43</v>
      </c>
      <c r="C65" s="216">
        <v>2.5000000000000001E-2</v>
      </c>
      <c r="D65" s="212">
        <f t="shared" si="0"/>
        <v>24.61</v>
      </c>
    </row>
    <row r="66" spans="1:6" x14ac:dyDescent="0.2">
      <c r="A66" s="299" t="s">
        <v>19</v>
      </c>
      <c r="B66" s="300" t="s">
        <v>44</v>
      </c>
      <c r="C66" s="216">
        <v>0.08</v>
      </c>
      <c r="D66" s="212">
        <f t="shared" si="0"/>
        <v>78.760000000000005</v>
      </c>
    </row>
    <row r="67" spans="1:6" x14ac:dyDescent="0.2">
      <c r="A67" s="299" t="s">
        <v>20</v>
      </c>
      <c r="B67" s="300" t="s">
        <v>124</v>
      </c>
      <c r="C67" s="216">
        <f>2%*F71</f>
        <v>0.03</v>
      </c>
      <c r="D67" s="212">
        <f t="shared" si="0"/>
        <v>29.54</v>
      </c>
    </row>
    <row r="68" spans="1:6" x14ac:dyDescent="0.2">
      <c r="A68" s="299" t="s">
        <v>21</v>
      </c>
      <c r="B68" s="300" t="s">
        <v>45</v>
      </c>
      <c r="C68" s="216">
        <v>6.0000000000000001E-3</v>
      </c>
      <c r="D68" s="212">
        <f t="shared" si="0"/>
        <v>5.91</v>
      </c>
    </row>
    <row r="69" spans="1:6" x14ac:dyDescent="0.2">
      <c r="A69" s="638" t="s">
        <v>51</v>
      </c>
      <c r="B69" s="644"/>
      <c r="C69" s="218">
        <f>SUM(C61:C68)</f>
        <v>0.36799999999999999</v>
      </c>
      <c r="D69" s="215">
        <f>ROUND(SUM(D61:D68),2)</f>
        <v>362.31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209" t="s">
        <v>97</v>
      </c>
      <c r="D71" s="210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216">
        <v>8.3299999999999999E-2</v>
      </c>
      <c r="D72" s="212">
        <f>ROUND($D$39*C72,2)</f>
        <v>82.01</v>
      </c>
    </row>
    <row r="73" spans="1:6" x14ac:dyDescent="0.2">
      <c r="A73" s="299" t="s">
        <v>2</v>
      </c>
      <c r="B73" s="300" t="s">
        <v>48</v>
      </c>
      <c r="C73" s="216">
        <f>C88/3</f>
        <v>2.7799999999999998E-2</v>
      </c>
      <c r="D73" s="212">
        <f>ROUND($D$39*C73,2)</f>
        <v>27.37</v>
      </c>
    </row>
    <row r="74" spans="1:6" x14ac:dyDescent="0.2">
      <c r="A74" s="625" t="s">
        <v>49</v>
      </c>
      <c r="B74" s="625"/>
      <c r="C74" s="218">
        <f>SUM(C72:C73)</f>
        <v>0.1111</v>
      </c>
      <c r="D74" s="215">
        <f>ROUND(SUM(D72:D73),2)</f>
        <v>109.38</v>
      </c>
    </row>
    <row r="75" spans="1:6" x14ac:dyDescent="0.2">
      <c r="A75" s="299" t="s">
        <v>4</v>
      </c>
      <c r="B75" s="300" t="s">
        <v>50</v>
      </c>
      <c r="C75" s="216">
        <f>C69*C74</f>
        <v>4.0899999999999999E-2</v>
      </c>
      <c r="D75" s="212">
        <f>ROUND($D$39*C75,2)</f>
        <v>40.270000000000003</v>
      </c>
    </row>
    <row r="76" spans="1:6" x14ac:dyDescent="0.2">
      <c r="A76" s="625" t="s">
        <v>46</v>
      </c>
      <c r="B76" s="625"/>
      <c r="C76" s="218">
        <f>C75+C74</f>
        <v>0.152</v>
      </c>
      <c r="D76" s="215">
        <f>ROUND(D75+D74,2)</f>
        <v>149.65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209" t="s">
        <v>97</v>
      </c>
      <c r="D78" s="210" t="s">
        <v>98</v>
      </c>
    </row>
    <row r="79" spans="1:6" x14ac:dyDescent="0.2">
      <c r="A79" s="299" t="s">
        <v>1</v>
      </c>
      <c r="B79" s="300" t="s">
        <v>52</v>
      </c>
      <c r="C79" s="216">
        <v>1.6999999999999999E-3</v>
      </c>
      <c r="D79" s="212">
        <f t="shared" ref="D79:D84" si="1">ROUND($D$39*C79,2)</f>
        <v>1.67</v>
      </c>
    </row>
    <row r="80" spans="1:6" x14ac:dyDescent="0.2">
      <c r="A80" s="299" t="s">
        <v>2</v>
      </c>
      <c r="B80" s="300" t="s">
        <v>53</v>
      </c>
      <c r="C80" s="216">
        <f>C66*C79</f>
        <v>1E-4</v>
      </c>
      <c r="D80" s="212">
        <f t="shared" si="1"/>
        <v>0.1</v>
      </c>
    </row>
    <row r="81" spans="1:5" x14ac:dyDescent="0.2">
      <c r="A81" s="299" t="s">
        <v>4</v>
      </c>
      <c r="B81" s="300" t="s">
        <v>54</v>
      </c>
      <c r="C81" s="216">
        <f>C66*10%</f>
        <v>8.0000000000000002E-3</v>
      </c>
      <c r="D81" s="212">
        <f t="shared" si="1"/>
        <v>7.88</v>
      </c>
    </row>
    <row r="82" spans="1:5" x14ac:dyDescent="0.2">
      <c r="A82" s="331" t="s">
        <v>3</v>
      </c>
      <c r="B82" s="332" t="s">
        <v>55</v>
      </c>
      <c r="C82" s="216">
        <v>1.9400000000000001E-2</v>
      </c>
      <c r="D82" s="212">
        <f t="shared" si="1"/>
        <v>19.100000000000001</v>
      </c>
    </row>
    <row r="83" spans="1:5" x14ac:dyDescent="0.2">
      <c r="A83" s="331" t="s">
        <v>18</v>
      </c>
      <c r="B83" s="332" t="s">
        <v>56</v>
      </c>
      <c r="C83" s="216">
        <f>C69*C82</f>
        <v>7.1000000000000004E-3</v>
      </c>
      <c r="D83" s="212">
        <f t="shared" si="1"/>
        <v>6.99</v>
      </c>
    </row>
    <row r="84" spans="1:5" x14ac:dyDescent="0.2">
      <c r="A84" s="331" t="s">
        <v>19</v>
      </c>
      <c r="B84" s="332" t="s">
        <v>57</v>
      </c>
      <c r="C84" s="216">
        <v>4.4200000000000003E-2</v>
      </c>
      <c r="D84" s="212">
        <f t="shared" si="1"/>
        <v>43.51</v>
      </c>
    </row>
    <row r="85" spans="1:5" x14ac:dyDescent="0.2">
      <c r="A85" s="625" t="s">
        <v>46</v>
      </c>
      <c r="B85" s="625"/>
      <c r="C85" s="218">
        <f>SUM(C79:C84)</f>
        <v>8.0500000000000002E-2</v>
      </c>
      <c r="D85" s="215">
        <f>ROUND(SUM(D79:D84),2)</f>
        <v>79.25</v>
      </c>
    </row>
    <row r="86" spans="1:5" x14ac:dyDescent="0.2">
      <c r="E86" s="346"/>
    </row>
    <row r="87" spans="1:5" x14ac:dyDescent="0.2">
      <c r="A87" s="630" t="s">
        <v>357</v>
      </c>
      <c r="B87" s="632"/>
      <c r="C87" s="209" t="s">
        <v>97</v>
      </c>
      <c r="D87" s="210" t="s">
        <v>98</v>
      </c>
      <c r="E87" s="346"/>
    </row>
    <row r="88" spans="1:5" x14ac:dyDescent="0.2">
      <c r="A88" s="331" t="s">
        <v>1</v>
      </c>
      <c r="B88" s="332" t="s">
        <v>58</v>
      </c>
      <c r="C88" s="216">
        <v>8.3299999999999999E-2</v>
      </c>
      <c r="D88" s="212">
        <f t="shared" ref="D88:D95" si="2">ROUND($D$39*C88,2)</f>
        <v>82.01</v>
      </c>
      <c r="E88" s="346"/>
    </row>
    <row r="89" spans="1:5" x14ac:dyDescent="0.2">
      <c r="A89" s="331" t="s">
        <v>2</v>
      </c>
      <c r="B89" s="332" t="s">
        <v>59</v>
      </c>
      <c r="C89" s="216">
        <v>5.5999999999999999E-3</v>
      </c>
      <c r="D89" s="212">
        <f t="shared" si="2"/>
        <v>5.51</v>
      </c>
    </row>
    <row r="90" spans="1:5" x14ac:dyDescent="0.2">
      <c r="A90" s="331" t="s">
        <v>4</v>
      </c>
      <c r="B90" s="300" t="s">
        <v>360</v>
      </c>
      <c r="C90" s="216">
        <v>6.9999999999999999E-4</v>
      </c>
      <c r="D90" s="212">
        <f t="shared" si="2"/>
        <v>0.69</v>
      </c>
    </row>
    <row r="91" spans="1:5" x14ac:dyDescent="0.2">
      <c r="A91" s="331" t="s">
        <v>3</v>
      </c>
      <c r="B91" s="332" t="s">
        <v>60</v>
      </c>
      <c r="C91" s="216">
        <v>2.8E-3</v>
      </c>
      <c r="D91" s="212">
        <f t="shared" si="2"/>
        <v>2.76</v>
      </c>
    </row>
    <row r="92" spans="1:5" x14ac:dyDescent="0.2">
      <c r="A92" s="331" t="s">
        <v>18</v>
      </c>
      <c r="B92" s="332" t="s">
        <v>61</v>
      </c>
      <c r="C92" s="216">
        <v>8.0000000000000004E-4</v>
      </c>
      <c r="D92" s="212">
        <f t="shared" si="2"/>
        <v>0.79</v>
      </c>
    </row>
    <row r="93" spans="1:5" x14ac:dyDescent="0.2">
      <c r="A93" s="331" t="s">
        <v>19</v>
      </c>
      <c r="B93" s="300" t="s">
        <v>367</v>
      </c>
      <c r="C93" s="216">
        <v>2.0000000000000001E-4</v>
      </c>
      <c r="D93" s="212">
        <f t="shared" si="2"/>
        <v>0.2</v>
      </c>
    </row>
    <row r="94" spans="1:5" x14ac:dyDescent="0.2">
      <c r="A94" s="625" t="s">
        <v>49</v>
      </c>
      <c r="B94" s="625"/>
      <c r="C94" s="218">
        <f>SUM(C88:C93)</f>
        <v>9.3399999999999997E-2</v>
      </c>
      <c r="D94" s="215">
        <f t="shared" si="2"/>
        <v>91.95</v>
      </c>
    </row>
    <row r="95" spans="1:5" x14ac:dyDescent="0.2">
      <c r="A95" s="331" t="s">
        <v>20</v>
      </c>
      <c r="B95" s="332" t="s">
        <v>104</v>
      </c>
      <c r="C95" s="216">
        <f>C69*C94</f>
        <v>3.44E-2</v>
      </c>
      <c r="D95" s="212">
        <f t="shared" si="2"/>
        <v>33.869999999999997</v>
      </c>
    </row>
    <row r="96" spans="1:5" x14ac:dyDescent="0.2">
      <c r="A96" s="625" t="s">
        <v>46</v>
      </c>
      <c r="B96" s="625"/>
      <c r="C96" s="218">
        <f>C95+C94</f>
        <v>0.1278</v>
      </c>
      <c r="D96" s="215">
        <f>ROUND(D95+D94,2)</f>
        <v>125.82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210" t="s">
        <v>98</v>
      </c>
    </row>
    <row r="100" spans="1:5" x14ac:dyDescent="0.2">
      <c r="A100" s="331" t="s">
        <v>63</v>
      </c>
      <c r="B100" s="347" t="s">
        <v>69</v>
      </c>
      <c r="C100" s="359">
        <f>C76</f>
        <v>0.152</v>
      </c>
      <c r="D100" s="212">
        <f>ROUND($D$39*C100,2)</f>
        <v>149.63999999999999</v>
      </c>
      <c r="E100" s="346"/>
    </row>
    <row r="101" spans="1:5" x14ac:dyDescent="0.2">
      <c r="A101" s="331" t="s">
        <v>64</v>
      </c>
      <c r="B101" s="347" t="s">
        <v>126</v>
      </c>
      <c r="C101" s="359">
        <f>C69</f>
        <v>0.36799999999999999</v>
      </c>
      <c r="D101" s="212">
        <f>ROUND($D$39*C101,2)</f>
        <v>362.3</v>
      </c>
    </row>
    <row r="102" spans="1:5" x14ac:dyDescent="0.2">
      <c r="A102" s="299" t="s">
        <v>65</v>
      </c>
      <c r="B102" s="347" t="s">
        <v>70</v>
      </c>
      <c r="C102" s="359">
        <f>C85</f>
        <v>8.0500000000000002E-2</v>
      </c>
      <c r="D102" s="212">
        <f>ROUND($D$39*C102,2)</f>
        <v>79.25</v>
      </c>
    </row>
    <row r="103" spans="1:5" x14ac:dyDescent="0.2">
      <c r="A103" s="299" t="s">
        <v>66</v>
      </c>
      <c r="B103" s="347" t="s">
        <v>71</v>
      </c>
      <c r="C103" s="359">
        <f>C96</f>
        <v>0.1278</v>
      </c>
      <c r="D103" s="212">
        <f>ROUND($D$39*C103,2)</f>
        <v>125.82</v>
      </c>
    </row>
    <row r="104" spans="1:5" x14ac:dyDescent="0.2">
      <c r="A104" s="299" t="s">
        <v>67</v>
      </c>
      <c r="B104" s="347" t="s">
        <v>29</v>
      </c>
      <c r="C104" s="360"/>
      <c r="D104" s="212"/>
    </row>
    <row r="105" spans="1:5" x14ac:dyDescent="0.2">
      <c r="A105" s="331"/>
      <c r="B105" s="350" t="s">
        <v>46</v>
      </c>
      <c r="C105" s="361">
        <f>SUM(C100:C104)</f>
        <v>0.72829999999999995</v>
      </c>
      <c r="D105" s="215">
        <f>ROUND($D$39*C105,2)</f>
        <v>717.01</v>
      </c>
    </row>
    <row r="106" spans="1:5" x14ac:dyDescent="0.2">
      <c r="D106" s="222">
        <f>ROUND(D105+D57+D49+D39,2)</f>
        <v>2409.23</v>
      </c>
    </row>
    <row r="107" spans="1:5" x14ac:dyDescent="0.2">
      <c r="A107" s="337">
        <v>5</v>
      </c>
      <c r="B107" s="339" t="s">
        <v>72</v>
      </c>
      <c r="C107" s="209" t="s">
        <v>97</v>
      </c>
      <c r="D107" s="210" t="s">
        <v>98</v>
      </c>
      <c r="E107" s="346"/>
    </row>
    <row r="108" spans="1:5" x14ac:dyDescent="0.2">
      <c r="A108" s="331" t="s">
        <v>1</v>
      </c>
      <c r="B108" s="332" t="s">
        <v>73</v>
      </c>
      <c r="C108" s="216">
        <v>1.5599999999999999E-2</v>
      </c>
      <c r="D108" s="212">
        <f>ROUND($D$106*C108,2)</f>
        <v>37.58</v>
      </c>
    </row>
    <row r="109" spans="1:5" x14ac:dyDescent="0.2">
      <c r="A109" s="331" t="s">
        <v>2</v>
      </c>
      <c r="B109" s="332" t="s">
        <v>74</v>
      </c>
      <c r="C109" s="216"/>
      <c r="D109" s="212"/>
      <c r="E109" s="344"/>
    </row>
    <row r="110" spans="1:5" x14ac:dyDescent="0.2">
      <c r="A110" s="352" t="s">
        <v>105</v>
      </c>
      <c r="B110" s="332" t="s">
        <v>75</v>
      </c>
      <c r="C110" s="216">
        <v>0</v>
      </c>
      <c r="D110" s="212">
        <v>0</v>
      </c>
    </row>
    <row r="111" spans="1:5" x14ac:dyDescent="0.2">
      <c r="A111" s="352" t="s">
        <v>106</v>
      </c>
      <c r="B111" s="332" t="s">
        <v>76</v>
      </c>
      <c r="C111" s="216">
        <v>0</v>
      </c>
      <c r="D111" s="212">
        <v>0</v>
      </c>
    </row>
    <row r="112" spans="1:5" x14ac:dyDescent="0.2">
      <c r="A112" s="352" t="s">
        <v>107</v>
      </c>
      <c r="B112" s="332" t="s">
        <v>77</v>
      </c>
      <c r="C112" s="216">
        <v>1.6500000000000001E-2</v>
      </c>
      <c r="D112" s="212">
        <f>ROUND($F$115*C112,2)</f>
        <v>46.47</v>
      </c>
    </row>
    <row r="113" spans="1:6" x14ac:dyDescent="0.2">
      <c r="A113" s="352" t="s">
        <v>108</v>
      </c>
      <c r="B113" s="332" t="s">
        <v>78</v>
      </c>
      <c r="C113" s="216">
        <v>7.5999999999999998E-2</v>
      </c>
      <c r="D113" s="212">
        <f>ROUND($F$115*C113,2)</f>
        <v>214.04</v>
      </c>
      <c r="F113" s="353">
        <f>SUM(C110:C114)</f>
        <v>0.1225</v>
      </c>
    </row>
    <row r="114" spans="1:6" x14ac:dyDescent="0.2">
      <c r="A114" s="352" t="s">
        <v>109</v>
      </c>
      <c r="B114" s="332" t="s">
        <v>79</v>
      </c>
      <c r="C114" s="362">
        <v>0.03</v>
      </c>
      <c r="D114" s="212">
        <f>ROUND($F$115*C114,2)</f>
        <v>84.49</v>
      </c>
      <c r="F114" s="354">
        <f>ROUND(D115+D108+D106,2)</f>
        <v>2471.2800000000002</v>
      </c>
    </row>
    <row r="115" spans="1:6" x14ac:dyDescent="0.2">
      <c r="A115" s="331" t="s">
        <v>4</v>
      </c>
      <c r="B115" s="332" t="s">
        <v>80</v>
      </c>
      <c r="C115" s="216">
        <v>0.01</v>
      </c>
      <c r="D115" s="212">
        <f>ROUND(($D$106+D108)*C115,2)</f>
        <v>24.47</v>
      </c>
      <c r="F115" s="41">
        <f>ROUND(F114/(1-F113),2)</f>
        <v>2816.27</v>
      </c>
    </row>
    <row r="116" spans="1:6" x14ac:dyDescent="0.2">
      <c r="A116" s="638" t="s">
        <v>46</v>
      </c>
      <c r="B116" s="643"/>
      <c r="C116" s="639"/>
      <c r="D116" s="215">
        <f>ROUND(SUM(D108:D115),2)</f>
        <v>407.05</v>
      </c>
    </row>
    <row r="117" spans="1:6" x14ac:dyDescent="0.2">
      <c r="D117" s="222"/>
    </row>
    <row r="118" spans="1:6" x14ac:dyDescent="0.2">
      <c r="A118" s="629" t="s">
        <v>81</v>
      </c>
      <c r="B118" s="629"/>
      <c r="C118" s="629"/>
      <c r="D118" s="629"/>
    </row>
    <row r="119" spans="1:6" x14ac:dyDescent="0.2">
      <c r="A119" s="625" t="s">
        <v>82</v>
      </c>
      <c r="B119" s="625"/>
      <c r="C119" s="625"/>
      <c r="D119" s="625"/>
    </row>
    <row r="120" spans="1:6" x14ac:dyDescent="0.2">
      <c r="A120" s="331" t="s">
        <v>1</v>
      </c>
      <c r="B120" s="626" t="s">
        <v>83</v>
      </c>
      <c r="C120" s="626"/>
      <c r="D120" s="212">
        <f>D39</f>
        <v>984.5</v>
      </c>
    </row>
    <row r="121" spans="1:6" x14ac:dyDescent="0.2">
      <c r="A121" s="331" t="s">
        <v>2</v>
      </c>
      <c r="B121" s="626" t="s">
        <v>84</v>
      </c>
      <c r="C121" s="626"/>
      <c r="D121" s="212">
        <f>D49</f>
        <v>298</v>
      </c>
    </row>
    <row r="122" spans="1:6" x14ac:dyDescent="0.2">
      <c r="A122" s="331" t="s">
        <v>4</v>
      </c>
      <c r="B122" s="626" t="s">
        <v>85</v>
      </c>
      <c r="C122" s="626"/>
      <c r="D122" s="212">
        <f>D57</f>
        <v>409.72</v>
      </c>
    </row>
    <row r="123" spans="1:6" x14ac:dyDescent="0.2">
      <c r="A123" s="331" t="s">
        <v>3</v>
      </c>
      <c r="B123" s="626" t="s">
        <v>127</v>
      </c>
      <c r="C123" s="626"/>
      <c r="D123" s="212">
        <f>D105</f>
        <v>717.01</v>
      </c>
    </row>
    <row r="124" spans="1:6" x14ac:dyDescent="0.2">
      <c r="A124" s="625" t="s">
        <v>49</v>
      </c>
      <c r="B124" s="625"/>
      <c r="C124" s="625"/>
      <c r="D124" s="215">
        <f>ROUND(SUM(D120:D123),2)</f>
        <v>2409.23</v>
      </c>
    </row>
    <row r="125" spans="1:6" x14ac:dyDescent="0.2">
      <c r="A125" s="331" t="s">
        <v>18</v>
      </c>
      <c r="B125" s="645" t="s">
        <v>86</v>
      </c>
      <c r="C125" s="645"/>
      <c r="D125" s="212">
        <f>D116</f>
        <v>407.05</v>
      </c>
    </row>
    <row r="126" spans="1:6" x14ac:dyDescent="0.2">
      <c r="A126" s="625" t="s">
        <v>87</v>
      </c>
      <c r="B126" s="625"/>
      <c r="C126" s="625"/>
      <c r="D126" s="215">
        <f>ROUND(D125+D124,2)</f>
        <v>2816.28</v>
      </c>
    </row>
    <row r="128" spans="1:6" x14ac:dyDescent="0.2">
      <c r="A128" s="623" t="s">
        <v>110</v>
      </c>
      <c r="B128" s="623"/>
      <c r="C128" s="623"/>
      <c r="D128" s="623"/>
    </row>
    <row r="129" spans="1:5" x14ac:dyDescent="0.2">
      <c r="A129" s="626" t="s">
        <v>13</v>
      </c>
      <c r="B129" s="626"/>
      <c r="C129" s="626"/>
      <c r="D129" s="212"/>
    </row>
    <row r="130" spans="1:5" x14ac:dyDescent="0.2">
      <c r="A130" s="626" t="s">
        <v>88</v>
      </c>
      <c r="B130" s="626"/>
      <c r="C130" s="626"/>
      <c r="D130" s="212">
        <f>D126</f>
        <v>2816.28</v>
      </c>
      <c r="E130" s="200"/>
    </row>
    <row r="131" spans="1:5" x14ac:dyDescent="0.2">
      <c r="A131" s="626" t="s">
        <v>89</v>
      </c>
      <c r="B131" s="626"/>
      <c r="C131" s="626"/>
      <c r="D131" s="212">
        <v>1</v>
      </c>
      <c r="E131" s="200"/>
    </row>
    <row r="132" spans="1:5" x14ac:dyDescent="0.2">
      <c r="A132" s="626" t="s">
        <v>90</v>
      </c>
      <c r="B132" s="626"/>
      <c r="C132" s="626"/>
      <c r="D132" s="212">
        <f>ROUND(D131*D130,2)</f>
        <v>2816.28</v>
      </c>
      <c r="E132" s="200"/>
    </row>
    <row r="133" spans="1:5" x14ac:dyDescent="0.2">
      <c r="A133" s="626" t="s">
        <v>91</v>
      </c>
      <c r="B133" s="626"/>
      <c r="C133" s="626"/>
      <c r="D133" s="212">
        <v>3</v>
      </c>
      <c r="E133" s="200"/>
    </row>
    <row r="134" spans="1:5" x14ac:dyDescent="0.2">
      <c r="A134" s="633" t="s">
        <v>92</v>
      </c>
      <c r="B134" s="633"/>
      <c r="C134" s="633"/>
      <c r="D134" s="215">
        <f>ROUND(D133*D132,2)</f>
        <v>8448.84</v>
      </c>
      <c r="E134" s="200"/>
    </row>
    <row r="135" spans="1:5" x14ac:dyDescent="0.2">
      <c r="E135" s="200"/>
    </row>
    <row r="136" spans="1:5" x14ac:dyDescent="0.2">
      <c r="A136" s="623" t="s">
        <v>111</v>
      </c>
      <c r="B136" s="623"/>
      <c r="C136" s="623"/>
      <c r="D136" s="623"/>
    </row>
    <row r="137" spans="1:5" x14ac:dyDescent="0.2">
      <c r="A137" s="331" t="s">
        <v>1</v>
      </c>
      <c r="B137" s="626" t="s">
        <v>93</v>
      </c>
      <c r="C137" s="626"/>
      <c r="D137" s="297">
        <f>D130</f>
        <v>2816.28</v>
      </c>
      <c r="E137" s="303">
        <v>2183.9299999999998</v>
      </c>
    </row>
    <row r="138" spans="1:5" x14ac:dyDescent="0.2">
      <c r="A138" s="331" t="s">
        <v>2</v>
      </c>
      <c r="B138" s="626" t="s">
        <v>94</v>
      </c>
      <c r="C138" s="626"/>
      <c r="D138" s="212">
        <f>D134</f>
        <v>8448.84</v>
      </c>
    </row>
    <row r="139" spans="1:5" x14ac:dyDescent="0.2">
      <c r="A139" s="337" t="s">
        <v>4</v>
      </c>
      <c r="B139" s="633" t="s">
        <v>95</v>
      </c>
      <c r="C139" s="633"/>
      <c r="D139" s="215">
        <f>ROUND(D138*12,2)</f>
        <v>101386.08</v>
      </c>
      <c r="E139" s="363"/>
    </row>
    <row r="140" spans="1:5" x14ac:dyDescent="0.2">
      <c r="A140" s="343"/>
    </row>
    <row r="141" spans="1:5" x14ac:dyDescent="0.2">
      <c r="A141" s="343"/>
      <c r="C141" s="364"/>
      <c r="D141" s="365"/>
    </row>
    <row r="142" spans="1:5" x14ac:dyDescent="0.2">
      <c r="A142" s="647" t="str">
        <f>'[1]CURITIBA (servente copeira )'!A142:B142</f>
        <v>Curitiba, 20 de Fevereiro de 2014.</v>
      </c>
      <c r="B142" s="648"/>
    </row>
    <row r="143" spans="1:5" x14ac:dyDescent="0.2">
      <c r="A143" s="343"/>
    </row>
    <row r="144" spans="1:5" x14ac:dyDescent="0.2">
      <c r="A144" s="343"/>
    </row>
    <row r="145" spans="1:2" x14ac:dyDescent="0.2">
      <c r="A145" s="649" t="s">
        <v>381</v>
      </c>
      <c r="B145" s="649"/>
    </row>
    <row r="146" spans="1:2" x14ac:dyDescent="0.2">
      <c r="A146" s="646" t="s">
        <v>379</v>
      </c>
      <c r="B146" s="646"/>
    </row>
    <row r="147" spans="1:2" x14ac:dyDescent="0.2">
      <c r="A147" s="646" t="s">
        <v>380</v>
      </c>
      <c r="B147" s="646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1" orientation="portrait" r:id="rId1"/>
  <headerFooter alignWithMargins="0"/>
  <rowBreaks count="1" manualBreakCount="1">
    <brk id="76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4" zoomScale="85" zoomScaleNormal="85" zoomScaleSheetLayoutView="85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624">
        <v>41015</v>
      </c>
      <c r="D8" s="621"/>
    </row>
    <row r="9" spans="1:4" x14ac:dyDescent="0.2">
      <c r="A9" s="331" t="s">
        <v>2</v>
      </c>
      <c r="B9" s="332" t="s">
        <v>114</v>
      </c>
      <c r="C9" s="625" t="s">
        <v>525</v>
      </c>
      <c r="D9" s="625"/>
    </row>
    <row r="10" spans="1:4" x14ac:dyDescent="0.2">
      <c r="A10" s="331" t="s">
        <v>4</v>
      </c>
      <c r="B10" s="332" t="s">
        <v>6</v>
      </c>
      <c r="C10" s="624">
        <v>41641</v>
      </c>
      <c r="D10" s="621"/>
    </row>
    <row r="11" spans="1:4" x14ac:dyDescent="0.2">
      <c r="A11" s="331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440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2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620" t="s">
        <v>145</v>
      </c>
      <c r="D22" s="621"/>
    </row>
    <row r="23" spans="1:5" x14ac:dyDescent="0.2">
      <c r="A23" s="331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438</v>
      </c>
      <c r="C30" s="298"/>
      <c r="D30" s="297">
        <f>'REPACTUAÇÃO 2014'!G6</f>
        <v>66</v>
      </c>
      <c r="E30" s="303">
        <v>62</v>
      </c>
    </row>
    <row r="31" spans="1:5" x14ac:dyDescent="0.2">
      <c r="A31" s="331" t="s">
        <v>4</v>
      </c>
      <c r="B31" s="332" t="s">
        <v>24</v>
      </c>
      <c r="C31" s="19"/>
      <c r="D31" s="13"/>
      <c r="E31" s="196"/>
    </row>
    <row r="32" spans="1:5" x14ac:dyDescent="0.2">
      <c r="A32" s="331" t="s">
        <v>3</v>
      </c>
      <c r="B32" s="332" t="s">
        <v>25</v>
      </c>
      <c r="C32" s="20"/>
      <c r="D32" s="13"/>
      <c r="E32" s="153"/>
    </row>
    <row r="33" spans="1:6" x14ac:dyDescent="0.2">
      <c r="A33" s="331" t="s">
        <v>18</v>
      </c>
      <c r="B33" s="332" t="s">
        <v>26</v>
      </c>
      <c r="C33" s="20"/>
      <c r="D33" s="13"/>
      <c r="E33" s="153"/>
    </row>
    <row r="34" spans="1:6" x14ac:dyDescent="0.2">
      <c r="A34" s="331" t="s">
        <v>19</v>
      </c>
      <c r="B34" s="332" t="s">
        <v>27</v>
      </c>
      <c r="C34" s="18"/>
      <c r="D34" s="13"/>
      <c r="E34" s="196"/>
    </row>
    <row r="35" spans="1:6" x14ac:dyDescent="0.2">
      <c r="A35" s="331" t="s">
        <v>20</v>
      </c>
      <c r="B35" s="332" t="s">
        <v>28</v>
      </c>
      <c r="C35" s="20"/>
      <c r="D35" s="13"/>
      <c r="E35" s="153"/>
    </row>
    <row r="36" spans="1:6" x14ac:dyDescent="0.2">
      <c r="A36" s="331" t="s">
        <v>21</v>
      </c>
      <c r="B36" s="332" t="s">
        <v>119</v>
      </c>
      <c r="C36" s="18"/>
      <c r="D36" s="13"/>
    </row>
    <row r="37" spans="1:6" x14ac:dyDescent="0.2">
      <c r="A37" s="331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299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1052.9000000000001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337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331" t="s">
        <v>1</v>
      </c>
      <c r="B43" s="340" t="s">
        <v>133</v>
      </c>
      <c r="C43" s="13">
        <v>0</v>
      </c>
      <c r="D43" s="13"/>
      <c r="E43" s="197"/>
    </row>
    <row r="44" spans="1:6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298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331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331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299" t="s">
        <v>1</v>
      </c>
      <c r="B61" s="300" t="s">
        <v>40</v>
      </c>
      <c r="C61" s="10">
        <v>0.2</v>
      </c>
      <c r="D61" s="13">
        <f>ROUND($D$39*C61,2)</f>
        <v>210.58</v>
      </c>
    </row>
    <row r="62" spans="1:5" x14ac:dyDescent="0.2">
      <c r="A62" s="299" t="s">
        <v>2</v>
      </c>
      <c r="B62" s="300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299" t="s">
        <v>4</v>
      </c>
      <c r="B63" s="300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299" t="s">
        <v>3</v>
      </c>
      <c r="B64" s="300" t="s">
        <v>42</v>
      </c>
      <c r="C64" s="10">
        <v>2E-3</v>
      </c>
      <c r="D64" s="13">
        <f t="shared" si="0"/>
        <v>2.11</v>
      </c>
    </row>
    <row r="65" spans="1:6" x14ac:dyDescent="0.2">
      <c r="A65" s="299" t="s">
        <v>18</v>
      </c>
      <c r="B65" s="300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299" t="s">
        <v>19</v>
      </c>
      <c r="B66" s="300" t="s">
        <v>44</v>
      </c>
      <c r="C66" s="10">
        <v>0.08</v>
      </c>
      <c r="D66" s="13">
        <f t="shared" si="0"/>
        <v>84.23</v>
      </c>
    </row>
    <row r="67" spans="1:6" x14ac:dyDescent="0.2">
      <c r="A67" s="299" t="s">
        <v>20</v>
      </c>
      <c r="B67" s="300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299" t="s">
        <v>21</v>
      </c>
      <c r="B68" s="300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299" t="s">
        <v>2</v>
      </c>
      <c r="B73" s="300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116.98</v>
      </c>
    </row>
    <row r="75" spans="1:6" x14ac:dyDescent="0.2">
      <c r="A75" s="299" t="s">
        <v>4</v>
      </c>
      <c r="B75" s="300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160.04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299" t="s">
        <v>1</v>
      </c>
      <c r="B79" s="300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299" t="s">
        <v>2</v>
      </c>
      <c r="B80" s="300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299" t="s">
        <v>4</v>
      </c>
      <c r="B81" s="300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331" t="s">
        <v>3</v>
      </c>
      <c r="B82" s="332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331" t="s">
        <v>18</v>
      </c>
      <c r="B83" s="332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331" t="s">
        <v>19</v>
      </c>
      <c r="B84" s="332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331" t="s">
        <v>1</v>
      </c>
      <c r="B88" s="332" t="s">
        <v>58</v>
      </c>
      <c r="C88" s="10">
        <v>8.3299999999999999E-2</v>
      </c>
      <c r="D88" s="13">
        <f t="shared" ref="D88:D95" si="2">ROUND($D$39*C88,2)</f>
        <v>87.71</v>
      </c>
      <c r="E88" s="346"/>
    </row>
    <row r="89" spans="1:5" x14ac:dyDescent="0.2">
      <c r="A89" s="331" t="s">
        <v>2</v>
      </c>
      <c r="B89" s="332" t="s">
        <v>59</v>
      </c>
      <c r="C89" s="10">
        <v>5.5999999999999999E-3</v>
      </c>
      <c r="D89" s="13">
        <f t="shared" si="2"/>
        <v>5.9</v>
      </c>
    </row>
    <row r="90" spans="1:5" x14ac:dyDescent="0.2">
      <c r="A90" s="331" t="s">
        <v>4</v>
      </c>
      <c r="B90" s="300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331" t="s">
        <v>3</v>
      </c>
      <c r="B91" s="332" t="s">
        <v>60</v>
      </c>
      <c r="C91" s="10">
        <v>2.8E-3</v>
      </c>
      <c r="D91" s="13">
        <f t="shared" si="2"/>
        <v>2.95</v>
      </c>
    </row>
    <row r="92" spans="1:5" x14ac:dyDescent="0.2">
      <c r="A92" s="331" t="s">
        <v>18</v>
      </c>
      <c r="B92" s="332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331" t="s">
        <v>19</v>
      </c>
      <c r="B93" s="300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98.34</v>
      </c>
    </row>
    <row r="95" spans="1:5" x14ac:dyDescent="0.2">
      <c r="A95" s="331" t="s">
        <v>20</v>
      </c>
      <c r="B95" s="332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134.56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12" t="s">
        <v>98</v>
      </c>
    </row>
    <row r="100" spans="1:5" x14ac:dyDescent="0.2">
      <c r="A100" s="331" t="s">
        <v>63</v>
      </c>
      <c r="B100" s="347" t="s">
        <v>69</v>
      </c>
      <c r="C100" s="348">
        <f>C76</f>
        <v>0.152</v>
      </c>
      <c r="D100" s="13">
        <f>ROUND($D$39*C100,2)</f>
        <v>160.04</v>
      </c>
      <c r="E100" s="346"/>
    </row>
    <row r="101" spans="1:5" x14ac:dyDescent="0.2">
      <c r="A101" s="331" t="s">
        <v>64</v>
      </c>
      <c r="B101" s="347" t="s">
        <v>126</v>
      </c>
      <c r="C101" s="348">
        <f>C69</f>
        <v>0.36799999999999999</v>
      </c>
      <c r="D101" s="13">
        <f>ROUND($D$39*C101,2)</f>
        <v>387.47</v>
      </c>
    </row>
    <row r="102" spans="1:5" x14ac:dyDescent="0.2">
      <c r="A102" s="299" t="s">
        <v>65</v>
      </c>
      <c r="B102" s="347" t="s">
        <v>70</v>
      </c>
      <c r="C102" s="348">
        <f>C85</f>
        <v>8.0500000000000002E-2</v>
      </c>
      <c r="D102" s="13">
        <f>ROUND($D$39*C102,2)</f>
        <v>84.76</v>
      </c>
    </row>
    <row r="103" spans="1:5" x14ac:dyDescent="0.2">
      <c r="A103" s="299" t="s">
        <v>66</v>
      </c>
      <c r="B103" s="347" t="s">
        <v>71</v>
      </c>
      <c r="C103" s="348">
        <f>C96</f>
        <v>0.1278</v>
      </c>
      <c r="D103" s="13">
        <f>ROUND($D$39*C103,2)</f>
        <v>134.56</v>
      </c>
    </row>
    <row r="104" spans="1:5" x14ac:dyDescent="0.2">
      <c r="A104" s="299" t="s">
        <v>67</v>
      </c>
      <c r="B104" s="347" t="s">
        <v>29</v>
      </c>
      <c r="C104" s="349"/>
      <c r="D104" s="13"/>
    </row>
    <row r="105" spans="1:5" x14ac:dyDescent="0.2">
      <c r="A105" s="331"/>
      <c r="B105" s="350" t="s">
        <v>46</v>
      </c>
      <c r="C105" s="35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2527.4499999999998</v>
      </c>
    </row>
    <row r="107" spans="1:5" x14ac:dyDescent="0.2">
      <c r="A107" s="337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331" t="s">
        <v>1</v>
      </c>
      <c r="B108" s="332" t="s">
        <v>73</v>
      </c>
      <c r="C108" s="10">
        <v>1.06E-2</v>
      </c>
      <c r="D108" s="13">
        <f>ROUND($D$106*C108,2)</f>
        <v>26.79</v>
      </c>
    </row>
    <row r="109" spans="1:5" x14ac:dyDescent="0.2">
      <c r="A109" s="331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48.27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222.33</v>
      </c>
      <c r="F113" s="353">
        <f>SUM(C110:C114)</f>
        <v>0.1225</v>
      </c>
    </row>
    <row r="114" spans="1:9" x14ac:dyDescent="0.2">
      <c r="A114" s="352" t="s">
        <v>109</v>
      </c>
      <c r="B114" s="332" t="s">
        <v>79</v>
      </c>
      <c r="C114" s="131">
        <v>0.03</v>
      </c>
      <c r="D114" s="13">
        <f>ROUND($F$115*C114,2)</f>
        <v>87.76</v>
      </c>
      <c r="F114" s="354">
        <f>ROUND(D115+D108+D106,2)</f>
        <v>2567.0100000000002</v>
      </c>
    </row>
    <row r="115" spans="1:9" x14ac:dyDescent="0.2">
      <c r="A115" s="331" t="s">
        <v>4</v>
      </c>
      <c r="B115" s="332" t="s">
        <v>80</v>
      </c>
      <c r="C115" s="10">
        <v>5.0000000000000001E-3</v>
      </c>
      <c r="D115" s="13">
        <f>ROUND(($D$106+D108)*C115,2)</f>
        <v>12.77</v>
      </c>
      <c r="F115" s="41">
        <f>ROUND(F114/(1-F113),2)</f>
        <v>2925.37</v>
      </c>
    </row>
    <row r="116" spans="1:9" x14ac:dyDescent="0.2">
      <c r="A116" s="638" t="s">
        <v>46</v>
      </c>
      <c r="B116" s="643"/>
      <c r="C116" s="639"/>
      <c r="D116" s="22">
        <f>ROUND(SUM(D108:D115),2)</f>
        <v>397.92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331" t="s">
        <v>1</v>
      </c>
      <c r="B120" s="626" t="s">
        <v>83</v>
      </c>
      <c r="C120" s="626"/>
      <c r="D120" s="13">
        <f>D39</f>
        <v>1052.9000000000001</v>
      </c>
    </row>
    <row r="121" spans="1:9" x14ac:dyDescent="0.2">
      <c r="A121" s="331" t="s">
        <v>2</v>
      </c>
      <c r="B121" s="626" t="s">
        <v>84</v>
      </c>
      <c r="C121" s="626"/>
      <c r="D121" s="13">
        <f>D49</f>
        <v>298</v>
      </c>
    </row>
    <row r="122" spans="1:9" x14ac:dyDescent="0.2">
      <c r="A122" s="331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331" t="s">
        <v>3</v>
      </c>
      <c r="B123" s="626" t="s">
        <v>127</v>
      </c>
      <c r="C123" s="626"/>
      <c r="D123" s="13">
        <f>D105</f>
        <v>766.83</v>
      </c>
    </row>
    <row r="124" spans="1:9" x14ac:dyDescent="0.2">
      <c r="A124" s="625" t="s">
        <v>49</v>
      </c>
      <c r="B124" s="625"/>
      <c r="C124" s="625"/>
      <c r="D124" s="22">
        <f>ROUND(SUM(D120:D123),2)</f>
        <v>2527.4499999999998</v>
      </c>
    </row>
    <row r="125" spans="1:9" ht="18.75" x14ac:dyDescent="0.3">
      <c r="A125" s="331" t="s">
        <v>18</v>
      </c>
      <c r="B125" s="645" t="s">
        <v>86</v>
      </c>
      <c r="C125" s="645"/>
      <c r="D125" s="13">
        <f>D116</f>
        <v>397.92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2925.37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2925.37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2925.37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2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5850.74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331" t="s">
        <v>1</v>
      </c>
      <c r="B137" s="626" t="s">
        <v>93</v>
      </c>
      <c r="C137" s="626"/>
      <c r="D137" s="297">
        <f>D130</f>
        <v>2925.37</v>
      </c>
      <c r="E137" s="303">
        <v>2279.4299999999998</v>
      </c>
    </row>
    <row r="138" spans="1:9" x14ac:dyDescent="0.2">
      <c r="A138" s="331" t="s">
        <v>2</v>
      </c>
      <c r="B138" s="626" t="s">
        <v>94</v>
      </c>
      <c r="C138" s="626"/>
      <c r="D138" s="13">
        <f>D134</f>
        <v>5850.74</v>
      </c>
    </row>
    <row r="139" spans="1:9" x14ac:dyDescent="0.2">
      <c r="A139" s="337" t="s">
        <v>4</v>
      </c>
      <c r="B139" s="633" t="s">
        <v>95</v>
      </c>
      <c r="C139" s="633"/>
      <c r="D139" s="22">
        <f>ROUND(D138*12,2)</f>
        <v>70208.88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7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205" customWidth="1"/>
    <col min="4" max="4" width="22.85546875" style="206" customWidth="1"/>
    <col min="5" max="5" width="14.7109375" style="330" hidden="1" customWidth="1"/>
    <col min="6" max="6" width="9.28515625" style="333" bestFit="1" customWidth="1"/>
    <col min="7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 t="s">
        <v>143</v>
      </c>
    </row>
    <row r="5" spans="1:4" x14ac:dyDescent="0.2">
      <c r="A5" s="3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720"/>
      <c r="D8" s="719"/>
    </row>
    <row r="9" spans="1:4" x14ac:dyDescent="0.2">
      <c r="A9" s="331" t="s">
        <v>2</v>
      </c>
      <c r="B9" s="332" t="s">
        <v>114</v>
      </c>
      <c r="C9" s="721" t="s">
        <v>525</v>
      </c>
      <c r="D9" s="721"/>
    </row>
    <row r="10" spans="1:4" x14ac:dyDescent="0.2">
      <c r="A10" s="331" t="s">
        <v>4</v>
      </c>
      <c r="B10" s="332" t="s">
        <v>6</v>
      </c>
      <c r="C10" s="720">
        <v>40909</v>
      </c>
      <c r="D10" s="719"/>
    </row>
    <row r="11" spans="1:4" x14ac:dyDescent="0.2">
      <c r="A11" s="331" t="s">
        <v>3</v>
      </c>
      <c r="B11" s="332" t="s">
        <v>7</v>
      </c>
      <c r="C11" s="718" t="s">
        <v>141</v>
      </c>
      <c r="D11" s="719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718" t="s">
        <v>113</v>
      </c>
      <c r="D14" s="719"/>
    </row>
    <row r="15" spans="1:4" x14ac:dyDescent="0.2">
      <c r="A15" s="626" t="s">
        <v>129</v>
      </c>
      <c r="B15" s="626"/>
      <c r="C15" s="718" t="s">
        <v>142</v>
      </c>
      <c r="D15" s="719"/>
    </row>
    <row r="16" spans="1:4" x14ac:dyDescent="0.2">
      <c r="A16" s="626" t="s">
        <v>10</v>
      </c>
      <c r="B16" s="626"/>
      <c r="C16" s="719">
        <v>2</v>
      </c>
      <c r="D16" s="719"/>
    </row>
    <row r="17" spans="1:5" x14ac:dyDescent="0.2">
      <c r="A17" s="627" t="s">
        <v>253</v>
      </c>
      <c r="B17" s="628"/>
      <c r="C17" s="719" t="s">
        <v>254</v>
      </c>
      <c r="D17" s="719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718" t="s">
        <v>145</v>
      </c>
      <c r="D22" s="719"/>
    </row>
    <row r="23" spans="1:5" x14ac:dyDescent="0.2">
      <c r="A23" s="331">
        <v>2</v>
      </c>
      <c r="B23" s="332" t="s">
        <v>14</v>
      </c>
      <c r="C23" s="634">
        <f>'REPACTUAÇÃO 2014'!F5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717"/>
      <c r="D26" s="71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209" t="s">
        <v>121</v>
      </c>
      <c r="D28" s="210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23</v>
      </c>
      <c r="C30" s="213"/>
      <c r="D30" s="212"/>
    </row>
    <row r="31" spans="1:5" x14ac:dyDescent="0.2">
      <c r="A31" s="331" t="s">
        <v>4</v>
      </c>
      <c r="B31" s="332" t="s">
        <v>24</v>
      </c>
      <c r="C31" s="213"/>
      <c r="D31" s="212"/>
      <c r="E31" s="196"/>
    </row>
    <row r="32" spans="1:5" x14ac:dyDescent="0.2">
      <c r="A32" s="331" t="s">
        <v>3</v>
      </c>
      <c r="B32" s="332" t="s">
        <v>25</v>
      </c>
      <c r="C32" s="214"/>
      <c r="D32" s="212"/>
      <c r="E32" s="153"/>
    </row>
    <row r="33" spans="1:5" x14ac:dyDescent="0.2">
      <c r="A33" s="331" t="s">
        <v>18</v>
      </c>
      <c r="B33" s="332" t="s">
        <v>26</v>
      </c>
      <c r="C33" s="214"/>
      <c r="D33" s="212"/>
      <c r="E33" s="153"/>
    </row>
    <row r="34" spans="1:5" x14ac:dyDescent="0.2">
      <c r="A34" s="331" t="s">
        <v>19</v>
      </c>
      <c r="B34" s="332" t="s">
        <v>27</v>
      </c>
      <c r="C34" s="211"/>
      <c r="D34" s="212"/>
      <c r="E34" s="196"/>
    </row>
    <row r="35" spans="1:5" x14ac:dyDescent="0.2">
      <c r="A35" s="331" t="s">
        <v>20</v>
      </c>
      <c r="B35" s="332" t="s">
        <v>28</v>
      </c>
      <c r="C35" s="214"/>
      <c r="D35" s="212"/>
      <c r="E35" s="153"/>
    </row>
    <row r="36" spans="1:5" x14ac:dyDescent="0.2">
      <c r="A36" s="331" t="s">
        <v>21</v>
      </c>
      <c r="B36" s="332" t="s">
        <v>119</v>
      </c>
      <c r="C36" s="211"/>
      <c r="D36" s="212"/>
    </row>
    <row r="37" spans="1:5" x14ac:dyDescent="0.2">
      <c r="A37" s="331" t="s">
        <v>116</v>
      </c>
      <c r="B37" s="332" t="s">
        <v>122</v>
      </c>
      <c r="C37" s="211"/>
      <c r="D37" s="212">
        <f>ROUND(SUM(D32:D35)/23*7,2)</f>
        <v>0</v>
      </c>
    </row>
    <row r="38" spans="1:5" x14ac:dyDescent="0.2">
      <c r="A38" s="299" t="s">
        <v>487</v>
      </c>
      <c r="B38" s="300" t="s">
        <v>488</v>
      </c>
      <c r="C38" s="301"/>
      <c r="D38" s="302">
        <f>D29*3.6316%</f>
        <v>34.5</v>
      </c>
      <c r="E38" s="303" t="s">
        <v>489</v>
      </c>
    </row>
    <row r="39" spans="1:5" x14ac:dyDescent="0.2">
      <c r="A39" s="638" t="s">
        <v>30</v>
      </c>
      <c r="B39" s="639"/>
      <c r="C39" s="18"/>
      <c r="D39" s="22">
        <f>ROUND(SUM(D29:D38),2)</f>
        <v>984.5</v>
      </c>
    </row>
    <row r="41" spans="1:5" x14ac:dyDescent="0.2">
      <c r="A41" s="640" t="s">
        <v>99</v>
      </c>
      <c r="B41" s="641"/>
      <c r="C41" s="641"/>
      <c r="D41" s="642"/>
    </row>
    <row r="42" spans="1:5" x14ac:dyDescent="0.2">
      <c r="A42" s="337">
        <v>2</v>
      </c>
      <c r="B42" s="339" t="s">
        <v>31</v>
      </c>
      <c r="C42" s="209" t="s">
        <v>120</v>
      </c>
      <c r="D42" s="210" t="s">
        <v>98</v>
      </c>
    </row>
    <row r="43" spans="1:5" ht="13.5" customHeight="1" x14ac:dyDescent="0.2">
      <c r="A43" s="331" t="s">
        <v>1</v>
      </c>
      <c r="B43" s="340" t="s">
        <v>133</v>
      </c>
      <c r="C43" s="212">
        <v>2.6</v>
      </c>
      <c r="D43" s="212"/>
      <c r="E43" s="197"/>
    </row>
    <row r="44" spans="1:5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5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5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5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5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216"/>
      <c r="D49" s="215">
        <f>ROUND(SUM(D43:D48),2)</f>
        <v>298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209" t="s">
        <v>97</v>
      </c>
      <c r="D52" s="210" t="s">
        <v>98</v>
      </c>
    </row>
    <row r="53" spans="1:5" x14ac:dyDescent="0.2">
      <c r="A53" s="331" t="s">
        <v>1</v>
      </c>
      <c r="B53" s="332" t="s">
        <v>36</v>
      </c>
      <c r="C53" s="217">
        <v>31.1</v>
      </c>
      <c r="D53" s="212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255.48</v>
      </c>
    </row>
    <row r="55" spans="1:5" x14ac:dyDescent="0.2">
      <c r="A55" s="331" t="s">
        <v>4</v>
      </c>
      <c r="B55" s="332" t="s">
        <v>38</v>
      </c>
      <c r="C55" s="217">
        <f>[1]Equipamentos!D14</f>
        <v>37.479999999999997</v>
      </c>
      <c r="D55" s="212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212">
        <f>'[1]Epi''s'!E6</f>
        <v>2.8</v>
      </c>
      <c r="D56" s="212">
        <f>C56</f>
        <v>2.8</v>
      </c>
      <c r="E56" s="344"/>
    </row>
    <row r="57" spans="1:5" x14ac:dyDescent="0.2">
      <c r="A57" s="638" t="s">
        <v>39</v>
      </c>
      <c r="B57" s="639"/>
      <c r="C57" s="216"/>
      <c r="D57" s="215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209" t="s">
        <v>97</v>
      </c>
      <c r="D60" s="210" t="s">
        <v>98</v>
      </c>
    </row>
    <row r="61" spans="1:5" x14ac:dyDescent="0.2">
      <c r="A61" s="299" t="s">
        <v>1</v>
      </c>
      <c r="B61" s="300" t="s">
        <v>40</v>
      </c>
      <c r="C61" s="216">
        <v>0.2</v>
      </c>
      <c r="D61" s="212">
        <f>ROUND($D$39*C61,2)</f>
        <v>196.9</v>
      </c>
    </row>
    <row r="62" spans="1:5" x14ac:dyDescent="0.2">
      <c r="A62" s="299" t="s">
        <v>2</v>
      </c>
      <c r="B62" s="300" t="s">
        <v>41</v>
      </c>
      <c r="C62" s="216">
        <v>1.4999999999999999E-2</v>
      </c>
      <c r="D62" s="212">
        <f>ROUND($D$39*C62,2)</f>
        <v>14.77</v>
      </c>
    </row>
    <row r="63" spans="1:5" x14ac:dyDescent="0.2">
      <c r="A63" s="299" t="s">
        <v>4</v>
      </c>
      <c r="B63" s="300" t="s">
        <v>123</v>
      </c>
      <c r="C63" s="216">
        <v>0.01</v>
      </c>
      <c r="D63" s="212">
        <f t="shared" ref="D63:D68" si="0">ROUND($D$39*C63,2)</f>
        <v>9.85</v>
      </c>
    </row>
    <row r="64" spans="1:5" x14ac:dyDescent="0.2">
      <c r="A64" s="299" t="s">
        <v>3</v>
      </c>
      <c r="B64" s="300" t="s">
        <v>42</v>
      </c>
      <c r="C64" s="216">
        <v>2E-3</v>
      </c>
      <c r="D64" s="212">
        <f t="shared" si="0"/>
        <v>1.97</v>
      </c>
    </row>
    <row r="65" spans="1:6" x14ac:dyDescent="0.2">
      <c r="A65" s="299" t="s">
        <v>18</v>
      </c>
      <c r="B65" s="300" t="s">
        <v>43</v>
      </c>
      <c r="C65" s="216">
        <v>2.5000000000000001E-2</v>
      </c>
      <c r="D65" s="212">
        <f t="shared" si="0"/>
        <v>24.61</v>
      </c>
    </row>
    <row r="66" spans="1:6" x14ac:dyDescent="0.2">
      <c r="A66" s="299" t="s">
        <v>19</v>
      </c>
      <c r="B66" s="300" t="s">
        <v>44</v>
      </c>
      <c r="C66" s="216">
        <v>0.08</v>
      </c>
      <c r="D66" s="212">
        <f t="shared" si="0"/>
        <v>78.760000000000005</v>
      </c>
    </row>
    <row r="67" spans="1:6" x14ac:dyDescent="0.2">
      <c r="A67" s="299" t="s">
        <v>20</v>
      </c>
      <c r="B67" s="300" t="s">
        <v>124</v>
      </c>
      <c r="C67" s="216">
        <f>2%*F71</f>
        <v>0.03</v>
      </c>
      <c r="D67" s="212">
        <f t="shared" si="0"/>
        <v>29.54</v>
      </c>
    </row>
    <row r="68" spans="1:6" x14ac:dyDescent="0.2">
      <c r="A68" s="299" t="s">
        <v>21</v>
      </c>
      <c r="B68" s="300" t="s">
        <v>45</v>
      </c>
      <c r="C68" s="216">
        <v>6.0000000000000001E-3</v>
      </c>
      <c r="D68" s="212">
        <f t="shared" si="0"/>
        <v>5.91</v>
      </c>
    </row>
    <row r="69" spans="1:6" x14ac:dyDescent="0.2">
      <c r="A69" s="638" t="s">
        <v>51</v>
      </c>
      <c r="B69" s="644"/>
      <c r="C69" s="218">
        <f>SUM(C61:C68)</f>
        <v>0.36799999999999999</v>
      </c>
      <c r="D69" s="215">
        <f>ROUND(SUM(D61:D68),2)</f>
        <v>362.31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209" t="s">
        <v>97</v>
      </c>
      <c r="D71" s="210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216">
        <v>8.3299999999999999E-2</v>
      </c>
      <c r="D72" s="212">
        <f>ROUND($D$39*C72,2)</f>
        <v>82.01</v>
      </c>
    </row>
    <row r="73" spans="1:6" x14ac:dyDescent="0.2">
      <c r="A73" s="299" t="s">
        <v>2</v>
      </c>
      <c r="B73" s="300" t="s">
        <v>48</v>
      </c>
      <c r="C73" s="216">
        <f>C88/3</f>
        <v>2.7799999999999998E-2</v>
      </c>
      <c r="D73" s="212">
        <f>ROUND($D$39*C73,2)</f>
        <v>27.37</v>
      </c>
    </row>
    <row r="74" spans="1:6" x14ac:dyDescent="0.2">
      <c r="A74" s="625" t="s">
        <v>49</v>
      </c>
      <c r="B74" s="625"/>
      <c r="C74" s="218">
        <f>SUM(C72:C73)</f>
        <v>0.1111</v>
      </c>
      <c r="D74" s="215">
        <f>ROUND(SUM(D72:D73),2)</f>
        <v>109.38</v>
      </c>
    </row>
    <row r="75" spans="1:6" x14ac:dyDescent="0.2">
      <c r="A75" s="299" t="s">
        <v>4</v>
      </c>
      <c r="B75" s="300" t="s">
        <v>50</v>
      </c>
      <c r="C75" s="216">
        <f>C69*C74</f>
        <v>4.0899999999999999E-2</v>
      </c>
      <c r="D75" s="212">
        <f>ROUND($D$39*C75,2)</f>
        <v>40.270000000000003</v>
      </c>
    </row>
    <row r="76" spans="1:6" x14ac:dyDescent="0.2">
      <c r="A76" s="625" t="s">
        <v>46</v>
      </c>
      <c r="B76" s="625"/>
      <c r="C76" s="218">
        <f>C75+C74</f>
        <v>0.152</v>
      </c>
      <c r="D76" s="215">
        <f>ROUND(D75+D74,2)</f>
        <v>149.65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209" t="s">
        <v>97</v>
      </c>
      <c r="D78" s="210" t="s">
        <v>98</v>
      </c>
    </row>
    <row r="79" spans="1:6" x14ac:dyDescent="0.2">
      <c r="A79" s="299" t="s">
        <v>1</v>
      </c>
      <c r="B79" s="300" t="s">
        <v>52</v>
      </c>
      <c r="C79" s="216">
        <v>1.6999999999999999E-3</v>
      </c>
      <c r="D79" s="212">
        <f t="shared" ref="D79:D84" si="1">ROUND($D$39*C79,2)</f>
        <v>1.67</v>
      </c>
    </row>
    <row r="80" spans="1:6" x14ac:dyDescent="0.2">
      <c r="A80" s="299" t="s">
        <v>2</v>
      </c>
      <c r="B80" s="300" t="s">
        <v>53</v>
      </c>
      <c r="C80" s="216">
        <f>C66*C79</f>
        <v>1E-4</v>
      </c>
      <c r="D80" s="212">
        <f t="shared" si="1"/>
        <v>0.1</v>
      </c>
    </row>
    <row r="81" spans="1:5" x14ac:dyDescent="0.2">
      <c r="A81" s="299" t="s">
        <v>4</v>
      </c>
      <c r="B81" s="300" t="s">
        <v>54</v>
      </c>
      <c r="C81" s="216">
        <f>C66*10%</f>
        <v>8.0000000000000002E-3</v>
      </c>
      <c r="D81" s="212">
        <f t="shared" si="1"/>
        <v>7.88</v>
      </c>
    </row>
    <row r="82" spans="1:5" x14ac:dyDescent="0.2">
      <c r="A82" s="331" t="s">
        <v>3</v>
      </c>
      <c r="B82" s="332" t="s">
        <v>55</v>
      </c>
      <c r="C82" s="216">
        <v>1.9400000000000001E-2</v>
      </c>
      <c r="D82" s="212">
        <f t="shared" si="1"/>
        <v>19.100000000000001</v>
      </c>
    </row>
    <row r="83" spans="1:5" x14ac:dyDescent="0.2">
      <c r="A83" s="331" t="s">
        <v>18</v>
      </c>
      <c r="B83" s="332" t="s">
        <v>56</v>
      </c>
      <c r="C83" s="216">
        <f>C69*C82</f>
        <v>7.1000000000000004E-3</v>
      </c>
      <c r="D83" s="212">
        <f t="shared" si="1"/>
        <v>6.99</v>
      </c>
    </row>
    <row r="84" spans="1:5" x14ac:dyDescent="0.2">
      <c r="A84" s="331" t="s">
        <v>19</v>
      </c>
      <c r="B84" s="332" t="s">
        <v>57</v>
      </c>
      <c r="C84" s="216">
        <v>4.4200000000000003E-2</v>
      </c>
      <c r="D84" s="212">
        <f t="shared" si="1"/>
        <v>43.51</v>
      </c>
    </row>
    <row r="85" spans="1:5" x14ac:dyDescent="0.2">
      <c r="A85" s="625" t="s">
        <v>46</v>
      </c>
      <c r="B85" s="625"/>
      <c r="C85" s="218">
        <f>SUM(C79:C84)</f>
        <v>8.0500000000000002E-2</v>
      </c>
      <c r="D85" s="215">
        <f>ROUND(SUM(D79:D84),2)</f>
        <v>79.25</v>
      </c>
    </row>
    <row r="86" spans="1:5" x14ac:dyDescent="0.2">
      <c r="E86" s="346"/>
    </row>
    <row r="87" spans="1:5" x14ac:dyDescent="0.2">
      <c r="A87" s="630" t="s">
        <v>357</v>
      </c>
      <c r="B87" s="632"/>
      <c r="C87" s="209" t="s">
        <v>97</v>
      </c>
      <c r="D87" s="210" t="s">
        <v>98</v>
      </c>
      <c r="E87" s="346"/>
    </row>
    <row r="88" spans="1:5" x14ac:dyDescent="0.2">
      <c r="A88" s="331" t="s">
        <v>1</v>
      </c>
      <c r="B88" s="332" t="s">
        <v>58</v>
      </c>
      <c r="C88" s="216">
        <v>8.3299999999999999E-2</v>
      </c>
      <c r="D88" s="212">
        <f t="shared" ref="D88:D95" si="2">ROUND($D$39*C88,2)</f>
        <v>82.01</v>
      </c>
      <c r="E88" s="346"/>
    </row>
    <row r="89" spans="1:5" x14ac:dyDescent="0.2">
      <c r="A89" s="331" t="s">
        <v>2</v>
      </c>
      <c r="B89" s="332" t="s">
        <v>59</v>
      </c>
      <c r="C89" s="216">
        <v>5.5999999999999999E-3</v>
      </c>
      <c r="D89" s="212">
        <f t="shared" si="2"/>
        <v>5.51</v>
      </c>
    </row>
    <row r="90" spans="1:5" x14ac:dyDescent="0.2">
      <c r="A90" s="331" t="s">
        <v>4</v>
      </c>
      <c r="B90" s="300" t="s">
        <v>360</v>
      </c>
      <c r="C90" s="216">
        <v>6.9999999999999999E-4</v>
      </c>
      <c r="D90" s="212">
        <f t="shared" si="2"/>
        <v>0.69</v>
      </c>
    </row>
    <row r="91" spans="1:5" x14ac:dyDescent="0.2">
      <c r="A91" s="331" t="s">
        <v>3</v>
      </c>
      <c r="B91" s="332" t="s">
        <v>60</v>
      </c>
      <c r="C91" s="216">
        <v>2.8E-3</v>
      </c>
      <c r="D91" s="212">
        <f t="shared" si="2"/>
        <v>2.76</v>
      </c>
    </row>
    <row r="92" spans="1:5" x14ac:dyDescent="0.2">
      <c r="A92" s="331" t="s">
        <v>18</v>
      </c>
      <c r="B92" s="332" t="s">
        <v>61</v>
      </c>
      <c r="C92" s="216">
        <v>8.0000000000000004E-4</v>
      </c>
      <c r="D92" s="212">
        <f t="shared" si="2"/>
        <v>0.79</v>
      </c>
    </row>
    <row r="93" spans="1:5" x14ac:dyDescent="0.2">
      <c r="A93" s="331" t="s">
        <v>19</v>
      </c>
      <c r="B93" s="300" t="s">
        <v>367</v>
      </c>
      <c r="C93" s="216">
        <v>2.0000000000000001E-4</v>
      </c>
      <c r="D93" s="212">
        <f t="shared" si="2"/>
        <v>0.2</v>
      </c>
    </row>
    <row r="94" spans="1:5" x14ac:dyDescent="0.2">
      <c r="A94" s="625" t="s">
        <v>49</v>
      </c>
      <c r="B94" s="625"/>
      <c r="C94" s="218">
        <f>SUM(C88:C93)</f>
        <v>9.3399999999999997E-2</v>
      </c>
      <c r="D94" s="215">
        <f t="shared" si="2"/>
        <v>91.95</v>
      </c>
    </row>
    <row r="95" spans="1:5" x14ac:dyDescent="0.2">
      <c r="A95" s="331" t="s">
        <v>20</v>
      </c>
      <c r="B95" s="332" t="s">
        <v>104</v>
      </c>
      <c r="C95" s="216">
        <f>C69*C94</f>
        <v>3.44E-2</v>
      </c>
      <c r="D95" s="212">
        <f t="shared" si="2"/>
        <v>33.869999999999997</v>
      </c>
    </row>
    <row r="96" spans="1:5" x14ac:dyDescent="0.2">
      <c r="A96" s="625" t="s">
        <v>46</v>
      </c>
      <c r="B96" s="625"/>
      <c r="C96" s="218">
        <f>C95+C94</f>
        <v>0.1278</v>
      </c>
      <c r="D96" s="215">
        <f>ROUND(D95+D94,2)</f>
        <v>125.82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210" t="s">
        <v>98</v>
      </c>
    </row>
    <row r="100" spans="1:5" x14ac:dyDescent="0.2">
      <c r="A100" s="331" t="s">
        <v>63</v>
      </c>
      <c r="B100" s="347" t="s">
        <v>69</v>
      </c>
      <c r="C100" s="359">
        <f>C76</f>
        <v>0.152</v>
      </c>
      <c r="D100" s="212">
        <f>ROUND($D$39*C100,2)</f>
        <v>149.63999999999999</v>
      </c>
      <c r="E100" s="346"/>
    </row>
    <row r="101" spans="1:5" x14ac:dyDescent="0.2">
      <c r="A101" s="331" t="s">
        <v>64</v>
      </c>
      <c r="B101" s="347" t="s">
        <v>126</v>
      </c>
      <c r="C101" s="359">
        <f>C69</f>
        <v>0.36799999999999999</v>
      </c>
      <c r="D101" s="212">
        <f>ROUND($D$39*C101,2)</f>
        <v>362.3</v>
      </c>
    </row>
    <row r="102" spans="1:5" x14ac:dyDescent="0.2">
      <c r="A102" s="299" t="s">
        <v>65</v>
      </c>
      <c r="B102" s="347" t="s">
        <v>70</v>
      </c>
      <c r="C102" s="359">
        <f>C85</f>
        <v>8.0500000000000002E-2</v>
      </c>
      <c r="D102" s="212">
        <f>ROUND($D$39*C102,2)</f>
        <v>79.25</v>
      </c>
    </row>
    <row r="103" spans="1:5" x14ac:dyDescent="0.2">
      <c r="A103" s="299" t="s">
        <v>66</v>
      </c>
      <c r="B103" s="347" t="s">
        <v>71</v>
      </c>
      <c r="C103" s="359">
        <f>C96</f>
        <v>0.1278</v>
      </c>
      <c r="D103" s="212">
        <f>ROUND($D$39*C103,2)</f>
        <v>125.82</v>
      </c>
    </row>
    <row r="104" spans="1:5" x14ac:dyDescent="0.2">
      <c r="A104" s="299" t="s">
        <v>67</v>
      </c>
      <c r="B104" s="347" t="s">
        <v>29</v>
      </c>
      <c r="C104" s="360"/>
      <c r="D104" s="212"/>
    </row>
    <row r="105" spans="1:5" x14ac:dyDescent="0.2">
      <c r="A105" s="331"/>
      <c r="B105" s="350" t="s">
        <v>46</v>
      </c>
      <c r="C105" s="361">
        <f>SUM(C100:C104)</f>
        <v>0.72829999999999995</v>
      </c>
      <c r="D105" s="215">
        <f>ROUND($D$39*C105,2)</f>
        <v>717.01</v>
      </c>
    </row>
    <row r="106" spans="1:5" x14ac:dyDescent="0.2">
      <c r="D106" s="222">
        <f>ROUND(D105+D57+D49+D39,2)</f>
        <v>2409.23</v>
      </c>
    </row>
    <row r="107" spans="1:5" x14ac:dyDescent="0.2">
      <c r="A107" s="337">
        <v>5</v>
      </c>
      <c r="B107" s="339" t="s">
        <v>72</v>
      </c>
      <c r="C107" s="209" t="s">
        <v>97</v>
      </c>
      <c r="D107" s="210" t="s">
        <v>98</v>
      </c>
      <c r="E107" s="346"/>
    </row>
    <row r="108" spans="1:5" x14ac:dyDescent="0.2">
      <c r="A108" s="331" t="s">
        <v>1</v>
      </c>
      <c r="B108" s="332" t="s">
        <v>73</v>
      </c>
      <c r="C108" s="216">
        <v>1.5599999999999999E-2</v>
      </c>
      <c r="D108" s="212">
        <f>ROUND($D$106*C108,2)</f>
        <v>37.58</v>
      </c>
    </row>
    <row r="109" spans="1:5" x14ac:dyDescent="0.2">
      <c r="A109" s="331" t="s">
        <v>2</v>
      </c>
      <c r="B109" s="332" t="s">
        <v>74</v>
      </c>
      <c r="C109" s="216"/>
      <c r="D109" s="212"/>
      <c r="E109" s="344"/>
    </row>
    <row r="110" spans="1:5" x14ac:dyDescent="0.2">
      <c r="A110" s="352" t="s">
        <v>105</v>
      </c>
      <c r="B110" s="332" t="s">
        <v>75</v>
      </c>
      <c r="C110" s="216">
        <v>0</v>
      </c>
      <c r="D110" s="212">
        <v>0</v>
      </c>
    </row>
    <row r="111" spans="1:5" x14ac:dyDescent="0.2">
      <c r="A111" s="352" t="s">
        <v>106</v>
      </c>
      <c r="B111" s="332" t="s">
        <v>76</v>
      </c>
      <c r="C111" s="216">
        <v>0</v>
      </c>
      <c r="D111" s="212">
        <v>0</v>
      </c>
    </row>
    <row r="112" spans="1:5" x14ac:dyDescent="0.2">
      <c r="A112" s="352" t="s">
        <v>107</v>
      </c>
      <c r="B112" s="332" t="s">
        <v>77</v>
      </c>
      <c r="C112" s="216">
        <v>1.6500000000000001E-2</v>
      </c>
      <c r="D112" s="212">
        <f>ROUND($F$115*C112,2)</f>
        <v>47.55</v>
      </c>
    </row>
    <row r="113" spans="1:6" x14ac:dyDescent="0.2">
      <c r="A113" s="352" t="s">
        <v>108</v>
      </c>
      <c r="B113" s="332" t="s">
        <v>78</v>
      </c>
      <c r="C113" s="216">
        <v>7.5999999999999998E-2</v>
      </c>
      <c r="D113" s="212">
        <f>ROUND($F$115*C113,2)</f>
        <v>219.03</v>
      </c>
      <c r="F113" s="353">
        <f>SUM(C110:C114)</f>
        <v>0.14249999999999999</v>
      </c>
    </row>
    <row r="114" spans="1:6" x14ac:dyDescent="0.2">
      <c r="A114" s="352" t="s">
        <v>109</v>
      </c>
      <c r="B114" s="332" t="s">
        <v>79</v>
      </c>
      <c r="C114" s="362">
        <v>0.05</v>
      </c>
      <c r="D114" s="212">
        <f>ROUND($F$115*C114,2)</f>
        <v>144.1</v>
      </c>
      <c r="F114" s="354">
        <f>ROUND(D115+D108+D106,2)</f>
        <v>2471.2800000000002</v>
      </c>
    </row>
    <row r="115" spans="1:6" x14ac:dyDescent="0.2">
      <c r="A115" s="331" t="s">
        <v>4</v>
      </c>
      <c r="B115" s="332" t="s">
        <v>80</v>
      </c>
      <c r="C115" s="216">
        <v>0.01</v>
      </c>
      <c r="D115" s="212">
        <f>ROUND(($D$106+D108)*C115,2)</f>
        <v>24.47</v>
      </c>
      <c r="F115" s="41">
        <f>ROUND(F114/(1-F113),2)</f>
        <v>2881.96</v>
      </c>
    </row>
    <row r="116" spans="1:6" x14ac:dyDescent="0.2">
      <c r="A116" s="638" t="s">
        <v>46</v>
      </c>
      <c r="B116" s="643"/>
      <c r="C116" s="639"/>
      <c r="D116" s="215">
        <f>ROUND(SUM(D108:D115),2)</f>
        <v>472.73</v>
      </c>
    </row>
    <row r="117" spans="1:6" x14ac:dyDescent="0.2">
      <c r="D117" s="222"/>
    </row>
    <row r="118" spans="1:6" x14ac:dyDescent="0.2">
      <c r="A118" s="629" t="s">
        <v>81</v>
      </c>
      <c r="B118" s="629"/>
      <c r="C118" s="629"/>
      <c r="D118" s="629"/>
    </row>
    <row r="119" spans="1:6" x14ac:dyDescent="0.2">
      <c r="A119" s="625" t="s">
        <v>82</v>
      </c>
      <c r="B119" s="625"/>
      <c r="C119" s="625"/>
      <c r="D119" s="625"/>
    </row>
    <row r="120" spans="1:6" x14ac:dyDescent="0.2">
      <c r="A120" s="331" t="s">
        <v>1</v>
      </c>
      <c r="B120" s="626" t="s">
        <v>83</v>
      </c>
      <c r="C120" s="626"/>
      <c r="D120" s="212">
        <f>D39</f>
        <v>984.5</v>
      </c>
    </row>
    <row r="121" spans="1:6" x14ac:dyDescent="0.2">
      <c r="A121" s="331" t="s">
        <v>2</v>
      </c>
      <c r="B121" s="626" t="s">
        <v>84</v>
      </c>
      <c r="C121" s="626"/>
      <c r="D121" s="212">
        <f>D49</f>
        <v>298</v>
      </c>
    </row>
    <row r="122" spans="1:6" x14ac:dyDescent="0.2">
      <c r="A122" s="331" t="s">
        <v>4</v>
      </c>
      <c r="B122" s="626" t="s">
        <v>85</v>
      </c>
      <c r="C122" s="626"/>
      <c r="D122" s="212">
        <f>D57</f>
        <v>409.72</v>
      </c>
    </row>
    <row r="123" spans="1:6" x14ac:dyDescent="0.2">
      <c r="A123" s="331" t="s">
        <v>3</v>
      </c>
      <c r="B123" s="626" t="s">
        <v>127</v>
      </c>
      <c r="C123" s="626"/>
      <c r="D123" s="212">
        <f>D105</f>
        <v>717.01</v>
      </c>
    </row>
    <row r="124" spans="1:6" x14ac:dyDescent="0.2">
      <c r="A124" s="625" t="s">
        <v>49</v>
      </c>
      <c r="B124" s="625"/>
      <c r="C124" s="625"/>
      <c r="D124" s="215">
        <f>ROUND(SUM(D120:D123),2)</f>
        <v>2409.23</v>
      </c>
    </row>
    <row r="125" spans="1:6" x14ac:dyDescent="0.2">
      <c r="A125" s="331" t="s">
        <v>18</v>
      </c>
      <c r="B125" s="645" t="s">
        <v>86</v>
      </c>
      <c r="C125" s="645"/>
      <c r="D125" s="212">
        <f>D116</f>
        <v>472.73</v>
      </c>
    </row>
    <row r="126" spans="1:6" x14ac:dyDescent="0.2">
      <c r="A126" s="625" t="s">
        <v>87</v>
      </c>
      <c r="B126" s="625"/>
      <c r="C126" s="625"/>
      <c r="D126" s="215">
        <f>ROUND(D125+D124,2)</f>
        <v>2881.96</v>
      </c>
    </row>
    <row r="128" spans="1:6" x14ac:dyDescent="0.2">
      <c r="A128" s="623" t="s">
        <v>110</v>
      </c>
      <c r="B128" s="623"/>
      <c r="C128" s="623"/>
      <c r="D128" s="623"/>
    </row>
    <row r="129" spans="1:5" x14ac:dyDescent="0.2">
      <c r="A129" s="626" t="s">
        <v>13</v>
      </c>
      <c r="B129" s="626"/>
      <c r="C129" s="626"/>
      <c r="D129" s="212"/>
    </row>
    <row r="130" spans="1:5" x14ac:dyDescent="0.2">
      <c r="A130" s="626" t="s">
        <v>88</v>
      </c>
      <c r="B130" s="626"/>
      <c r="C130" s="626"/>
      <c r="D130" s="212">
        <f>D126</f>
        <v>2881.96</v>
      </c>
      <c r="E130" s="200"/>
    </row>
    <row r="131" spans="1:5" x14ac:dyDescent="0.2">
      <c r="A131" s="626" t="s">
        <v>89</v>
      </c>
      <c r="B131" s="626"/>
      <c r="C131" s="626"/>
      <c r="D131" s="212">
        <v>1</v>
      </c>
      <c r="E131" s="200"/>
    </row>
    <row r="132" spans="1:5" x14ac:dyDescent="0.2">
      <c r="A132" s="626" t="s">
        <v>90</v>
      </c>
      <c r="B132" s="626"/>
      <c r="C132" s="626"/>
      <c r="D132" s="212">
        <f>ROUND(D131*D130,2)</f>
        <v>2881.96</v>
      </c>
      <c r="E132" s="200"/>
    </row>
    <row r="133" spans="1:5" x14ac:dyDescent="0.2">
      <c r="A133" s="626" t="s">
        <v>91</v>
      </c>
      <c r="B133" s="626"/>
      <c r="C133" s="626"/>
      <c r="D133" s="212">
        <v>2</v>
      </c>
      <c r="E133" s="200"/>
    </row>
    <row r="134" spans="1:5" x14ac:dyDescent="0.2">
      <c r="A134" s="633" t="s">
        <v>92</v>
      </c>
      <c r="B134" s="633"/>
      <c r="C134" s="633"/>
      <c r="D134" s="215">
        <f>ROUND(D133*D132,2)</f>
        <v>5763.92</v>
      </c>
      <c r="E134" s="200"/>
    </row>
    <row r="135" spans="1:5" x14ac:dyDescent="0.2">
      <c r="E135" s="200"/>
    </row>
    <row r="136" spans="1:5" x14ac:dyDescent="0.2">
      <c r="A136" s="623" t="s">
        <v>111</v>
      </c>
      <c r="B136" s="623"/>
      <c r="C136" s="623"/>
      <c r="D136" s="623"/>
    </row>
    <row r="137" spans="1:5" x14ac:dyDescent="0.2">
      <c r="A137" s="331" t="s">
        <v>1</v>
      </c>
      <c r="B137" s="626" t="s">
        <v>93</v>
      </c>
      <c r="C137" s="626"/>
      <c r="D137" s="297">
        <f>D130</f>
        <v>2881.96</v>
      </c>
      <c r="E137" s="303">
        <v>2183.9299999999998</v>
      </c>
    </row>
    <row r="138" spans="1:5" x14ac:dyDescent="0.2">
      <c r="A138" s="331" t="s">
        <v>2</v>
      </c>
      <c r="B138" s="626" t="s">
        <v>94</v>
      </c>
      <c r="C138" s="626"/>
      <c r="D138" s="212">
        <f>D134</f>
        <v>5763.92</v>
      </c>
    </row>
    <row r="139" spans="1:5" x14ac:dyDescent="0.2">
      <c r="A139" s="337" t="s">
        <v>4</v>
      </c>
      <c r="B139" s="633" t="s">
        <v>95</v>
      </c>
      <c r="C139" s="633"/>
      <c r="D139" s="215">
        <f>ROUND(D138*12,2)</f>
        <v>69167.039999999994</v>
      </c>
      <c r="E139" s="363"/>
    </row>
    <row r="140" spans="1:5" x14ac:dyDescent="0.2">
      <c r="A140" s="343"/>
    </row>
    <row r="141" spans="1:5" x14ac:dyDescent="0.2">
      <c r="A141" s="343"/>
      <c r="C141" s="364"/>
      <c r="D141" s="365"/>
    </row>
    <row r="142" spans="1:5" x14ac:dyDescent="0.2">
      <c r="A142" s="647" t="str">
        <f>'[1]CURITIBA (servente copeira )'!A142:B142</f>
        <v>Curitiba, 20 de Fevereiro de 2014.</v>
      </c>
      <c r="B142" s="648"/>
    </row>
    <row r="143" spans="1:5" x14ac:dyDescent="0.2">
      <c r="A143" s="343"/>
    </row>
    <row r="144" spans="1:5" x14ac:dyDescent="0.2">
      <c r="A144" s="343"/>
    </row>
    <row r="145" spans="1:2" x14ac:dyDescent="0.2">
      <c r="A145" s="649" t="s">
        <v>381</v>
      </c>
      <c r="B145" s="649"/>
    </row>
    <row r="146" spans="1:2" x14ac:dyDescent="0.2">
      <c r="A146" s="646" t="s">
        <v>379</v>
      </c>
      <c r="B146" s="646"/>
    </row>
    <row r="147" spans="1:2" x14ac:dyDescent="0.2">
      <c r="A147" s="646" t="s">
        <v>380</v>
      </c>
      <c r="B147" s="646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1" orientation="portrait" r:id="rId1"/>
  <headerFooter alignWithMargins="0"/>
  <rowBreaks count="1" manualBreakCount="1">
    <brk id="7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624">
        <v>41015</v>
      </c>
      <c r="D8" s="621"/>
    </row>
    <row r="9" spans="1:4" x14ac:dyDescent="0.2">
      <c r="A9" s="331" t="s">
        <v>2</v>
      </c>
      <c r="B9" s="332" t="s">
        <v>114</v>
      </c>
      <c r="C9" s="625" t="s">
        <v>525</v>
      </c>
      <c r="D9" s="625"/>
    </row>
    <row r="10" spans="1:4" x14ac:dyDescent="0.2">
      <c r="A10" s="331" t="s">
        <v>4</v>
      </c>
      <c r="B10" s="332" t="s">
        <v>6</v>
      </c>
      <c r="C10" s="624">
        <v>41641</v>
      </c>
      <c r="D10" s="621"/>
    </row>
    <row r="11" spans="1:4" x14ac:dyDescent="0.2">
      <c r="A11" s="331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440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620" t="s">
        <v>145</v>
      </c>
      <c r="D22" s="621"/>
    </row>
    <row r="23" spans="1:5" x14ac:dyDescent="0.2">
      <c r="A23" s="331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438</v>
      </c>
      <c r="C30" s="298"/>
      <c r="D30" s="297">
        <f>'REPACTUAÇÃO 2014'!G6</f>
        <v>66</v>
      </c>
      <c r="E30" s="303">
        <v>62</v>
      </c>
    </row>
    <row r="31" spans="1:5" x14ac:dyDescent="0.2">
      <c r="A31" s="331" t="s">
        <v>4</v>
      </c>
      <c r="B31" s="332" t="s">
        <v>24</v>
      </c>
      <c r="C31" s="19"/>
      <c r="D31" s="13"/>
      <c r="E31" s="196"/>
    </row>
    <row r="32" spans="1:5" x14ac:dyDescent="0.2">
      <c r="A32" s="331" t="s">
        <v>3</v>
      </c>
      <c r="B32" s="332" t="s">
        <v>25</v>
      </c>
      <c r="C32" s="20"/>
      <c r="D32" s="13"/>
      <c r="E32" s="153"/>
    </row>
    <row r="33" spans="1:6" x14ac:dyDescent="0.2">
      <c r="A33" s="331" t="s">
        <v>18</v>
      </c>
      <c r="B33" s="332" t="s">
        <v>26</v>
      </c>
      <c r="C33" s="20"/>
      <c r="D33" s="13"/>
      <c r="E33" s="153"/>
    </row>
    <row r="34" spans="1:6" x14ac:dyDescent="0.2">
      <c r="A34" s="331" t="s">
        <v>19</v>
      </c>
      <c r="B34" s="332" t="s">
        <v>27</v>
      </c>
      <c r="C34" s="18"/>
      <c r="D34" s="13"/>
      <c r="E34" s="196"/>
    </row>
    <row r="35" spans="1:6" x14ac:dyDescent="0.2">
      <c r="A35" s="331" t="s">
        <v>20</v>
      </c>
      <c r="B35" s="332" t="s">
        <v>28</v>
      </c>
      <c r="C35" s="20"/>
      <c r="D35" s="13"/>
      <c r="E35" s="153"/>
    </row>
    <row r="36" spans="1:6" x14ac:dyDescent="0.2">
      <c r="A36" s="331" t="s">
        <v>21</v>
      </c>
      <c r="B36" s="332" t="s">
        <v>119</v>
      </c>
      <c r="C36" s="18"/>
      <c r="D36" s="13"/>
    </row>
    <row r="37" spans="1:6" x14ac:dyDescent="0.2">
      <c r="A37" s="331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299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1052.9000000000001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337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331" t="s">
        <v>1</v>
      </c>
      <c r="B43" s="340" t="s">
        <v>133</v>
      </c>
      <c r="C43" s="13">
        <v>2.6</v>
      </c>
      <c r="D43" s="13"/>
      <c r="E43" s="197"/>
    </row>
    <row r="44" spans="1:6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298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331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331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299" t="s">
        <v>1</v>
      </c>
      <c r="B61" s="300" t="s">
        <v>40</v>
      </c>
      <c r="C61" s="10">
        <v>0.2</v>
      </c>
      <c r="D61" s="13">
        <f>ROUND($D$39*C61,2)</f>
        <v>210.58</v>
      </c>
    </row>
    <row r="62" spans="1:5" x14ac:dyDescent="0.2">
      <c r="A62" s="299" t="s">
        <v>2</v>
      </c>
      <c r="B62" s="300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299" t="s">
        <v>4</v>
      </c>
      <c r="B63" s="300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299" t="s">
        <v>3</v>
      </c>
      <c r="B64" s="300" t="s">
        <v>42</v>
      </c>
      <c r="C64" s="10">
        <v>2E-3</v>
      </c>
      <c r="D64" s="13">
        <f t="shared" si="0"/>
        <v>2.11</v>
      </c>
    </row>
    <row r="65" spans="1:6" x14ac:dyDescent="0.2">
      <c r="A65" s="299" t="s">
        <v>18</v>
      </c>
      <c r="B65" s="300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299" t="s">
        <v>19</v>
      </c>
      <c r="B66" s="300" t="s">
        <v>44</v>
      </c>
      <c r="C66" s="10">
        <v>0.08</v>
      </c>
      <c r="D66" s="13">
        <f t="shared" si="0"/>
        <v>84.23</v>
      </c>
    </row>
    <row r="67" spans="1:6" x14ac:dyDescent="0.2">
      <c r="A67" s="299" t="s">
        <v>20</v>
      </c>
      <c r="B67" s="300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299" t="s">
        <v>21</v>
      </c>
      <c r="B68" s="300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299" t="s">
        <v>2</v>
      </c>
      <c r="B73" s="300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116.98</v>
      </c>
    </row>
    <row r="75" spans="1:6" x14ac:dyDescent="0.2">
      <c r="A75" s="299" t="s">
        <v>4</v>
      </c>
      <c r="B75" s="300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160.04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299" t="s">
        <v>1</v>
      </c>
      <c r="B79" s="300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299" t="s">
        <v>2</v>
      </c>
      <c r="B80" s="300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299" t="s">
        <v>4</v>
      </c>
      <c r="B81" s="300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331" t="s">
        <v>3</v>
      </c>
      <c r="B82" s="332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331" t="s">
        <v>18</v>
      </c>
      <c r="B83" s="332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331" t="s">
        <v>19</v>
      </c>
      <c r="B84" s="332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331" t="s">
        <v>1</v>
      </c>
      <c r="B88" s="332" t="s">
        <v>58</v>
      </c>
      <c r="C88" s="10">
        <v>8.3299999999999999E-2</v>
      </c>
      <c r="D88" s="13">
        <f t="shared" ref="D88:D95" si="2">ROUND($D$39*C88,2)</f>
        <v>87.71</v>
      </c>
      <c r="E88" s="346"/>
    </row>
    <row r="89" spans="1:5" x14ac:dyDescent="0.2">
      <c r="A89" s="331" t="s">
        <v>2</v>
      </c>
      <c r="B89" s="332" t="s">
        <v>59</v>
      </c>
      <c r="C89" s="10">
        <v>5.5999999999999999E-3</v>
      </c>
      <c r="D89" s="13">
        <f t="shared" si="2"/>
        <v>5.9</v>
      </c>
    </row>
    <row r="90" spans="1:5" x14ac:dyDescent="0.2">
      <c r="A90" s="331" t="s">
        <v>4</v>
      </c>
      <c r="B90" s="300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331" t="s">
        <v>3</v>
      </c>
      <c r="B91" s="332" t="s">
        <v>60</v>
      </c>
      <c r="C91" s="10">
        <v>2.8E-3</v>
      </c>
      <c r="D91" s="13">
        <f t="shared" si="2"/>
        <v>2.95</v>
      </c>
    </row>
    <row r="92" spans="1:5" x14ac:dyDescent="0.2">
      <c r="A92" s="331" t="s">
        <v>18</v>
      </c>
      <c r="B92" s="332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331" t="s">
        <v>19</v>
      </c>
      <c r="B93" s="300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98.34</v>
      </c>
    </row>
    <row r="95" spans="1:5" x14ac:dyDescent="0.2">
      <c r="A95" s="331" t="s">
        <v>20</v>
      </c>
      <c r="B95" s="332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134.56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12" t="s">
        <v>98</v>
      </c>
    </row>
    <row r="100" spans="1:5" x14ac:dyDescent="0.2">
      <c r="A100" s="331" t="s">
        <v>63</v>
      </c>
      <c r="B100" s="347" t="s">
        <v>69</v>
      </c>
      <c r="C100" s="348">
        <f>C76</f>
        <v>0.152</v>
      </c>
      <c r="D100" s="13">
        <f>ROUND($D$39*C100,2)</f>
        <v>160.04</v>
      </c>
      <c r="E100" s="346"/>
    </row>
    <row r="101" spans="1:5" x14ac:dyDescent="0.2">
      <c r="A101" s="331" t="s">
        <v>64</v>
      </c>
      <c r="B101" s="347" t="s">
        <v>126</v>
      </c>
      <c r="C101" s="348">
        <f>C69</f>
        <v>0.36799999999999999</v>
      </c>
      <c r="D101" s="13">
        <f>ROUND($D$39*C101,2)</f>
        <v>387.47</v>
      </c>
    </row>
    <row r="102" spans="1:5" x14ac:dyDescent="0.2">
      <c r="A102" s="299" t="s">
        <v>65</v>
      </c>
      <c r="B102" s="347" t="s">
        <v>70</v>
      </c>
      <c r="C102" s="348">
        <f>C85</f>
        <v>8.0500000000000002E-2</v>
      </c>
      <c r="D102" s="13">
        <f>ROUND($D$39*C102,2)</f>
        <v>84.76</v>
      </c>
    </row>
    <row r="103" spans="1:5" x14ac:dyDescent="0.2">
      <c r="A103" s="299" t="s">
        <v>66</v>
      </c>
      <c r="B103" s="347" t="s">
        <v>71</v>
      </c>
      <c r="C103" s="348">
        <f>C96</f>
        <v>0.1278</v>
      </c>
      <c r="D103" s="13">
        <f>ROUND($D$39*C103,2)</f>
        <v>134.56</v>
      </c>
    </row>
    <row r="104" spans="1:5" x14ac:dyDescent="0.2">
      <c r="A104" s="299" t="s">
        <v>67</v>
      </c>
      <c r="B104" s="347" t="s">
        <v>29</v>
      </c>
      <c r="C104" s="349"/>
      <c r="D104" s="13"/>
    </row>
    <row r="105" spans="1:5" x14ac:dyDescent="0.2">
      <c r="A105" s="331"/>
      <c r="B105" s="350" t="s">
        <v>46</v>
      </c>
      <c r="C105" s="35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2527.4499999999998</v>
      </c>
    </row>
    <row r="107" spans="1:5" x14ac:dyDescent="0.2">
      <c r="A107" s="337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331" t="s">
        <v>1</v>
      </c>
      <c r="B108" s="332" t="s">
        <v>73</v>
      </c>
      <c r="C108" s="10">
        <v>1.06E-2</v>
      </c>
      <c r="D108" s="13">
        <f>ROUND($D$106*C108,2)</f>
        <v>26.79</v>
      </c>
    </row>
    <row r="109" spans="1:5" x14ac:dyDescent="0.2">
      <c r="A109" s="331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49.39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227.51</v>
      </c>
      <c r="F113" s="353">
        <f>SUM(C110:C114)</f>
        <v>0.14249999999999999</v>
      </c>
    </row>
    <row r="114" spans="1:9" x14ac:dyDescent="0.2">
      <c r="A114" s="352" t="s">
        <v>109</v>
      </c>
      <c r="B114" s="332" t="s">
        <v>79</v>
      </c>
      <c r="C114" s="131">
        <v>0.05</v>
      </c>
      <c r="D114" s="13">
        <f>ROUND($F$115*C114,2)</f>
        <v>149.68</v>
      </c>
      <c r="F114" s="354">
        <f>ROUND(D115+D108+D106,2)</f>
        <v>2567.0100000000002</v>
      </c>
    </row>
    <row r="115" spans="1:9" x14ac:dyDescent="0.2">
      <c r="A115" s="331" t="s">
        <v>4</v>
      </c>
      <c r="B115" s="332" t="s">
        <v>80</v>
      </c>
      <c r="C115" s="10">
        <v>5.0000000000000001E-3</v>
      </c>
      <c r="D115" s="13">
        <f>ROUND(($D$106+D108)*C115,2)</f>
        <v>12.77</v>
      </c>
      <c r="F115" s="41">
        <f>ROUND(F114/(1-F113),2)</f>
        <v>2993.6</v>
      </c>
    </row>
    <row r="116" spans="1:9" x14ac:dyDescent="0.2">
      <c r="A116" s="638" t="s">
        <v>46</v>
      </c>
      <c r="B116" s="643"/>
      <c r="C116" s="639"/>
      <c r="D116" s="22">
        <f>ROUND(SUM(D108:D115),2)</f>
        <v>466.14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331" t="s">
        <v>1</v>
      </c>
      <c r="B120" s="626" t="s">
        <v>83</v>
      </c>
      <c r="C120" s="626"/>
      <c r="D120" s="13">
        <f>D39</f>
        <v>1052.9000000000001</v>
      </c>
    </row>
    <row r="121" spans="1:9" x14ac:dyDescent="0.2">
      <c r="A121" s="331" t="s">
        <v>2</v>
      </c>
      <c r="B121" s="626" t="s">
        <v>84</v>
      </c>
      <c r="C121" s="626"/>
      <c r="D121" s="13">
        <f>D49</f>
        <v>298</v>
      </c>
    </row>
    <row r="122" spans="1:9" x14ac:dyDescent="0.2">
      <c r="A122" s="331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331" t="s">
        <v>3</v>
      </c>
      <c r="B123" s="626" t="s">
        <v>127</v>
      </c>
      <c r="C123" s="626"/>
      <c r="D123" s="13">
        <f>D105</f>
        <v>766.83</v>
      </c>
    </row>
    <row r="124" spans="1:9" x14ac:dyDescent="0.2">
      <c r="A124" s="625" t="s">
        <v>49</v>
      </c>
      <c r="B124" s="625"/>
      <c r="C124" s="625"/>
      <c r="D124" s="22">
        <f>ROUND(SUM(D120:D123),2)</f>
        <v>2527.4499999999998</v>
      </c>
    </row>
    <row r="125" spans="1:9" ht="18.75" x14ac:dyDescent="0.3">
      <c r="A125" s="331" t="s">
        <v>18</v>
      </c>
      <c r="B125" s="645" t="s">
        <v>86</v>
      </c>
      <c r="C125" s="645"/>
      <c r="D125" s="13">
        <f>D116</f>
        <v>466.14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2993.59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2993.59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2993.59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2993.59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331" t="s">
        <v>1</v>
      </c>
      <c r="B137" s="626" t="s">
        <v>93</v>
      </c>
      <c r="C137" s="626"/>
      <c r="D137" s="297">
        <f>D130</f>
        <v>2993.59</v>
      </c>
      <c r="E137" s="303">
        <v>2279.4299999999998</v>
      </c>
    </row>
    <row r="138" spans="1:9" x14ac:dyDescent="0.2">
      <c r="A138" s="331" t="s">
        <v>2</v>
      </c>
      <c r="B138" s="626" t="s">
        <v>94</v>
      </c>
      <c r="C138" s="626"/>
      <c r="D138" s="13">
        <f>D134</f>
        <v>2993.59</v>
      </c>
    </row>
    <row r="139" spans="1:9" x14ac:dyDescent="0.2">
      <c r="A139" s="337" t="s">
        <v>4</v>
      </c>
      <c r="B139" s="633" t="s">
        <v>95</v>
      </c>
      <c r="C139" s="633"/>
      <c r="D139" s="22">
        <f>ROUND(D138*12,2)</f>
        <v>35923.08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3" zoomScaleNormal="85" zoomScaleSheetLayoutView="100" workbookViewId="0">
      <selection activeCell="L59" sqref="L5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51.85546875" style="37" customWidth="1"/>
    <col min="7" max="7" width="9.7109375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51.85546875" customWidth="1"/>
    <col min="263" max="263" width="9.710937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51.85546875" customWidth="1"/>
    <col min="519" max="519" width="9.710937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51.85546875" customWidth="1"/>
    <col min="775" max="775" width="9.710937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51.85546875" customWidth="1"/>
    <col min="1031" max="1031" width="9.710937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51.85546875" customWidth="1"/>
    <col min="1287" max="1287" width="9.710937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51.85546875" customWidth="1"/>
    <col min="1543" max="1543" width="9.710937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51.85546875" customWidth="1"/>
    <col min="1799" max="1799" width="9.710937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51.85546875" customWidth="1"/>
    <col min="2055" max="2055" width="9.710937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51.85546875" customWidth="1"/>
    <col min="2311" max="2311" width="9.710937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51.85546875" customWidth="1"/>
    <col min="2567" max="2567" width="9.710937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51.85546875" customWidth="1"/>
    <col min="2823" max="2823" width="9.710937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51.85546875" customWidth="1"/>
    <col min="3079" max="3079" width="9.710937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51.85546875" customWidth="1"/>
    <col min="3335" max="3335" width="9.710937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51.85546875" customWidth="1"/>
    <col min="3591" max="3591" width="9.710937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51.85546875" customWidth="1"/>
    <col min="3847" max="3847" width="9.710937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51.85546875" customWidth="1"/>
    <col min="4103" max="4103" width="9.710937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51.85546875" customWidth="1"/>
    <col min="4359" max="4359" width="9.710937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51.85546875" customWidth="1"/>
    <col min="4615" max="4615" width="9.710937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51.85546875" customWidth="1"/>
    <col min="4871" max="4871" width="9.710937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51.85546875" customWidth="1"/>
    <col min="5127" max="5127" width="9.710937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51.85546875" customWidth="1"/>
    <col min="5383" max="5383" width="9.710937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51.85546875" customWidth="1"/>
    <col min="5639" max="5639" width="9.710937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51.85546875" customWidth="1"/>
    <col min="5895" max="5895" width="9.710937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51.85546875" customWidth="1"/>
    <col min="6151" max="6151" width="9.710937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51.85546875" customWidth="1"/>
    <col min="6407" max="6407" width="9.710937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51.85546875" customWidth="1"/>
    <col min="6663" max="6663" width="9.710937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51.85546875" customWidth="1"/>
    <col min="6919" max="6919" width="9.710937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51.85546875" customWidth="1"/>
    <col min="7175" max="7175" width="9.710937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51.85546875" customWidth="1"/>
    <col min="7431" max="7431" width="9.710937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51.85546875" customWidth="1"/>
    <col min="7687" max="7687" width="9.710937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51.85546875" customWidth="1"/>
    <col min="7943" max="7943" width="9.710937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51.85546875" customWidth="1"/>
    <col min="8199" max="8199" width="9.710937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51.85546875" customWidth="1"/>
    <col min="8455" max="8455" width="9.710937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51.85546875" customWidth="1"/>
    <col min="8711" max="8711" width="9.710937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51.85546875" customWidth="1"/>
    <col min="8967" max="8967" width="9.710937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51.85546875" customWidth="1"/>
    <col min="9223" max="9223" width="9.710937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51.85546875" customWidth="1"/>
    <col min="9479" max="9479" width="9.710937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51.85546875" customWidth="1"/>
    <col min="9735" max="9735" width="9.710937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51.85546875" customWidth="1"/>
    <col min="9991" max="9991" width="9.710937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51.85546875" customWidth="1"/>
    <col min="10247" max="10247" width="9.710937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51.85546875" customWidth="1"/>
    <col min="10503" max="10503" width="9.710937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51.85546875" customWidth="1"/>
    <col min="10759" max="10759" width="9.710937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51.85546875" customWidth="1"/>
    <col min="11015" max="11015" width="9.710937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51.85546875" customWidth="1"/>
    <col min="11271" max="11271" width="9.710937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51.85546875" customWidth="1"/>
    <col min="11527" max="11527" width="9.710937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51.85546875" customWidth="1"/>
    <col min="11783" max="11783" width="9.710937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51.85546875" customWidth="1"/>
    <col min="12039" max="12039" width="9.710937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51.85546875" customWidth="1"/>
    <col min="12295" max="12295" width="9.710937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51.85546875" customWidth="1"/>
    <col min="12551" max="12551" width="9.710937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51.85546875" customWidth="1"/>
    <col min="12807" max="12807" width="9.710937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51.85546875" customWidth="1"/>
    <col min="13063" max="13063" width="9.710937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51.85546875" customWidth="1"/>
    <col min="13319" max="13319" width="9.710937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51.85546875" customWidth="1"/>
    <col min="13575" max="13575" width="9.710937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51.85546875" customWidth="1"/>
    <col min="13831" max="13831" width="9.710937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51.85546875" customWidth="1"/>
    <col min="14087" max="14087" width="9.710937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51.85546875" customWidth="1"/>
    <col min="14343" max="14343" width="9.710937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51.85546875" customWidth="1"/>
    <col min="14599" max="14599" width="9.710937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51.85546875" customWidth="1"/>
    <col min="14855" max="14855" width="9.710937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51.85546875" customWidth="1"/>
    <col min="15111" max="15111" width="9.710937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51.85546875" customWidth="1"/>
    <col min="15367" max="15367" width="9.710937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51.85546875" customWidth="1"/>
    <col min="15623" max="15623" width="9.710937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51.85546875" customWidth="1"/>
    <col min="15879" max="15879" width="9.710937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51.85546875" customWidth="1"/>
    <col min="16135" max="16135" width="9.710937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115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5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42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6" x14ac:dyDescent="0.2">
      <c r="A33" s="14" t="s">
        <v>18</v>
      </c>
      <c r="B33" s="368" t="s">
        <v>26</v>
      </c>
      <c r="C33" s="382"/>
      <c r="D33" s="378"/>
      <c r="E33" s="379"/>
    </row>
    <row r="34" spans="1:6" x14ac:dyDescent="0.2">
      <c r="A34" s="14" t="s">
        <v>19</v>
      </c>
      <c r="B34" s="368" t="s">
        <v>27</v>
      </c>
      <c r="C34" s="377"/>
      <c r="D34" s="378"/>
      <c r="E34" s="381"/>
    </row>
    <row r="35" spans="1:6" x14ac:dyDescent="0.2">
      <c r="A35" s="14" t="s">
        <v>20</v>
      </c>
      <c r="B35" s="368" t="s">
        <v>28</v>
      </c>
      <c r="C35" s="382"/>
      <c r="D35" s="378"/>
      <c r="E35" s="379"/>
    </row>
    <row r="36" spans="1:6" x14ac:dyDescent="0.2">
      <c r="A36" s="14" t="s">
        <v>21</v>
      </c>
      <c r="B36" s="368" t="s">
        <v>119</v>
      </c>
      <c r="C36" s="377"/>
      <c r="D36" s="378"/>
      <c r="E36" s="369"/>
    </row>
    <row r="37" spans="1:6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6" s="228" customFormat="1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  <c r="F38" s="227"/>
    </row>
    <row r="39" spans="1:6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6" x14ac:dyDescent="0.2">
      <c r="A40" s="389"/>
      <c r="B40" s="389"/>
      <c r="C40" s="390"/>
      <c r="D40" s="391"/>
      <c r="E40" s="369"/>
    </row>
    <row r="41" spans="1:6" x14ac:dyDescent="0.2">
      <c r="A41" s="674" t="s">
        <v>99</v>
      </c>
      <c r="B41" s="675"/>
      <c r="C41" s="675"/>
      <c r="D41" s="676"/>
      <c r="E41" s="369"/>
    </row>
    <row r="42" spans="1:6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6" ht="13.5" customHeight="1" x14ac:dyDescent="0.2">
      <c r="A43" s="14" t="s">
        <v>1</v>
      </c>
      <c r="B43" s="393" t="s">
        <v>133</v>
      </c>
      <c r="C43" s="378">
        <v>3.3</v>
      </c>
      <c r="D43" s="378">
        <f>ROUND((C43*44)-(D29*6%),2)</f>
        <v>88.2</v>
      </c>
      <c r="E43" s="394"/>
    </row>
    <row r="44" spans="1:6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6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6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6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6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386.2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14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8" spans="1:5" x14ac:dyDescent="0.2">
      <c r="A58" s="389"/>
      <c r="B58" s="389"/>
      <c r="C58" s="390"/>
      <c r="D58" s="391"/>
      <c r="E58" s="369"/>
    </row>
    <row r="59" spans="1:5" x14ac:dyDescent="0.2">
      <c r="A59" s="674" t="s">
        <v>101</v>
      </c>
      <c r="B59" s="675"/>
      <c r="C59" s="675"/>
      <c r="D59" s="676"/>
      <c r="E59" s="369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  <c r="E60" s="369"/>
    </row>
    <row r="61" spans="1:5" x14ac:dyDescent="0.2">
      <c r="A61" s="367" t="s">
        <v>1</v>
      </c>
      <c r="B61" s="420" t="s">
        <v>40</v>
      </c>
      <c r="C61" s="397">
        <v>0.2</v>
      </c>
      <c r="D61" s="378">
        <f>ROUND($D$39*C61,2)</f>
        <v>210.58</v>
      </c>
      <c r="E61" s="369"/>
    </row>
    <row r="62" spans="1:5" x14ac:dyDescent="0.2">
      <c r="A62" s="367" t="s">
        <v>2</v>
      </c>
      <c r="B62" s="420" t="s">
        <v>41</v>
      </c>
      <c r="C62" s="397">
        <v>1.4999999999999999E-2</v>
      </c>
      <c r="D62" s="378">
        <f>ROUND($D$39*C62,2)</f>
        <v>15.79</v>
      </c>
      <c r="E62" s="369"/>
    </row>
    <row r="63" spans="1:5" x14ac:dyDescent="0.2">
      <c r="A63" s="367" t="s">
        <v>4</v>
      </c>
      <c r="B63" s="420" t="s">
        <v>123</v>
      </c>
      <c r="C63" s="397">
        <v>0.01</v>
      </c>
      <c r="D63" s="378">
        <f t="shared" ref="D63:D68" si="0">ROUND($D$39*C63,2)</f>
        <v>10.53</v>
      </c>
      <c r="E63" s="369"/>
    </row>
    <row r="64" spans="1:5" x14ac:dyDescent="0.2">
      <c r="A64" s="367" t="s">
        <v>3</v>
      </c>
      <c r="B64" s="420" t="s">
        <v>42</v>
      </c>
      <c r="C64" s="397">
        <v>2E-3</v>
      </c>
      <c r="D64" s="378">
        <f t="shared" si="0"/>
        <v>2.11</v>
      </c>
      <c r="E64" s="369"/>
    </row>
    <row r="65" spans="1:6" x14ac:dyDescent="0.2">
      <c r="A65" s="367" t="s">
        <v>18</v>
      </c>
      <c r="B65" s="420" t="s">
        <v>43</v>
      </c>
      <c r="C65" s="397">
        <v>2.5000000000000001E-2</v>
      </c>
      <c r="D65" s="378">
        <f t="shared" si="0"/>
        <v>26.32</v>
      </c>
      <c r="E65" s="369"/>
    </row>
    <row r="66" spans="1:6" x14ac:dyDescent="0.2">
      <c r="A66" s="367" t="s">
        <v>19</v>
      </c>
      <c r="B66" s="420" t="s">
        <v>44</v>
      </c>
      <c r="C66" s="397">
        <v>0.08</v>
      </c>
      <c r="D66" s="378">
        <f t="shared" si="0"/>
        <v>84.23</v>
      </c>
      <c r="E66" s="369"/>
    </row>
    <row r="67" spans="1:6" x14ac:dyDescent="0.2">
      <c r="A67" s="367" t="s">
        <v>20</v>
      </c>
      <c r="B67" s="420" t="s">
        <v>124</v>
      </c>
      <c r="C67" s="397">
        <f>2%*F71</f>
        <v>0.03</v>
      </c>
      <c r="D67" s="378">
        <f t="shared" si="0"/>
        <v>31.59</v>
      </c>
      <c r="E67" s="369"/>
    </row>
    <row r="68" spans="1:6" x14ac:dyDescent="0.2">
      <c r="A68" s="367" t="s">
        <v>21</v>
      </c>
      <c r="B68" s="420" t="s">
        <v>45</v>
      </c>
      <c r="C68" s="397">
        <v>6.0000000000000001E-3</v>
      </c>
      <c r="D68" s="378">
        <f t="shared" si="0"/>
        <v>6.32</v>
      </c>
      <c r="E68" s="369"/>
    </row>
    <row r="69" spans="1:6" x14ac:dyDescent="0.2">
      <c r="A69" s="672" t="s">
        <v>51</v>
      </c>
      <c r="B69" s="724"/>
      <c r="C69" s="402">
        <f>SUM(C61:C68)</f>
        <v>0.36799999999999999</v>
      </c>
      <c r="D69" s="388">
        <f>ROUND(SUM(D61:D68),2)</f>
        <v>387.47</v>
      </c>
      <c r="E69" s="369"/>
    </row>
    <row r="70" spans="1:6" x14ac:dyDescent="0.2">
      <c r="A70" s="369"/>
      <c r="B70" s="369"/>
      <c r="C70" s="390"/>
      <c r="D70" s="391"/>
      <c r="E70" s="369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/>
      <c r="F71" s="38">
        <v>1.5</v>
      </c>
    </row>
    <row r="72" spans="1:6" x14ac:dyDescent="0.2">
      <c r="A72" s="367" t="s">
        <v>1</v>
      </c>
      <c r="B72" s="420" t="s">
        <v>47</v>
      </c>
      <c r="C72" s="397">
        <v>8.3299999999999999E-2</v>
      </c>
      <c r="D72" s="378">
        <f>ROUND($D$39*C72,2)</f>
        <v>87.71</v>
      </c>
      <c r="E72" s="369"/>
    </row>
    <row r="73" spans="1:6" x14ac:dyDescent="0.2">
      <c r="A73" s="367" t="s">
        <v>2</v>
      </c>
      <c r="B73" s="420" t="s">
        <v>48</v>
      </c>
      <c r="C73" s="397">
        <f>C88/3</f>
        <v>2.7799999999999998E-2</v>
      </c>
      <c r="D73" s="378">
        <f>ROUND($D$39*C73,2)</f>
        <v>29.27</v>
      </c>
      <c r="E73" s="369"/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116.98</v>
      </c>
      <c r="E74" s="369"/>
    </row>
    <row r="75" spans="1:6" x14ac:dyDescent="0.2">
      <c r="A75" s="367" t="s">
        <v>4</v>
      </c>
      <c r="B75" s="420" t="s">
        <v>50</v>
      </c>
      <c r="C75" s="397">
        <f>C69*C74</f>
        <v>4.0899999999999999E-2</v>
      </c>
      <c r="D75" s="378">
        <f>ROUND($D$39*C75,2)</f>
        <v>43.06</v>
      </c>
      <c r="E75" s="369"/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160.04</v>
      </c>
      <c r="E76" s="369"/>
    </row>
    <row r="77" spans="1:6" x14ac:dyDescent="0.2">
      <c r="A77" s="369"/>
      <c r="B77" s="369"/>
      <c r="C77" s="390"/>
      <c r="D77" s="391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  <c r="E78" s="369"/>
    </row>
    <row r="79" spans="1:6" x14ac:dyDescent="0.2">
      <c r="A79" s="367" t="s">
        <v>1</v>
      </c>
      <c r="B79" s="420" t="s">
        <v>52</v>
      </c>
      <c r="C79" s="397">
        <v>1.6999999999999999E-3</v>
      </c>
      <c r="D79" s="378">
        <f t="shared" ref="D79:D84" si="1">ROUND($D$39*C79,2)</f>
        <v>1.79</v>
      </c>
      <c r="E79" s="369"/>
    </row>
    <row r="80" spans="1:6" x14ac:dyDescent="0.2">
      <c r="A80" s="367" t="s">
        <v>2</v>
      </c>
      <c r="B80" s="420" t="s">
        <v>53</v>
      </c>
      <c r="C80" s="397">
        <f>C66*C79</f>
        <v>1E-4</v>
      </c>
      <c r="D80" s="378">
        <f t="shared" si="1"/>
        <v>0.11</v>
      </c>
      <c r="E80" s="369"/>
    </row>
    <row r="81" spans="1:5" x14ac:dyDescent="0.2">
      <c r="A81" s="367" t="s">
        <v>4</v>
      </c>
      <c r="B81" s="420" t="s">
        <v>54</v>
      </c>
      <c r="C81" s="397">
        <f>C66*10%</f>
        <v>8.0000000000000002E-3</v>
      </c>
      <c r="D81" s="378">
        <f t="shared" si="1"/>
        <v>8.42</v>
      </c>
      <c r="E81" s="369"/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20.43</v>
      </c>
      <c r="E82" s="369"/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7.48</v>
      </c>
      <c r="E83" s="369"/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46.54</v>
      </c>
      <c r="E84" s="369"/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84.77</v>
      </c>
      <c r="E85" s="369"/>
    </row>
    <row r="86" spans="1:5" x14ac:dyDescent="0.2">
      <c r="A86" s="389"/>
      <c r="B86" s="389"/>
      <c r="C86" s="390"/>
      <c r="D86" s="391"/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87.71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5.9</v>
      </c>
      <c r="E89" s="369"/>
    </row>
    <row r="90" spans="1:5" x14ac:dyDescent="0.2">
      <c r="A90" s="14" t="s">
        <v>4</v>
      </c>
      <c r="B90" s="420" t="s">
        <v>360</v>
      </c>
      <c r="C90" s="397">
        <v>6.9999999999999999E-4</v>
      </c>
      <c r="D90" s="378">
        <f t="shared" si="2"/>
        <v>0.74</v>
      </c>
      <c r="E90" s="369"/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2.95</v>
      </c>
      <c r="E91" s="369"/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0.84</v>
      </c>
      <c r="E92" s="369"/>
    </row>
    <row r="93" spans="1:5" x14ac:dyDescent="0.2">
      <c r="A93" s="14" t="s">
        <v>19</v>
      </c>
      <c r="B93" s="420" t="s">
        <v>367</v>
      </c>
      <c r="C93" s="397">
        <v>2.0000000000000001E-4</v>
      </c>
      <c r="D93" s="378">
        <f t="shared" si="2"/>
        <v>0.21</v>
      </c>
      <c r="E93" s="369"/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98.34</v>
      </c>
      <c r="E94" s="369"/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36.22</v>
      </c>
      <c r="E95" s="369"/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134.56</v>
      </c>
      <c r="E96" s="369"/>
    </row>
    <row r="97" spans="1:5" x14ac:dyDescent="0.2">
      <c r="A97" s="389"/>
      <c r="B97" s="389"/>
      <c r="C97" s="390"/>
      <c r="D97" s="391"/>
      <c r="E97" s="369"/>
    </row>
    <row r="98" spans="1:5" x14ac:dyDescent="0.2">
      <c r="A98" s="671" t="s">
        <v>62</v>
      </c>
      <c r="B98" s="671"/>
      <c r="C98" s="671"/>
      <c r="D98" s="671"/>
      <c r="E98" s="369"/>
    </row>
    <row r="99" spans="1:5" x14ac:dyDescent="0.2">
      <c r="A99" s="373">
        <v>4</v>
      </c>
      <c r="B99" s="722" t="s">
        <v>68</v>
      </c>
      <c r="C99" s="722"/>
      <c r="D99" s="376" t="s">
        <v>98</v>
      </c>
      <c r="E99" s="369"/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160.04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387.47</v>
      </c>
      <c r="E101" s="369"/>
    </row>
    <row r="102" spans="1:5" x14ac:dyDescent="0.2">
      <c r="A102" s="367" t="s">
        <v>65</v>
      </c>
      <c r="B102" s="406" t="s">
        <v>70</v>
      </c>
      <c r="C102" s="407">
        <f>C85</f>
        <v>8.0500000000000002E-2</v>
      </c>
      <c r="D102" s="378">
        <f>ROUND($D$39*C102,2)</f>
        <v>84.76</v>
      </c>
      <c r="E102" s="369"/>
    </row>
    <row r="103" spans="1:5" x14ac:dyDescent="0.2">
      <c r="A103" s="367" t="s">
        <v>66</v>
      </c>
      <c r="B103" s="406" t="s">
        <v>71</v>
      </c>
      <c r="C103" s="407">
        <f>C96</f>
        <v>0.1278</v>
      </c>
      <c r="D103" s="378">
        <f>ROUND($D$39*C103,2)</f>
        <v>134.56</v>
      </c>
      <c r="E103" s="369"/>
    </row>
    <row r="104" spans="1:5" x14ac:dyDescent="0.2">
      <c r="A104" s="367" t="s">
        <v>67</v>
      </c>
      <c r="B104" s="406" t="s">
        <v>29</v>
      </c>
      <c r="C104" s="408"/>
      <c r="D104" s="378"/>
      <c r="E104" s="369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766.83</v>
      </c>
      <c r="E105" s="369"/>
    </row>
    <row r="106" spans="1:5" x14ac:dyDescent="0.2">
      <c r="A106" s="389"/>
      <c r="B106" s="389"/>
      <c r="C106" s="390"/>
      <c r="D106" s="411">
        <f>ROUND(D105+D57+D49+D39,2)</f>
        <v>2615.65</v>
      </c>
      <c r="E106" s="369"/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v>1.06E-2</v>
      </c>
      <c r="D108" s="378">
        <f>ROUND($D$106*C108,2)</f>
        <v>27.73</v>
      </c>
      <c r="E108" s="369"/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  <c r="E110" s="369"/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  <c r="E111" s="369"/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49.67</v>
      </c>
      <c r="E112" s="369"/>
    </row>
    <row r="113" spans="1:9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228.78</v>
      </c>
      <c r="E113" s="369"/>
      <c r="F113" s="39">
        <f>SUM(C110:C114)</f>
        <v>0.11749999999999999</v>
      </c>
    </row>
    <row r="114" spans="1:9" x14ac:dyDescent="0.2">
      <c r="A114" s="14" t="s">
        <v>109</v>
      </c>
      <c r="B114" s="368" t="s">
        <v>79</v>
      </c>
      <c r="C114" s="423">
        <v>2.5000000000000001E-2</v>
      </c>
      <c r="D114" s="378">
        <f>ROUND($F$115*C114,2)</f>
        <v>75.260000000000005</v>
      </c>
      <c r="E114" s="369"/>
      <c r="F114" s="40">
        <f>ROUND(D115+D108+D106,2)</f>
        <v>2656.6</v>
      </c>
    </row>
    <row r="115" spans="1:9" x14ac:dyDescent="0.2">
      <c r="A115" s="14" t="s">
        <v>4</v>
      </c>
      <c r="B115" s="368" t="s">
        <v>80</v>
      </c>
      <c r="C115" s="397">
        <v>5.0000000000000001E-3</v>
      </c>
      <c r="D115" s="378">
        <f>ROUND(($D$106+D108)*C115,2)</f>
        <v>13.22</v>
      </c>
      <c r="E115" s="369"/>
      <c r="F115" s="41">
        <f>ROUND(F114/(1-F113),2)</f>
        <v>3010.31</v>
      </c>
    </row>
    <row r="116" spans="1:9" x14ac:dyDescent="0.2">
      <c r="A116" s="672" t="s">
        <v>46</v>
      </c>
      <c r="B116" s="723"/>
      <c r="C116" s="673"/>
      <c r="D116" s="388">
        <f>ROUND(SUM(D108:D115),2)</f>
        <v>394.66</v>
      </c>
      <c r="E116" s="369"/>
    </row>
    <row r="117" spans="1:9" x14ac:dyDescent="0.2">
      <c r="A117" s="389"/>
      <c r="B117" s="389"/>
      <c r="C117" s="390"/>
      <c r="D117" s="411"/>
      <c r="E117" s="369"/>
    </row>
    <row r="118" spans="1:9" x14ac:dyDescent="0.2">
      <c r="A118" s="671" t="s">
        <v>81</v>
      </c>
      <c r="B118" s="671"/>
      <c r="C118" s="671"/>
      <c r="D118" s="671"/>
      <c r="E118" s="369"/>
    </row>
    <row r="119" spans="1:9" x14ac:dyDescent="0.2">
      <c r="A119" s="725" t="s">
        <v>82</v>
      </c>
      <c r="B119" s="725"/>
      <c r="C119" s="725"/>
      <c r="D119" s="725"/>
      <c r="E119" s="369"/>
    </row>
    <row r="120" spans="1:9" x14ac:dyDescent="0.2">
      <c r="A120" s="14" t="s">
        <v>1</v>
      </c>
      <c r="B120" s="728" t="s">
        <v>83</v>
      </c>
      <c r="C120" s="728"/>
      <c r="D120" s="378">
        <f>D39</f>
        <v>1052.9000000000001</v>
      </c>
      <c r="E120" s="369"/>
    </row>
    <row r="121" spans="1:9" x14ac:dyDescent="0.2">
      <c r="A121" s="14" t="s">
        <v>2</v>
      </c>
      <c r="B121" s="728" t="s">
        <v>84</v>
      </c>
      <c r="C121" s="728"/>
      <c r="D121" s="378">
        <f>D49</f>
        <v>386.2</v>
      </c>
      <c r="E121" s="369"/>
    </row>
    <row r="122" spans="1:9" x14ac:dyDescent="0.2">
      <c r="A122" s="14" t="s">
        <v>4</v>
      </c>
      <c r="B122" s="728" t="s">
        <v>85</v>
      </c>
      <c r="C122" s="728"/>
      <c r="D122" s="378">
        <f>D57</f>
        <v>409.72</v>
      </c>
      <c r="E122" s="369"/>
    </row>
    <row r="123" spans="1:9" x14ac:dyDescent="0.2">
      <c r="A123" s="14" t="s">
        <v>3</v>
      </c>
      <c r="B123" s="728" t="s">
        <v>127</v>
      </c>
      <c r="C123" s="728"/>
      <c r="D123" s="378">
        <f>D105</f>
        <v>766.83</v>
      </c>
      <c r="E123" s="369"/>
    </row>
    <row r="124" spans="1:9" x14ac:dyDescent="0.2">
      <c r="A124" s="725" t="s">
        <v>49</v>
      </c>
      <c r="B124" s="725"/>
      <c r="C124" s="725"/>
      <c r="D124" s="388">
        <f>ROUND(SUM(D120:D123),2)</f>
        <v>2615.65</v>
      </c>
      <c r="E124" s="369"/>
    </row>
    <row r="125" spans="1:9" ht="18.75" x14ac:dyDescent="0.3">
      <c r="A125" s="14" t="s">
        <v>18</v>
      </c>
      <c r="B125" s="729" t="s">
        <v>86</v>
      </c>
      <c r="C125" s="729"/>
      <c r="D125" s="378">
        <f>D116</f>
        <v>394.66</v>
      </c>
      <c r="E125" s="369"/>
      <c r="F125" s="132"/>
      <c r="G125" s="128"/>
      <c r="H125" s="128"/>
    </row>
    <row r="126" spans="1:9" ht="18.75" x14ac:dyDescent="0.3">
      <c r="A126" s="725" t="s">
        <v>87</v>
      </c>
      <c r="B126" s="725"/>
      <c r="C126" s="725"/>
      <c r="D126" s="388">
        <f>ROUND(D125+D124,2)</f>
        <v>3010.31</v>
      </c>
      <c r="E126" s="369"/>
      <c r="F126" s="132"/>
    </row>
    <row r="127" spans="1:9" ht="18.75" x14ac:dyDescent="0.3">
      <c r="A127" s="389"/>
      <c r="B127" s="389"/>
      <c r="C127" s="390"/>
      <c r="D127" s="391"/>
      <c r="E127" s="369"/>
      <c r="F127" s="132"/>
    </row>
    <row r="128" spans="1:9" ht="18.75" x14ac:dyDescent="0.3">
      <c r="A128" s="725" t="s">
        <v>110</v>
      </c>
      <c r="B128" s="725"/>
      <c r="C128" s="725"/>
      <c r="D128" s="725"/>
      <c r="E128" s="369"/>
      <c r="F128" s="132"/>
      <c r="I128" s="128"/>
    </row>
    <row r="129" spans="1:9" ht="18.75" x14ac:dyDescent="0.3">
      <c r="A129" s="728" t="s">
        <v>13</v>
      </c>
      <c r="B129" s="728"/>
      <c r="C129" s="728"/>
      <c r="D129" s="378"/>
      <c r="E129" s="369"/>
      <c r="F129" s="132"/>
      <c r="I129" s="128"/>
    </row>
    <row r="130" spans="1:9" ht="18.75" x14ac:dyDescent="0.3">
      <c r="A130" s="728" t="s">
        <v>88</v>
      </c>
      <c r="B130" s="728"/>
      <c r="C130" s="728"/>
      <c r="D130" s="378">
        <f>D126</f>
        <v>3010.31</v>
      </c>
      <c r="E130" s="414"/>
      <c r="F130" s="132"/>
      <c r="I130" s="128"/>
    </row>
    <row r="131" spans="1:9" ht="18.75" x14ac:dyDescent="0.3">
      <c r="A131" s="728" t="s">
        <v>89</v>
      </c>
      <c r="B131" s="728"/>
      <c r="C131" s="728"/>
      <c r="D131" s="378">
        <v>1</v>
      </c>
      <c r="E131" s="414"/>
      <c r="F131" s="132"/>
      <c r="I131" s="128"/>
    </row>
    <row r="132" spans="1:9" ht="18.75" x14ac:dyDescent="0.3">
      <c r="A132" s="728" t="s">
        <v>90</v>
      </c>
      <c r="B132" s="728"/>
      <c r="C132" s="728"/>
      <c r="D132" s="378">
        <f>ROUND(D131*D130,2)</f>
        <v>3010.31</v>
      </c>
      <c r="E132" s="414"/>
      <c r="F132" s="132"/>
      <c r="I132" s="128"/>
    </row>
    <row r="133" spans="1:9" ht="18.75" x14ac:dyDescent="0.3">
      <c r="A133" s="728" t="s">
        <v>91</v>
      </c>
      <c r="B133" s="728"/>
      <c r="C133" s="728"/>
      <c r="D133" s="378">
        <f>1+1</f>
        <v>2</v>
      </c>
      <c r="E133" s="414"/>
      <c r="F133" s="132"/>
      <c r="I133" s="128"/>
    </row>
    <row r="134" spans="1:9" ht="18.75" x14ac:dyDescent="0.3">
      <c r="A134" s="722" t="s">
        <v>92</v>
      </c>
      <c r="B134" s="722"/>
      <c r="C134" s="722"/>
      <c r="D134" s="388">
        <f>ROUND(D133*D132,2)</f>
        <v>6020.62</v>
      </c>
      <c r="E134" s="414"/>
      <c r="F134" s="132"/>
    </row>
    <row r="135" spans="1:9" ht="18.75" x14ac:dyDescent="0.3">
      <c r="A135" s="389"/>
      <c r="B135" s="389"/>
      <c r="C135" s="390"/>
      <c r="D135" s="391"/>
      <c r="E135" s="414"/>
      <c r="F135" s="132"/>
    </row>
    <row r="136" spans="1:9" ht="18.75" x14ac:dyDescent="0.3">
      <c r="A136" s="725" t="s">
        <v>111</v>
      </c>
      <c r="B136" s="725"/>
      <c r="C136" s="725"/>
      <c r="D136" s="725"/>
      <c r="E136" s="369"/>
      <c r="F136" s="132"/>
    </row>
    <row r="137" spans="1:9" x14ac:dyDescent="0.2">
      <c r="A137" s="14" t="s">
        <v>1</v>
      </c>
      <c r="B137" s="728" t="s">
        <v>93</v>
      </c>
      <c r="C137" s="728"/>
      <c r="D137" s="378">
        <f>D130</f>
        <v>3010.31</v>
      </c>
      <c r="E137" s="509"/>
    </row>
    <row r="138" spans="1:9" x14ac:dyDescent="0.2">
      <c r="A138" s="14" t="s">
        <v>2</v>
      </c>
      <c r="B138" s="728" t="s">
        <v>94</v>
      </c>
      <c r="C138" s="728"/>
      <c r="D138" s="378">
        <f>D134</f>
        <v>6020.62</v>
      </c>
      <c r="E138" s="369"/>
    </row>
    <row r="139" spans="1:9" x14ac:dyDescent="0.2">
      <c r="A139" s="373" t="s">
        <v>4</v>
      </c>
      <c r="B139" s="722" t="s">
        <v>95</v>
      </c>
      <c r="C139" s="722"/>
      <c r="D139" s="388">
        <f>ROUND(D138*12,2)</f>
        <v>72247.44</v>
      </c>
      <c r="E139" s="369"/>
      <c r="F139" s="133"/>
    </row>
    <row r="140" spans="1:9" x14ac:dyDescent="0.2">
      <c r="A140" s="1"/>
      <c r="F140" s="185"/>
    </row>
    <row r="141" spans="1:9" x14ac:dyDescent="0.2">
      <c r="A141" s="1"/>
    </row>
    <row r="142" spans="1:9" x14ac:dyDescent="0.2">
      <c r="A142" s="685" t="s">
        <v>499</v>
      </c>
      <c r="B142" s="686"/>
    </row>
    <row r="143" spans="1:9" x14ac:dyDescent="0.2">
      <c r="A143" s="1"/>
      <c r="E143" s="198"/>
      <c r="F143" s="133"/>
    </row>
    <row r="144" spans="1:9" x14ac:dyDescent="0.2">
      <c r="A144" s="1"/>
      <c r="E144" s="198"/>
      <c r="F144" s="133"/>
      <c r="G144" s="134"/>
    </row>
    <row r="145" spans="1:8" x14ac:dyDescent="0.2">
      <c r="A145" s="687" t="s">
        <v>381</v>
      </c>
      <c r="B145" s="687"/>
      <c r="F145" s="133"/>
      <c r="G145" s="29"/>
    </row>
    <row r="146" spans="1:8" x14ac:dyDescent="0.2">
      <c r="A146" s="688" t="s">
        <v>379</v>
      </c>
      <c r="B146" s="688"/>
      <c r="F146" s="133"/>
    </row>
    <row r="147" spans="1:8" x14ac:dyDescent="0.2">
      <c r="A147" s="684" t="s">
        <v>380</v>
      </c>
      <c r="B147" s="684"/>
      <c r="F147" s="133"/>
    </row>
    <row r="148" spans="1:8" x14ac:dyDescent="0.2">
      <c r="F148" s="135"/>
      <c r="H148" s="128"/>
    </row>
    <row r="149" spans="1:8" x14ac:dyDescent="0.2">
      <c r="F149" s="133"/>
    </row>
    <row r="150" spans="1:8" x14ac:dyDescent="0.2">
      <c r="F150" s="133"/>
    </row>
    <row r="151" spans="1:8" x14ac:dyDescent="0.2">
      <c r="F151" s="133"/>
    </row>
    <row r="152" spans="1:8" x14ac:dyDescent="0.2">
      <c r="F152" s="133"/>
    </row>
    <row r="153" spans="1:8" x14ac:dyDescent="0.2">
      <c r="F153" s="133"/>
    </row>
    <row r="154" spans="1:8" x14ac:dyDescent="0.2">
      <c r="F154" s="133"/>
    </row>
    <row r="155" spans="1:8" x14ac:dyDescent="0.2">
      <c r="F155" s="133"/>
    </row>
    <row r="156" spans="1:8" x14ac:dyDescent="0.2">
      <c r="F156" s="135"/>
    </row>
    <row r="157" spans="1:8" x14ac:dyDescent="0.2">
      <c r="F157" s="133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showGridLines="0" tabSelected="1" view="pageBreakPreview" topLeftCell="B77" zoomScaleNormal="100" zoomScaleSheetLayoutView="100" workbookViewId="0">
      <selection activeCell="B85" sqref="B85:L95"/>
    </sheetView>
  </sheetViews>
  <sheetFormatPr defaultRowHeight="12.75" x14ac:dyDescent="0.2"/>
  <cols>
    <col min="1" max="1" width="10.85546875" hidden="1" customWidth="1"/>
    <col min="2" max="2" width="30.5703125" customWidth="1"/>
    <col min="3" max="3" width="30.140625" style="138" customWidth="1"/>
    <col min="4" max="4" width="28.5703125" customWidth="1"/>
    <col min="5" max="5" width="29.28515625" style="1" hidden="1" customWidth="1"/>
    <col min="6" max="6" width="18.140625" style="1" customWidth="1"/>
    <col min="7" max="7" width="25.28515625" style="1" hidden="1" customWidth="1"/>
    <col min="8" max="8" width="22.85546875" hidden="1" customWidth="1"/>
    <col min="9" max="9" width="24.85546875" hidden="1" customWidth="1"/>
    <col min="10" max="10" width="33.85546875" hidden="1" customWidth="1"/>
    <col min="11" max="11" width="19" customWidth="1"/>
    <col min="12" max="12" width="24" customWidth="1"/>
    <col min="13" max="14" width="21.7109375" customWidth="1"/>
    <col min="15" max="15" width="21.7109375" bestFit="1" customWidth="1"/>
    <col min="16" max="16" width="12.140625" bestFit="1" customWidth="1"/>
    <col min="17" max="17" width="13.28515625" bestFit="1" customWidth="1"/>
  </cols>
  <sheetData>
    <row r="1" spans="2:16" ht="26.25" thickBot="1" x14ac:dyDescent="0.25">
      <c r="B1" s="478" t="s">
        <v>112</v>
      </c>
      <c r="C1" s="477" t="s">
        <v>435</v>
      </c>
      <c r="D1" s="479" t="s">
        <v>504</v>
      </c>
      <c r="E1" s="480" t="s">
        <v>502</v>
      </c>
      <c r="F1" s="475" t="s">
        <v>533</v>
      </c>
      <c r="G1" s="476" t="s">
        <v>443</v>
      </c>
      <c r="H1" s="477" t="s">
        <v>442</v>
      </c>
      <c r="I1" s="481" t="s">
        <v>464</v>
      </c>
      <c r="J1" s="482" t="s">
        <v>465</v>
      </c>
      <c r="K1" s="482" t="s">
        <v>503</v>
      </c>
      <c r="L1" s="482" t="s">
        <v>514</v>
      </c>
      <c r="M1" s="482" t="s">
        <v>518</v>
      </c>
      <c r="N1" s="482"/>
      <c r="O1" s="482" t="s">
        <v>545</v>
      </c>
      <c r="P1" s="1"/>
    </row>
    <row r="2" spans="2:16" x14ac:dyDescent="0.2">
      <c r="B2" s="232" t="s">
        <v>115</v>
      </c>
      <c r="C2" s="237">
        <v>779894.28</v>
      </c>
      <c r="D2" s="241">
        <f>(864836.28)</f>
        <v>864836.28</v>
      </c>
      <c r="E2" s="241">
        <f>1146927-(CURITIBA!D137*6*12)-((CURITIBA!D137-'CURITIBA (servente copeira )'!D137)*2*12)</f>
        <v>940501.8</v>
      </c>
      <c r="F2" s="474">
        <f>(33*CURITIBA!D137*12)</f>
        <v>1149524.6399999999</v>
      </c>
      <c r="G2" s="236">
        <f>D2/33*35</f>
        <v>917250.6</v>
      </c>
      <c r="H2" s="236">
        <v>918396.6</v>
      </c>
      <c r="I2" s="236">
        <v>1024371.24</v>
      </c>
      <c r="J2" s="236">
        <v>1146927</v>
      </c>
      <c r="K2" s="236">
        <v>1146927</v>
      </c>
      <c r="L2" s="236">
        <v>941477.28</v>
      </c>
      <c r="M2" s="236">
        <f>CURITIBA!$D$139+'CURITIBA (servente copeira )'!$D$139</f>
        <v>1047601.68</v>
      </c>
      <c r="N2" s="236">
        <v>1011699.6</v>
      </c>
      <c r="O2" s="236">
        <f>CURITIBA!$D$139+'CURITIBA (servente copeira )'!$D$139</f>
        <v>1047601.68</v>
      </c>
      <c r="P2" s="143"/>
    </row>
    <row r="3" spans="2:16" x14ac:dyDescent="0.2">
      <c r="B3" s="233" t="s">
        <v>387</v>
      </c>
      <c r="C3" s="238">
        <v>142377.12</v>
      </c>
      <c r="D3" s="242">
        <v>158089.68</v>
      </c>
      <c r="E3" s="242">
        <v>175959.36</v>
      </c>
      <c r="F3" s="471">
        <f>6*ASSIS!D137*12</f>
        <v>211494.24</v>
      </c>
      <c r="G3" s="182">
        <f t="shared" ref="G3:G14" si="0">D3</f>
        <v>158089.68</v>
      </c>
      <c r="H3" s="182">
        <v>158089.68</v>
      </c>
      <c r="I3" s="182">
        <v>158089.68</v>
      </c>
      <c r="J3" s="182">
        <v>175959.36</v>
      </c>
      <c r="K3" s="182">
        <v>175959.36</v>
      </c>
      <c r="L3" s="182">
        <v>175959.36</v>
      </c>
      <c r="M3" s="182">
        <f>ASSIS!$D$139</f>
        <v>211494.24</v>
      </c>
      <c r="N3" s="182">
        <v>189896.4</v>
      </c>
      <c r="O3" s="182">
        <f>ASSIS!$D$139</f>
        <v>211494.24</v>
      </c>
      <c r="P3" s="143"/>
    </row>
    <row r="4" spans="2:16" x14ac:dyDescent="0.2">
      <c r="B4" s="233" t="s">
        <v>147</v>
      </c>
      <c r="C4" s="238">
        <v>70377.119999999995</v>
      </c>
      <c r="D4" s="242">
        <v>78144.12</v>
      </c>
      <c r="E4" s="242">
        <f>89235.48-(('CAMPO LARGO (servente copeira)'!D137-'CAMPO LARGO'!D137)*12)</f>
        <v>87934.44</v>
      </c>
      <c r="F4" s="471">
        <f>3*'CAMPO LARGO'!D137*12</f>
        <v>103801.68</v>
      </c>
      <c r="G4" s="182">
        <f t="shared" si="0"/>
        <v>78144.12</v>
      </c>
      <c r="H4" s="182">
        <v>79234.8</v>
      </c>
      <c r="I4" s="182">
        <v>79234.8</v>
      </c>
      <c r="J4" s="182">
        <v>89235.48</v>
      </c>
      <c r="K4" s="182">
        <v>118598.16</v>
      </c>
      <c r="L4" s="182">
        <v>118598.16</v>
      </c>
      <c r="M4" s="182">
        <f>'CAMPO LARGO (servente copeira)'!$D$139+'CAMPO LARGO'!$D$139</f>
        <v>312706.08</v>
      </c>
      <c r="N4" s="182">
        <v>286192.68</v>
      </c>
      <c r="O4" s="182">
        <f>'CAMPO LARGO (servente copeira)'!$D$139+'CAMPO LARGO'!$D$139</f>
        <v>312706.08</v>
      </c>
      <c r="P4" s="143"/>
    </row>
    <row r="5" spans="2:16" x14ac:dyDescent="0.2">
      <c r="B5" s="233" t="s">
        <v>135</v>
      </c>
      <c r="C5" s="238">
        <v>450411.72</v>
      </c>
      <c r="D5" s="242">
        <v>499602.72</v>
      </c>
      <c r="E5" s="242">
        <f>563702.04-(('FOZ DO IGUAÇU (servente copeir)'!D137-'FOZ DO IGUAÇU'!D137)*2*12)</f>
        <v>561103.31999999995</v>
      </c>
      <c r="F5" s="471">
        <f>19*'FOZ DO IGUAÇU'!D137*12</f>
        <v>660928.68000000005</v>
      </c>
      <c r="G5" s="182">
        <f t="shared" si="0"/>
        <v>499602.72</v>
      </c>
      <c r="H5" s="182">
        <v>501784.08</v>
      </c>
      <c r="I5" s="182">
        <v>501784.08</v>
      </c>
      <c r="J5" s="182">
        <v>563702.04</v>
      </c>
      <c r="K5" s="182">
        <v>563702.04</v>
      </c>
      <c r="L5" s="182">
        <v>563702.04</v>
      </c>
      <c r="M5" s="182">
        <f>'FOZ DO IGUAÇU (servente copeir)'!$D$139+'FOZ DO IGUAÇU'!$D$139</f>
        <v>280884.47999999998</v>
      </c>
      <c r="N5" s="182">
        <v>352683.12</v>
      </c>
      <c r="O5" s="182">
        <f>'FOZ DO IGUAÇU'!D139</f>
        <v>208714.32</v>
      </c>
      <c r="P5" s="143"/>
    </row>
    <row r="6" spans="2:16" x14ac:dyDescent="0.2">
      <c r="B6" s="233" t="s">
        <v>136</v>
      </c>
      <c r="C6" s="238">
        <v>70654.679999999993</v>
      </c>
      <c r="D6" s="242">
        <v>78421.679999999993</v>
      </c>
      <c r="E6" s="264">
        <f>89051.04-(('IRATI (servente copeira)'!D137-IRATI!D137)*12)</f>
        <v>87751.2</v>
      </c>
      <c r="F6" s="472">
        <f>3*IRATI!D137*12</f>
        <v>104172.12</v>
      </c>
      <c r="G6" s="182">
        <f t="shared" si="0"/>
        <v>78421.679999999993</v>
      </c>
      <c r="H6" s="182">
        <v>79512.240000000005</v>
      </c>
      <c r="I6" s="182">
        <v>79512.240000000005</v>
      </c>
      <c r="J6" s="182">
        <v>89051.04</v>
      </c>
      <c r="K6" s="182">
        <v>89051.04</v>
      </c>
      <c r="L6" s="182">
        <v>89051.04</v>
      </c>
      <c r="M6" s="182">
        <f>'IRATI (servente copeira)'!$D$139+IRATI!$D$139</f>
        <v>209644.08</v>
      </c>
      <c r="N6" s="182">
        <v>190785</v>
      </c>
      <c r="O6" s="182">
        <f>'IRATI (servente copeira)'!$D$139+IRATI!$D$139</f>
        <v>209644.08</v>
      </c>
      <c r="P6" s="143"/>
    </row>
    <row r="7" spans="2:16" x14ac:dyDescent="0.2">
      <c r="B7" s="233" t="s">
        <v>148</v>
      </c>
      <c r="C7" s="238">
        <v>308979.84000000003</v>
      </c>
      <c r="D7" s="242">
        <v>342633.72</v>
      </c>
      <c r="E7" s="242">
        <f>382061.04-('IVAIPORÃ (servente copeira)'!D137-IVAIPORÃ!D137)</f>
        <v>381952.8</v>
      </c>
      <c r="F7" s="471">
        <f>13*IVAIPORÃ!D137*12</f>
        <v>453016.2</v>
      </c>
      <c r="G7" s="182">
        <f t="shared" si="0"/>
        <v>342633.72</v>
      </c>
      <c r="H7" s="182">
        <v>342633.72</v>
      </c>
      <c r="I7" s="182">
        <v>343570.08</v>
      </c>
      <c r="J7" s="182">
        <v>382061.04</v>
      </c>
      <c r="K7" s="182">
        <v>382061.04</v>
      </c>
      <c r="L7" s="182">
        <v>382061.04</v>
      </c>
      <c r="M7" s="182">
        <f>IVAIPORÃ!$D$139+'IVAIPORÃ (servente copeira)'!$D$139</f>
        <v>245230.68</v>
      </c>
      <c r="N7" s="182">
        <v>223027.68</v>
      </c>
      <c r="O7" s="182">
        <f>IVAIPORÃ!$D$139+'IVAIPORÃ (servente copeira)'!$D$139</f>
        <v>245230.68</v>
      </c>
      <c r="P7" s="143"/>
    </row>
    <row r="8" spans="2:16" x14ac:dyDescent="0.2">
      <c r="B8" s="233" t="s">
        <v>137</v>
      </c>
      <c r="C8" s="238">
        <v>169149.12</v>
      </c>
      <c r="D8" s="242">
        <v>187693.8</v>
      </c>
      <c r="E8" s="264">
        <f>211066.32-(('JACAREZINHO (servente copeira)'!D137-JACAREZINHO!D137)*12)</f>
        <v>209735.88</v>
      </c>
      <c r="F8" s="472">
        <f>7*JACAREZINHO!D137*12</f>
        <v>248516.52</v>
      </c>
      <c r="G8" s="182">
        <f t="shared" si="0"/>
        <v>187693.8</v>
      </c>
      <c r="H8" s="182">
        <v>188809.8</v>
      </c>
      <c r="I8" s="182">
        <v>188809.8</v>
      </c>
      <c r="J8" s="182">
        <v>211066.32</v>
      </c>
      <c r="K8" s="182">
        <v>211066.32</v>
      </c>
      <c r="L8" s="182">
        <v>211066.32</v>
      </c>
      <c r="M8" s="182">
        <f>'JACAREZINHO (servente copeira)'!$D$139+JACAREZINHO!$D$139</f>
        <v>391856.4</v>
      </c>
      <c r="N8" s="182">
        <v>356905.8</v>
      </c>
      <c r="O8" s="182">
        <f>'JACAREZINHO (servente copeira)'!$D$139+JACAREZINHO!$D$139</f>
        <v>391856.4</v>
      </c>
      <c r="P8" s="143"/>
    </row>
    <row r="9" spans="2:16" x14ac:dyDescent="0.2">
      <c r="B9" s="233" t="s">
        <v>140</v>
      </c>
      <c r="C9" s="238">
        <v>94453.440000000002</v>
      </c>
      <c r="D9" s="242">
        <v>104809.44</v>
      </c>
      <c r="E9" s="242">
        <f>118229.4-(('LONDRINA (servente copeira)'!D137-LONDRINA!D137)*12)</f>
        <v>116932.2</v>
      </c>
      <c r="F9" s="471">
        <f>4*LONDRINA!D137*12</f>
        <v>140006.88</v>
      </c>
      <c r="G9" s="182">
        <f t="shared" si="0"/>
        <v>104809.44</v>
      </c>
      <c r="H9" s="182">
        <v>105899.88</v>
      </c>
      <c r="I9" s="182">
        <v>105899.88</v>
      </c>
      <c r="J9" s="249">
        <v>118229.4</v>
      </c>
      <c r="K9" s="249">
        <v>118229.4</v>
      </c>
      <c r="L9" s="249">
        <v>118229.4</v>
      </c>
      <c r="M9" s="249">
        <f>LONDRINA!$D$139+'LONDRINA (servente copeira)'!$D$139</f>
        <v>212604.72</v>
      </c>
      <c r="N9" s="249">
        <v>159648.48000000001</v>
      </c>
      <c r="O9" s="249">
        <f>LONDRINA!$D$139+'LONDRINA (servente copeira)'!$D$139</f>
        <v>212604.72</v>
      </c>
      <c r="P9" s="143"/>
    </row>
    <row r="10" spans="2:16" x14ac:dyDescent="0.2">
      <c r="B10" s="233" t="s">
        <v>138</v>
      </c>
      <c r="C10" s="238">
        <v>563016.95999999996</v>
      </c>
      <c r="D10" s="242">
        <v>625152.96</v>
      </c>
      <c r="E10" s="264">
        <f>702558.96-(('PALMAS (servente copeira)'!D137-PALMAS!D137)*2*12)</f>
        <v>699955.68</v>
      </c>
      <c r="F10" s="472">
        <f>24*PALMAS!D137*12</f>
        <v>828933.12</v>
      </c>
      <c r="G10" s="182">
        <f t="shared" si="0"/>
        <v>625152.96</v>
      </c>
      <c r="H10" s="182">
        <v>627334.31999999995</v>
      </c>
      <c r="I10" s="182">
        <v>627334.31999999995</v>
      </c>
      <c r="J10" s="182">
        <v>702558.96</v>
      </c>
      <c r="K10" s="182">
        <v>702558.96</v>
      </c>
      <c r="L10" s="182">
        <v>702558.96</v>
      </c>
      <c r="M10" s="182">
        <f>'PALMAS (servente copeira)'!$D$139+PALMAS!$D$139</f>
        <v>762458.64</v>
      </c>
      <c r="N10" s="182">
        <v>694826.88</v>
      </c>
      <c r="O10" s="182">
        <f>'PALMAS (servente copeira)'!$D$139+PALMAS!$D$139</f>
        <v>762458.64</v>
      </c>
      <c r="P10" s="143"/>
    </row>
    <row r="11" spans="2:16" x14ac:dyDescent="0.2">
      <c r="B11" s="233" t="s">
        <v>149</v>
      </c>
      <c r="C11" s="238">
        <v>312541.32</v>
      </c>
      <c r="D11" s="242">
        <v>346585.2</v>
      </c>
      <c r="E11" s="242">
        <v>387739.56</v>
      </c>
      <c r="F11" s="471">
        <f>13*PARANAGUA!D137*12</f>
        <v>456209.52</v>
      </c>
      <c r="G11" s="182">
        <f t="shared" si="0"/>
        <v>346585.2</v>
      </c>
      <c r="H11" s="182">
        <v>346585.2</v>
      </c>
      <c r="I11" s="182">
        <v>346585.2</v>
      </c>
      <c r="J11" s="182">
        <v>387739.56</v>
      </c>
      <c r="K11" s="182">
        <v>387739.56</v>
      </c>
      <c r="L11" s="182">
        <v>387739.56</v>
      </c>
      <c r="M11" s="182">
        <f>PARANAGUA!$D$139+'PARANAGUÁ (SERVENTE+COPEIRA)'!D139</f>
        <v>458964</v>
      </c>
      <c r="N11" s="182">
        <v>353980.44</v>
      </c>
      <c r="O11" s="182">
        <f>PARANAGUA!$D$139+'PARANAGUÁ (SERVENTE+COPEIRA)'!E139</f>
        <v>386023.44</v>
      </c>
      <c r="P11" s="143"/>
    </row>
    <row r="12" spans="2:16" x14ac:dyDescent="0.2">
      <c r="B12" s="233" t="s">
        <v>385</v>
      </c>
      <c r="C12" s="238">
        <v>119115.6</v>
      </c>
      <c r="D12" s="242">
        <v>132206.39999999999</v>
      </c>
      <c r="E12" s="264">
        <f>149075.04-(('PARANAVAI (servente copeira)'!D137-PARANAVAI!D137)*12)</f>
        <v>147759.48000000001</v>
      </c>
      <c r="F12" s="472">
        <f>5*PARANAVAI!D137*12</f>
        <v>175309.2</v>
      </c>
      <c r="G12" s="182">
        <f t="shared" si="0"/>
        <v>132206.39999999999</v>
      </c>
      <c r="H12" s="182">
        <v>133310.16</v>
      </c>
      <c r="I12" s="182">
        <v>133310.16</v>
      </c>
      <c r="J12" s="182">
        <v>149075.04</v>
      </c>
      <c r="K12" s="182">
        <v>208240.32</v>
      </c>
      <c r="L12" s="182">
        <v>208240.32</v>
      </c>
      <c r="M12" s="182">
        <f>'PARANAVAI (servente copeira)'!$D$139+PARANAVAI!$D$139</f>
        <v>246748.44</v>
      </c>
      <c r="N12" s="182">
        <v>225162.84</v>
      </c>
      <c r="O12" s="182">
        <f>'PARANAVAI (servente copeira)'!$D$139+PARANAVAI!$D$139</f>
        <v>246748.44</v>
      </c>
      <c r="P12" s="143"/>
    </row>
    <row r="13" spans="2:16" x14ac:dyDescent="0.2">
      <c r="B13" s="233" t="s">
        <v>388</v>
      </c>
      <c r="C13" s="238">
        <v>190141.44</v>
      </c>
      <c r="D13" s="242">
        <v>210851.52</v>
      </c>
      <c r="E13" s="242">
        <f>352760.04-(('TELEMACO (servente copeira)'!D137-'TELEMACO BORBA'!D137)*12)-('TELEMACO (servente copeira)'!D138*4)</f>
        <v>339452.24</v>
      </c>
      <c r="F13" s="471">
        <f>8*'TELEMACO BORBA'!D137*12</f>
        <v>277792.32</v>
      </c>
      <c r="G13" s="182">
        <f t="shared" si="0"/>
        <v>210851.52</v>
      </c>
      <c r="H13" s="182">
        <v>211942.2</v>
      </c>
      <c r="I13" s="182">
        <v>317367.96000000002</v>
      </c>
      <c r="J13" s="182">
        <v>352760.04</v>
      </c>
      <c r="K13" s="182">
        <v>352760.04</v>
      </c>
      <c r="L13" s="182">
        <v>352760.04</v>
      </c>
      <c r="M13" s="182">
        <f>'TELEMACO (servente copeira)'!$D$139+'TELEMACO BORBA'!$D$139</f>
        <v>556884.47999999998</v>
      </c>
      <c r="N13" s="182">
        <v>506758.2</v>
      </c>
      <c r="O13" s="182">
        <f>'TELEMACO (servente copeira)'!$D$139+'TELEMACO BORBA'!$D$139</f>
        <v>556884.47999999998</v>
      </c>
      <c r="P13" s="143"/>
    </row>
    <row r="14" spans="2:16" x14ac:dyDescent="0.2">
      <c r="B14" s="233" t="s">
        <v>139</v>
      </c>
      <c r="C14" s="238">
        <v>142606.07999999999</v>
      </c>
      <c r="D14" s="242">
        <v>158138.64000000001</v>
      </c>
      <c r="E14" s="242">
        <v>176176.08</v>
      </c>
      <c r="F14" s="471">
        <f>6*UMUARAMA!D137*12</f>
        <v>209453.76</v>
      </c>
      <c r="G14" s="182">
        <f t="shared" si="0"/>
        <v>158138.64000000001</v>
      </c>
      <c r="H14" s="182">
        <v>158138.64000000001</v>
      </c>
      <c r="I14" s="182">
        <v>158138.64000000001</v>
      </c>
      <c r="J14" s="182">
        <v>176176.08</v>
      </c>
      <c r="K14" s="182">
        <v>179077.92</v>
      </c>
      <c r="L14" s="182">
        <v>179077.92</v>
      </c>
      <c r="M14" s="182">
        <f>UMUARAMA!$D$139+'UMUARAMA (servente copeira) '!D139</f>
        <v>282588.71999999997</v>
      </c>
      <c r="N14" s="182">
        <v>189954</v>
      </c>
      <c r="O14" s="182">
        <f>UMUARAMA!$D$139+'UMUARAMA (servente copeira) '!E139</f>
        <v>209453.76</v>
      </c>
      <c r="P14" s="143"/>
    </row>
    <row r="15" spans="2:16" x14ac:dyDescent="0.2">
      <c r="B15" s="233" t="s">
        <v>460</v>
      </c>
      <c r="C15" s="238"/>
      <c r="D15" s="242"/>
      <c r="E15" s="242">
        <v>0</v>
      </c>
      <c r="F15" s="471"/>
      <c r="G15" s="182"/>
      <c r="H15" s="182"/>
      <c r="I15" s="182">
        <v>0</v>
      </c>
      <c r="J15" s="182">
        <v>0</v>
      </c>
      <c r="K15" s="182">
        <v>30449.040000000001</v>
      </c>
      <c r="L15" s="182">
        <v>30449.040000000001</v>
      </c>
      <c r="M15" s="182">
        <f>'CASCAVEL (servente copeira)'!D139</f>
        <v>36085.08</v>
      </c>
      <c r="N15" s="182">
        <v>127219.56</v>
      </c>
      <c r="O15" s="182">
        <f>CASCAVEL!D139+'CASCAVEL (servente copeira)'!D139</f>
        <v>140442.23999999999</v>
      </c>
      <c r="P15" s="143"/>
    </row>
    <row r="16" spans="2:16" x14ac:dyDescent="0.2">
      <c r="B16" s="366" t="s">
        <v>523</v>
      </c>
      <c r="C16" s="238"/>
      <c r="D16" s="242"/>
      <c r="E16" s="242"/>
      <c r="F16" s="471"/>
      <c r="G16" s="182"/>
      <c r="H16" s="182"/>
      <c r="I16" s="182"/>
      <c r="J16" s="182"/>
      <c r="K16" s="182"/>
      <c r="L16" s="182"/>
      <c r="M16" s="182">
        <f>'Jaguariaiva (servente+Copei'!D139</f>
        <v>35255.4</v>
      </c>
      <c r="N16" s="182">
        <v>32247.599999999999</v>
      </c>
      <c r="O16" s="182">
        <f>'Jaguariaiva (servente+Copei'!D139+JAGUARIAIVA!D139</f>
        <v>136150.79999999999</v>
      </c>
      <c r="P16" s="143"/>
    </row>
    <row r="17" spans="2:16" x14ac:dyDescent="0.2">
      <c r="B17" s="366" t="s">
        <v>524</v>
      </c>
      <c r="C17" s="238"/>
      <c r="D17" s="242"/>
      <c r="E17" s="242"/>
      <c r="F17" s="471"/>
      <c r="G17" s="182"/>
      <c r="H17" s="182"/>
      <c r="I17" s="182"/>
      <c r="J17" s="182"/>
      <c r="K17" s="182"/>
      <c r="L17" s="182"/>
      <c r="M17" s="182">
        <f>Pinhais!D139+'Pinhais (servente+Copei)'!D139</f>
        <v>132986.04</v>
      </c>
      <c r="N17" s="182">
        <v>126639.36</v>
      </c>
      <c r="O17" s="182">
        <f>Pinhais!D139+'Pinhais (servente+Copei)'!D139</f>
        <v>132986.04</v>
      </c>
      <c r="P17" s="143"/>
    </row>
    <row r="18" spans="2:16" x14ac:dyDescent="0.2">
      <c r="B18" s="366" t="s">
        <v>525</v>
      </c>
      <c r="C18" s="238"/>
      <c r="D18" s="242"/>
      <c r="E18" s="242"/>
      <c r="F18" s="471"/>
      <c r="G18" s="182"/>
      <c r="H18" s="182"/>
      <c r="I18" s="182"/>
      <c r="J18" s="182"/>
      <c r="K18" s="182"/>
      <c r="L18" s="182"/>
      <c r="M18" s="182">
        <f>PITANGA!D139+'PITANGA (servente+Copei)'!D139</f>
        <v>171594.96</v>
      </c>
      <c r="N18" s="182">
        <v>156308.51999999999</v>
      </c>
      <c r="O18" s="182">
        <f>PITANGA!D139+'PITANGA (servente+Copei)'!D139</f>
        <v>171594.96</v>
      </c>
      <c r="P18" s="143"/>
    </row>
    <row r="19" spans="2:16" x14ac:dyDescent="0.2">
      <c r="B19" s="366" t="s">
        <v>526</v>
      </c>
      <c r="C19" s="238"/>
      <c r="D19" s="242"/>
      <c r="E19" s="242"/>
      <c r="F19" s="471"/>
      <c r="G19" s="182"/>
      <c r="H19" s="182"/>
      <c r="I19" s="182"/>
      <c r="J19" s="182"/>
      <c r="K19" s="182"/>
      <c r="L19" s="182"/>
      <c r="M19" s="182">
        <f>'UNIÃO DA VITÓRIA'!D139+'UNIÃODAVIT (servente+Copei)'!D139</f>
        <v>105090.12</v>
      </c>
      <c r="N19" s="182">
        <v>64229.16</v>
      </c>
      <c r="O19" s="182">
        <f>'UNIÃO DA VITÓRIA'!D139+'UNIÃODAVIT (servente+Copei)'!D139</f>
        <v>105090.12</v>
      </c>
      <c r="P19" s="143"/>
    </row>
    <row r="20" spans="2:16" x14ac:dyDescent="0.2">
      <c r="B20" s="366" t="s">
        <v>537</v>
      </c>
      <c r="C20" s="238"/>
      <c r="D20" s="242"/>
      <c r="E20" s="242"/>
      <c r="F20" s="471"/>
      <c r="G20" s="182"/>
      <c r="H20" s="182"/>
      <c r="I20" s="182"/>
      <c r="J20" s="182"/>
      <c r="K20" s="182"/>
      <c r="L20" s="182"/>
      <c r="M20" s="182"/>
      <c r="N20" s="182">
        <v>64149.96</v>
      </c>
      <c r="O20" s="182">
        <f>ASTORGA!D139+'ASTORGA (SERVENTE COPEIRA) '!D139</f>
        <v>70133.64</v>
      </c>
      <c r="P20" s="143"/>
    </row>
    <row r="21" spans="2:16" x14ac:dyDescent="0.2">
      <c r="B21" s="366" t="s">
        <v>538</v>
      </c>
      <c r="C21" s="238"/>
      <c r="D21" s="242"/>
      <c r="E21" s="242"/>
      <c r="F21" s="471"/>
      <c r="G21" s="182"/>
      <c r="H21" s="182"/>
      <c r="I21" s="182"/>
      <c r="J21" s="182"/>
      <c r="K21" s="182"/>
      <c r="L21" s="182"/>
      <c r="M21" s="182"/>
      <c r="N21" s="182">
        <v>32460.48</v>
      </c>
      <c r="O21" s="182">
        <f>'CEL. VIVIDA'!D139</f>
        <v>33234.239999999998</v>
      </c>
      <c r="P21" s="143"/>
    </row>
    <row r="22" spans="2:16" x14ac:dyDescent="0.2">
      <c r="B22" s="366" t="s">
        <v>539</v>
      </c>
      <c r="C22" s="238"/>
      <c r="D22" s="242"/>
      <c r="E22" s="242"/>
      <c r="F22" s="471"/>
      <c r="G22" s="182"/>
      <c r="H22" s="182"/>
      <c r="I22" s="182"/>
      <c r="J22" s="182"/>
      <c r="K22" s="182"/>
      <c r="L22" s="182"/>
      <c r="M22" s="182"/>
      <c r="N22" s="182"/>
      <c r="O22" s="182">
        <f>BARRACÃO!D139</f>
        <v>36085.08</v>
      </c>
      <c r="P22" s="143"/>
    </row>
    <row r="23" spans="2:16" x14ac:dyDescent="0.2">
      <c r="B23" s="366" t="s">
        <v>540</v>
      </c>
      <c r="C23" s="238"/>
      <c r="D23" s="242"/>
      <c r="E23" s="242"/>
      <c r="F23" s="471"/>
      <c r="G23" s="182"/>
      <c r="H23" s="182"/>
      <c r="I23" s="182"/>
      <c r="J23" s="182"/>
      <c r="K23" s="182"/>
      <c r="L23" s="182"/>
      <c r="M23" s="182"/>
      <c r="N23" s="182"/>
      <c r="O23" s="182">
        <f>CAPANEMA!D139</f>
        <v>72170.16</v>
      </c>
      <c r="P23" s="143"/>
    </row>
    <row r="24" spans="2:16" x14ac:dyDescent="0.2">
      <c r="B24" s="366" t="s">
        <v>541</v>
      </c>
      <c r="C24" s="238"/>
      <c r="D24" s="242"/>
      <c r="E24" s="242"/>
      <c r="F24" s="471"/>
      <c r="G24" s="182"/>
      <c r="H24" s="182"/>
      <c r="I24" s="182"/>
      <c r="J24" s="182"/>
      <c r="K24" s="182"/>
      <c r="L24" s="182"/>
      <c r="M24" s="182"/>
      <c r="N24" s="182"/>
      <c r="O24" s="182">
        <f>COLOMBO!D139</f>
        <v>36085.08</v>
      </c>
      <c r="P24" s="143"/>
    </row>
    <row r="25" spans="2:16" x14ac:dyDescent="0.2">
      <c r="B25" s="366" t="s">
        <v>543</v>
      </c>
      <c r="C25" s="238"/>
      <c r="D25" s="242"/>
      <c r="E25" s="242"/>
      <c r="F25" s="471"/>
      <c r="G25" s="182"/>
      <c r="H25" s="182"/>
      <c r="I25" s="182"/>
      <c r="J25" s="182"/>
      <c r="K25" s="182"/>
      <c r="L25" s="182"/>
      <c r="M25" s="182"/>
      <c r="N25" s="182"/>
      <c r="O25" s="182">
        <f>'QUEDAS DO IGUAÇU'!D139</f>
        <v>33631.800000000003</v>
      </c>
      <c r="P25" s="143"/>
    </row>
    <row r="26" spans="2:16" x14ac:dyDescent="0.2">
      <c r="B26" s="366" t="s">
        <v>542</v>
      </c>
      <c r="C26" s="238"/>
      <c r="D26" s="242"/>
      <c r="E26" s="242"/>
      <c r="F26" s="471"/>
      <c r="G26" s="182"/>
      <c r="H26" s="182"/>
      <c r="I26" s="182"/>
      <c r="J26" s="182"/>
      <c r="K26" s="182"/>
      <c r="L26" s="182"/>
      <c r="M26" s="182"/>
      <c r="N26" s="182"/>
      <c r="O26" s="182">
        <f>GOIOERÊ!D139+'GOIOERÊ SERVENTE+COPEIRA'!D139</f>
        <v>70104.84</v>
      </c>
      <c r="P26" s="143"/>
    </row>
    <row r="27" spans="2:16" x14ac:dyDescent="0.2">
      <c r="B27" s="233" t="s">
        <v>389</v>
      </c>
      <c r="C27" s="238">
        <v>28194.240000000002</v>
      </c>
      <c r="D27" s="243">
        <v>32001.599999999999</v>
      </c>
      <c r="E27" s="243">
        <v>36646.92</v>
      </c>
      <c r="F27" s="473">
        <f>'ENCARREGADO GERAL'!D137*12</f>
        <v>43064.639999999999</v>
      </c>
      <c r="G27" s="182">
        <f>D27</f>
        <v>32001.599999999999</v>
      </c>
      <c r="H27" s="182">
        <v>32001.599999999999</v>
      </c>
      <c r="I27" s="182">
        <v>32001.599999999999</v>
      </c>
      <c r="J27" s="183">
        <v>36646.92</v>
      </c>
      <c r="K27" s="183">
        <v>36646.92</v>
      </c>
      <c r="L27" s="183">
        <v>36646.92</v>
      </c>
      <c r="M27" s="183">
        <f>'ENCARREGADO GERAL'!$D$139</f>
        <v>43064.639999999999</v>
      </c>
      <c r="N27" s="183">
        <v>39268.559999999998</v>
      </c>
      <c r="O27" s="183">
        <f>'ENCARREGADO GERAL'!$D$139</f>
        <v>43064.639999999999</v>
      </c>
      <c r="P27" s="143"/>
    </row>
    <row r="28" spans="2:16" x14ac:dyDescent="0.2">
      <c r="B28" s="234" t="s">
        <v>390</v>
      </c>
      <c r="C28" s="238">
        <v>24474</v>
      </c>
      <c r="D28" s="243">
        <v>27718.2</v>
      </c>
      <c r="E28" s="243">
        <v>31661.040000000001</v>
      </c>
      <c r="F28" s="473">
        <f>'ENCARREGADO REG I'!D137*12</f>
        <v>37738.68</v>
      </c>
      <c r="G28" s="182">
        <f>D28</f>
        <v>27718.2</v>
      </c>
      <c r="H28" s="182">
        <v>27718.2</v>
      </c>
      <c r="I28" s="182">
        <v>27718.2</v>
      </c>
      <c r="J28" s="183">
        <v>31661.040000000001</v>
      </c>
      <c r="K28" s="183">
        <v>31661.040000000001</v>
      </c>
      <c r="L28" s="183">
        <v>31661.040000000001</v>
      </c>
      <c r="M28" s="183">
        <f>'ENCARREGADO REG I'!$D$139</f>
        <v>37738.68</v>
      </c>
      <c r="N28" s="183">
        <v>33996.6</v>
      </c>
      <c r="O28" s="183">
        <f>'ENCARREGADO REG I'!$D$139</f>
        <v>37738.68</v>
      </c>
      <c r="P28" s="143"/>
    </row>
    <row r="29" spans="2:16" x14ac:dyDescent="0.2">
      <c r="B29" s="234" t="s">
        <v>391</v>
      </c>
      <c r="C29" s="238">
        <v>24227.040000000001</v>
      </c>
      <c r="D29" s="243">
        <v>27471.119999999999</v>
      </c>
      <c r="E29" s="243">
        <v>31290.84</v>
      </c>
      <c r="F29" s="473">
        <f>'ENCARREGADO REG II'!D137*12</f>
        <v>37368.480000000003</v>
      </c>
      <c r="G29" s="182">
        <f>D29</f>
        <v>27471.119999999999</v>
      </c>
      <c r="H29" s="182">
        <v>27471.119999999999</v>
      </c>
      <c r="I29" s="182">
        <v>27471.119999999999</v>
      </c>
      <c r="J29" s="183">
        <v>31290.84</v>
      </c>
      <c r="K29" s="183">
        <v>31290.84</v>
      </c>
      <c r="L29" s="183">
        <v>31290.84</v>
      </c>
      <c r="M29" s="183">
        <f>'ENCARREGADO REG II'!$D$139</f>
        <v>37368.480000000003</v>
      </c>
      <c r="N29" s="183">
        <v>33626.519999999997</v>
      </c>
      <c r="O29" s="183">
        <f>'ENCARREGADO REG II'!$D$139</f>
        <v>37368.480000000003</v>
      </c>
      <c r="P29" s="143"/>
    </row>
    <row r="30" spans="2:16" ht="13.5" thickBot="1" x14ac:dyDescent="0.25">
      <c r="B30" s="235" t="s">
        <v>392</v>
      </c>
      <c r="C30" s="239">
        <v>24381.119999999999</v>
      </c>
      <c r="D30" s="244">
        <v>27625.32</v>
      </c>
      <c r="E30" s="244">
        <v>31383.360000000001</v>
      </c>
      <c r="F30" s="473">
        <f>'ENCARREGADO REG III'!D137*12</f>
        <v>37584.36</v>
      </c>
      <c r="G30" s="240">
        <f>D30</f>
        <v>27625.32</v>
      </c>
      <c r="H30" s="240">
        <v>27625.32</v>
      </c>
      <c r="I30" s="240">
        <v>27625.32</v>
      </c>
      <c r="J30" s="184">
        <v>31383.360000000001</v>
      </c>
      <c r="K30" s="184">
        <v>31383.360000000001</v>
      </c>
      <c r="L30" s="184">
        <v>31383.360000000001</v>
      </c>
      <c r="M30" s="184">
        <f>'ENCARREGADO REG III'!$D$139</f>
        <v>37584.36</v>
      </c>
      <c r="N30" s="184">
        <v>33842.28</v>
      </c>
      <c r="O30" s="184">
        <f>'ENCARREGADO REG III'!$D$139</f>
        <v>37584.36</v>
      </c>
      <c r="P30" s="143"/>
    </row>
    <row r="31" spans="2:16" ht="13.5" thickBot="1" x14ac:dyDescent="0.25">
      <c r="B31" s="30"/>
      <c r="D31" s="31"/>
      <c r="E31" s="31"/>
      <c r="F31" s="31"/>
      <c r="G31" s="143"/>
      <c r="H31" s="1"/>
      <c r="I31" s="1"/>
      <c r="J31" s="1"/>
      <c r="K31" s="1"/>
      <c r="L31" s="1"/>
      <c r="M31" s="1"/>
      <c r="N31" s="1"/>
      <c r="O31" s="1"/>
    </row>
    <row r="32" spans="2:16" ht="13.5" thickBot="1" x14ac:dyDescent="0.25">
      <c r="B32" s="120" t="s">
        <v>393</v>
      </c>
      <c r="C32" s="139">
        <f t="shared" ref="C32:H32" si="1">SUM(C2:C30)</f>
        <v>3514995.12</v>
      </c>
      <c r="D32" s="121">
        <f t="shared" si="1"/>
        <v>3901982.4</v>
      </c>
      <c r="E32" s="121">
        <f t="shared" si="1"/>
        <v>4443936.2</v>
      </c>
      <c r="F32" s="121">
        <f t="shared" si="1"/>
        <v>5174915.04</v>
      </c>
      <c r="G32" s="144">
        <f t="shared" si="1"/>
        <v>3954396.72</v>
      </c>
      <c r="H32" s="144">
        <f t="shared" si="1"/>
        <v>3966487.56</v>
      </c>
      <c r="I32" s="144">
        <v>4178824.32</v>
      </c>
      <c r="J32" s="144">
        <v>4675523.5199999996</v>
      </c>
      <c r="K32" s="144">
        <v>4797402.3600000003</v>
      </c>
      <c r="L32" s="144">
        <v>4591952.6399999997</v>
      </c>
      <c r="M32" s="144">
        <f>SUM(M2:M30)</f>
        <v>5856434.4000000004</v>
      </c>
      <c r="N32" s="144">
        <v>5485509.7199999997</v>
      </c>
      <c r="O32" s="144">
        <f>SUM(O2:O30)</f>
        <v>6194886.1200000001</v>
      </c>
    </row>
    <row r="33" spans="1:17" x14ac:dyDescent="0.2">
      <c r="C33" s="140"/>
      <c r="D33" s="56"/>
      <c r="E33" s="507"/>
      <c r="G33" s="268">
        <f>(H32-D32)</f>
        <v>64505.16</v>
      </c>
      <c r="H33" s="268"/>
      <c r="I33" s="270" t="s">
        <v>505</v>
      </c>
      <c r="J33" s="188">
        <v>317462.99</v>
      </c>
      <c r="K33" s="188">
        <v>205449.72</v>
      </c>
      <c r="L33" s="188">
        <f>H43*7*12</f>
        <v>243838.56</v>
      </c>
      <c r="M33" s="31">
        <f>(M32+(7*CURITIBA!D137*12))-Resumo!F32</f>
        <v>925357.92</v>
      </c>
      <c r="N33" s="31">
        <v>998536.08</v>
      </c>
      <c r="O33" s="31">
        <f>(O32+(7*CURITIBA!D137*12))-Resumo!F32</f>
        <v>1263809.6399999999</v>
      </c>
    </row>
    <row r="34" spans="1:17" x14ac:dyDescent="0.2">
      <c r="C34" s="140"/>
      <c r="D34" s="506"/>
      <c r="E34" s="508"/>
      <c r="H34" s="1"/>
      <c r="I34" s="128" t="s">
        <v>97</v>
      </c>
      <c r="J34" s="269">
        <v>6.6199999999999995E-2</v>
      </c>
      <c r="K34" s="269">
        <v>4.5900000000000003E-2</v>
      </c>
      <c r="L34" s="269" t="e">
        <f>L33/E34</f>
        <v>#DIV/0!</v>
      </c>
      <c r="M34" s="269">
        <f>M33/F32</f>
        <v>0.17879999999999999</v>
      </c>
      <c r="N34" s="269">
        <v>0.21210000000000001</v>
      </c>
      <c r="O34" s="269">
        <f>O33/F32</f>
        <v>0.2442</v>
      </c>
    </row>
    <row r="35" spans="1:17" x14ac:dyDescent="0.2">
      <c r="C35" s="140"/>
      <c r="D35" s="229"/>
      <c r="E35" s="229"/>
      <c r="G35" s="265" t="s">
        <v>447</v>
      </c>
      <c r="H35" s="265" t="s">
        <v>461</v>
      </c>
      <c r="I35" s="229"/>
      <c r="J35" s="269" t="s">
        <v>513</v>
      </c>
      <c r="K35" s="269" t="s">
        <v>512</v>
      </c>
      <c r="L35" s="269" t="s">
        <v>512</v>
      </c>
    </row>
    <row r="36" spans="1:17" x14ac:dyDescent="0.2">
      <c r="C36" s="140"/>
      <c r="D36" s="230"/>
      <c r="E36" s="229"/>
      <c r="G36" s="266">
        <f>H32</f>
        <v>3966487.56</v>
      </c>
      <c r="H36" s="266">
        <v>4178824.32</v>
      </c>
      <c r="I36" s="230"/>
      <c r="K36" s="31"/>
      <c r="L36" s="181"/>
    </row>
    <row r="37" spans="1:17" x14ac:dyDescent="0.2">
      <c r="C37" s="140"/>
      <c r="D37" s="56"/>
      <c r="E37" s="56"/>
      <c r="G37" s="265" t="s">
        <v>97</v>
      </c>
      <c r="H37" s="265"/>
      <c r="I37" s="229"/>
      <c r="J37" s="229"/>
      <c r="K37" s="31"/>
      <c r="M37" s="122"/>
      <c r="N37" s="122"/>
      <c r="O37" s="122"/>
    </row>
    <row r="38" spans="1:17" x14ac:dyDescent="0.2">
      <c r="C38" s="141"/>
      <c r="E38"/>
      <c r="F38" s="145"/>
      <c r="G38" s="267" t="e">
        <f>G36/D36-100%</f>
        <v>#DIV/0!</v>
      </c>
      <c r="H38" s="267">
        <v>7.0900000000000005E-2</v>
      </c>
      <c r="I38" s="231"/>
      <c r="J38" s="231"/>
      <c r="K38" s="31"/>
      <c r="L38" s="31"/>
    </row>
    <row r="39" spans="1:17" ht="13.5" thickBot="1" x14ac:dyDescent="0.25">
      <c r="C39" s="141"/>
      <c r="D39" s="136">
        <f>D32*1.25</f>
        <v>4877478</v>
      </c>
      <c r="E39" s="145"/>
      <c r="J39" s="31"/>
    </row>
    <row r="40" spans="1:17" s="486" customFormat="1" ht="41.25" thickBot="1" x14ac:dyDescent="0.25">
      <c r="A40" s="483" t="s">
        <v>424</v>
      </c>
      <c r="B40" s="484" t="s">
        <v>432</v>
      </c>
      <c r="C40" s="484" t="s">
        <v>426</v>
      </c>
      <c r="D40" s="484" t="s">
        <v>498</v>
      </c>
      <c r="E40" s="484" t="s">
        <v>511</v>
      </c>
      <c r="F40" s="484" t="s">
        <v>444</v>
      </c>
      <c r="G40" s="484" t="s">
        <v>448</v>
      </c>
      <c r="H40" s="484" t="s">
        <v>495</v>
      </c>
      <c r="I40" s="484" t="s">
        <v>496</v>
      </c>
      <c r="J40" s="485" t="s">
        <v>497</v>
      </c>
      <c r="K40" s="484" t="s">
        <v>445</v>
      </c>
      <c r="L40" s="485" t="s">
        <v>446</v>
      </c>
    </row>
    <row r="41" spans="1:17" s="245" customFormat="1" ht="13.5" x14ac:dyDescent="0.2">
      <c r="A41" s="250">
        <v>1</v>
      </c>
      <c r="B41" s="591" t="s">
        <v>407</v>
      </c>
      <c r="C41" s="580" t="s">
        <v>408</v>
      </c>
      <c r="D41" s="552" t="s">
        <v>428</v>
      </c>
      <c r="E41" s="553">
        <v>1</v>
      </c>
      <c r="F41" s="553">
        <v>1</v>
      </c>
      <c r="G41" s="554">
        <f t="shared" ref="G41:G67" si="2">E41-F41</f>
        <v>0</v>
      </c>
      <c r="H41" s="555">
        <f>'ENCARREGADO GERAL'!D137</f>
        <v>3588.72</v>
      </c>
      <c r="I41" s="556">
        <f>E41*'ENCARREGADO GERAL'!D138</f>
        <v>3588.72</v>
      </c>
      <c r="J41" s="557">
        <f t="shared" ref="J41:J72" si="3">I41*12</f>
        <v>43064.639999999999</v>
      </c>
      <c r="K41" s="558">
        <f>'ENCARREGADO GERAL'!D138</f>
        <v>3588.72</v>
      </c>
      <c r="L41" s="559">
        <f>K41*12</f>
        <v>43064.639999999999</v>
      </c>
    </row>
    <row r="42" spans="1:17" ht="13.5" x14ac:dyDescent="0.2">
      <c r="A42" s="117">
        <v>2</v>
      </c>
      <c r="B42" s="592" t="s">
        <v>407</v>
      </c>
      <c r="C42" s="581" t="s">
        <v>433</v>
      </c>
      <c r="D42" s="560" t="s">
        <v>425</v>
      </c>
      <c r="E42" s="529">
        <v>0</v>
      </c>
      <c r="F42" s="529" t="s">
        <v>515</v>
      </c>
      <c r="G42" s="529" t="s">
        <v>515</v>
      </c>
      <c r="H42" s="561">
        <f>H43</f>
        <v>2902.84</v>
      </c>
      <c r="I42" s="561">
        <f>CURITIBA!$D$137*E42</f>
        <v>0</v>
      </c>
      <c r="J42" s="537">
        <f t="shared" si="3"/>
        <v>0</v>
      </c>
      <c r="K42" s="562" t="s">
        <v>515</v>
      </c>
      <c r="L42" s="563" t="s">
        <v>515</v>
      </c>
      <c r="M42" t="s">
        <v>517</v>
      </c>
      <c r="O42" t="s">
        <v>517</v>
      </c>
    </row>
    <row r="43" spans="1:17" ht="27" x14ac:dyDescent="0.2">
      <c r="A43" s="117">
        <v>3</v>
      </c>
      <c r="B43" s="592" t="s">
        <v>407</v>
      </c>
      <c r="C43" s="581" t="s">
        <v>492</v>
      </c>
      <c r="D43" s="560" t="s">
        <v>425</v>
      </c>
      <c r="E43" s="526">
        <v>1</v>
      </c>
      <c r="F43" s="529">
        <v>0</v>
      </c>
      <c r="G43" s="564">
        <f t="shared" si="2"/>
        <v>1</v>
      </c>
      <c r="H43" s="565">
        <f>CURITIBA!$D$137</f>
        <v>2902.84</v>
      </c>
      <c r="I43" s="561">
        <f>CURITIBA!$D$137*E43</f>
        <v>2902.84</v>
      </c>
      <c r="J43" s="537">
        <f t="shared" si="3"/>
        <v>34834.080000000002</v>
      </c>
      <c r="K43" s="538">
        <f>H43*E43</f>
        <v>2902.84</v>
      </c>
      <c r="L43" s="539">
        <f t="shared" ref="L43:L72" si="4">K43*12</f>
        <v>34834.080000000002</v>
      </c>
    </row>
    <row r="44" spans="1:17" ht="13.5" x14ac:dyDescent="0.2">
      <c r="A44" s="117">
        <v>4</v>
      </c>
      <c r="B44" s="592" t="s">
        <v>407</v>
      </c>
      <c r="C44" s="581" t="s">
        <v>408</v>
      </c>
      <c r="D44" s="560" t="s">
        <v>425</v>
      </c>
      <c r="E44" s="526">
        <v>9</v>
      </c>
      <c r="F44" s="529">
        <v>9</v>
      </c>
      <c r="G44" s="564">
        <f t="shared" si="2"/>
        <v>0</v>
      </c>
      <c r="H44" s="565">
        <f>CURITIBA!$D$137</f>
        <v>2902.84</v>
      </c>
      <c r="I44" s="561">
        <f>CURITIBA!$D$137*E44</f>
        <v>26125.56</v>
      </c>
      <c r="J44" s="537">
        <f t="shared" si="3"/>
        <v>313506.71999999997</v>
      </c>
      <c r="K44" s="538">
        <f t="shared" ref="K44:K95" si="5">H44*E44</f>
        <v>26125.56</v>
      </c>
      <c r="L44" s="539">
        <f t="shared" si="4"/>
        <v>313506.71999999997</v>
      </c>
    </row>
    <row r="45" spans="1:17" ht="27" x14ac:dyDescent="0.2">
      <c r="A45" s="117">
        <v>5</v>
      </c>
      <c r="B45" s="592" t="s">
        <v>407</v>
      </c>
      <c r="C45" s="581" t="s">
        <v>516</v>
      </c>
      <c r="D45" s="560" t="s">
        <v>425</v>
      </c>
      <c r="E45" s="526">
        <v>11</v>
      </c>
      <c r="F45" s="529">
        <v>11</v>
      </c>
      <c r="G45" s="564">
        <f t="shared" si="2"/>
        <v>0</v>
      </c>
      <c r="H45" s="565">
        <f>CURITIBA!$D$137</f>
        <v>2902.84</v>
      </c>
      <c r="I45" s="561">
        <f>CURITIBA!$D$137*E45</f>
        <v>31931.24</v>
      </c>
      <c r="J45" s="537">
        <f t="shared" si="3"/>
        <v>383174.88</v>
      </c>
      <c r="K45" s="538">
        <f t="shared" si="5"/>
        <v>31931.24</v>
      </c>
      <c r="L45" s="539">
        <f t="shared" si="4"/>
        <v>383174.88</v>
      </c>
      <c r="M45" t="s">
        <v>517</v>
      </c>
      <c r="O45" t="s">
        <v>517</v>
      </c>
    </row>
    <row r="46" spans="1:17" ht="13.5" x14ac:dyDescent="0.2">
      <c r="A46" s="595">
        <v>6</v>
      </c>
      <c r="B46" s="597" t="s">
        <v>407</v>
      </c>
      <c r="C46" s="599" t="s">
        <v>491</v>
      </c>
      <c r="D46" s="560" t="s">
        <v>425</v>
      </c>
      <c r="E46" s="529">
        <v>2</v>
      </c>
      <c r="F46" s="529">
        <v>2</v>
      </c>
      <c r="G46" s="564">
        <f t="shared" si="2"/>
        <v>0</v>
      </c>
      <c r="H46" s="565">
        <f>CURITIBA!$D$137</f>
        <v>2902.84</v>
      </c>
      <c r="I46" s="561">
        <f>CURITIBA!$D$137*E46</f>
        <v>5805.68</v>
      </c>
      <c r="J46" s="537">
        <f t="shared" si="3"/>
        <v>69668.160000000003</v>
      </c>
      <c r="K46" s="538">
        <f t="shared" si="5"/>
        <v>5805.68</v>
      </c>
      <c r="L46" s="539">
        <f t="shared" si="4"/>
        <v>69668.160000000003</v>
      </c>
    </row>
    <row r="47" spans="1:17" ht="13.5" x14ac:dyDescent="0.2">
      <c r="A47" s="596"/>
      <c r="B47" s="598"/>
      <c r="C47" s="600"/>
      <c r="D47" s="560" t="s">
        <v>439</v>
      </c>
      <c r="E47" s="529">
        <v>1</v>
      </c>
      <c r="F47" s="529">
        <v>1</v>
      </c>
      <c r="G47" s="564">
        <f t="shared" si="2"/>
        <v>0</v>
      </c>
      <c r="H47" s="565">
        <f>'CURITIBA (servente copeira )'!D137</f>
        <v>3010.31</v>
      </c>
      <c r="I47" s="561">
        <f>'CURITIBA (servente copeira )'!$D$132*E47</f>
        <v>3010.31</v>
      </c>
      <c r="J47" s="537">
        <f t="shared" si="3"/>
        <v>36123.72</v>
      </c>
      <c r="K47" s="538">
        <f t="shared" si="5"/>
        <v>3010.31</v>
      </c>
      <c r="L47" s="539">
        <f t="shared" si="4"/>
        <v>36123.72</v>
      </c>
    </row>
    <row r="48" spans="1:17" ht="13.5" x14ac:dyDescent="0.2">
      <c r="A48" s="595">
        <v>7</v>
      </c>
      <c r="B48" s="597" t="s">
        <v>147</v>
      </c>
      <c r="C48" s="599" t="s">
        <v>411</v>
      </c>
      <c r="D48" s="560" t="s">
        <v>425</v>
      </c>
      <c r="E48" s="526">
        <v>8</v>
      </c>
      <c r="F48" s="529">
        <v>8</v>
      </c>
      <c r="G48" s="564">
        <f t="shared" si="2"/>
        <v>0</v>
      </c>
      <c r="H48" s="565">
        <f>'CAMPO LARGO'!D137</f>
        <v>2883.38</v>
      </c>
      <c r="I48" s="561">
        <f>'CAMPO LARGO'!D137*E48</f>
        <v>23067.040000000001</v>
      </c>
      <c r="J48" s="537">
        <f t="shared" si="3"/>
        <v>276804.47999999998</v>
      </c>
      <c r="K48" s="538">
        <f t="shared" si="5"/>
        <v>23067.040000000001</v>
      </c>
      <c r="L48" s="539">
        <f t="shared" si="4"/>
        <v>276804.47999999998</v>
      </c>
      <c r="M48" t="s">
        <v>500</v>
      </c>
      <c r="O48" t="s">
        <v>500</v>
      </c>
      <c r="Q48" s="192"/>
    </row>
    <row r="49" spans="1:16" ht="13.5" x14ac:dyDescent="0.2">
      <c r="A49" s="596"/>
      <c r="B49" s="598"/>
      <c r="C49" s="600"/>
      <c r="D49" s="560" t="s">
        <v>439</v>
      </c>
      <c r="E49" s="566">
        <v>1</v>
      </c>
      <c r="F49" s="529">
        <v>1</v>
      </c>
      <c r="G49" s="564">
        <f t="shared" si="2"/>
        <v>0</v>
      </c>
      <c r="H49" s="565">
        <f>'CAMPO LARGO (servente copeira)'!D137</f>
        <v>2991.8</v>
      </c>
      <c r="I49" s="561">
        <f>E49*'CAMPO LARGO (servente copeira)'!$D$138</f>
        <v>2991.8</v>
      </c>
      <c r="J49" s="537">
        <f t="shared" si="3"/>
        <v>35901.599999999999</v>
      </c>
      <c r="K49" s="538">
        <f t="shared" si="5"/>
        <v>2991.8</v>
      </c>
      <c r="L49" s="539">
        <f t="shared" si="4"/>
        <v>35901.599999999999</v>
      </c>
    </row>
    <row r="50" spans="1:16" ht="13.5" x14ac:dyDescent="0.2">
      <c r="A50" s="595">
        <v>8</v>
      </c>
      <c r="B50" s="597" t="s">
        <v>149</v>
      </c>
      <c r="C50" s="599" t="s">
        <v>418</v>
      </c>
      <c r="D50" s="560" t="s">
        <v>439</v>
      </c>
      <c r="E50" s="566">
        <v>2</v>
      </c>
      <c r="F50" s="529">
        <v>2</v>
      </c>
      <c r="G50" s="564">
        <f t="shared" si="2"/>
        <v>0</v>
      </c>
      <c r="H50" s="565">
        <f>'PARANAGUÁ (SERVENTE+COPEIRA)'!D130</f>
        <v>3039.19</v>
      </c>
      <c r="I50" s="561">
        <f>'PARANAGUÁ (SERVENTE+COPEIRA)'!D130*E50</f>
        <v>6078.38</v>
      </c>
      <c r="J50" s="537">
        <f t="shared" si="3"/>
        <v>72940.56</v>
      </c>
      <c r="K50" s="538">
        <f t="shared" si="5"/>
        <v>6078.38</v>
      </c>
      <c r="L50" s="539">
        <f t="shared" si="4"/>
        <v>72940.56</v>
      </c>
    </row>
    <row r="51" spans="1:16" ht="13.5" x14ac:dyDescent="0.2">
      <c r="A51" s="596"/>
      <c r="B51" s="598"/>
      <c r="C51" s="600"/>
      <c r="D51" s="560" t="s">
        <v>425</v>
      </c>
      <c r="E51" s="526">
        <v>11</v>
      </c>
      <c r="F51" s="529">
        <v>11</v>
      </c>
      <c r="G51" s="564">
        <f t="shared" si="2"/>
        <v>0</v>
      </c>
      <c r="H51" s="565">
        <f>PARANAGUA!D137</f>
        <v>2924.42</v>
      </c>
      <c r="I51" s="561">
        <f>PARANAGUA!$D$137*E51</f>
        <v>32168.62</v>
      </c>
      <c r="J51" s="537">
        <f t="shared" si="3"/>
        <v>386023.44</v>
      </c>
      <c r="K51" s="538">
        <f t="shared" si="5"/>
        <v>32168.62</v>
      </c>
      <c r="L51" s="539">
        <f t="shared" si="4"/>
        <v>386023.44</v>
      </c>
    </row>
    <row r="52" spans="1:16" ht="13.5" x14ac:dyDescent="0.2">
      <c r="A52" s="595">
        <v>9</v>
      </c>
      <c r="B52" s="597" t="s">
        <v>136</v>
      </c>
      <c r="C52" s="599" t="s">
        <v>413</v>
      </c>
      <c r="D52" s="560" t="s">
        <v>425</v>
      </c>
      <c r="E52" s="526">
        <v>5</v>
      </c>
      <c r="F52" s="529">
        <v>5</v>
      </c>
      <c r="G52" s="564">
        <f t="shared" si="2"/>
        <v>0</v>
      </c>
      <c r="H52" s="565">
        <f>IRATI!D137</f>
        <v>2893.67</v>
      </c>
      <c r="I52" s="561">
        <f>E52*IRATI!$D$137</f>
        <v>14468.35</v>
      </c>
      <c r="J52" s="537">
        <f t="shared" si="3"/>
        <v>173620.2</v>
      </c>
      <c r="K52" s="538">
        <f t="shared" si="5"/>
        <v>14468.35</v>
      </c>
      <c r="L52" s="539">
        <f t="shared" si="4"/>
        <v>173620.2</v>
      </c>
    </row>
    <row r="53" spans="1:16" ht="13.5" x14ac:dyDescent="0.2">
      <c r="A53" s="596"/>
      <c r="B53" s="598"/>
      <c r="C53" s="600"/>
      <c r="D53" s="560" t="s">
        <v>439</v>
      </c>
      <c r="E53" s="526">
        <v>1</v>
      </c>
      <c r="F53" s="529">
        <v>1</v>
      </c>
      <c r="G53" s="564">
        <f t="shared" si="2"/>
        <v>0</v>
      </c>
      <c r="H53" s="565">
        <f>'IRATI (servente copeira)'!D137</f>
        <v>3001.99</v>
      </c>
      <c r="I53" s="561">
        <f>E53*'IRATI (servente copeira)'!$D$138</f>
        <v>3001.99</v>
      </c>
      <c r="J53" s="537">
        <f t="shared" si="3"/>
        <v>36023.879999999997</v>
      </c>
      <c r="K53" s="538">
        <f t="shared" si="5"/>
        <v>3001.99</v>
      </c>
      <c r="L53" s="539">
        <f t="shared" si="4"/>
        <v>36023.879999999997</v>
      </c>
    </row>
    <row r="54" spans="1:16" s="245" customFormat="1" ht="13.5" x14ac:dyDescent="0.2">
      <c r="A54" s="118">
        <v>10</v>
      </c>
      <c r="B54" s="593" t="s">
        <v>135</v>
      </c>
      <c r="C54" s="582" t="s">
        <v>412</v>
      </c>
      <c r="D54" s="567" t="s">
        <v>429</v>
      </c>
      <c r="E54" s="568">
        <v>1</v>
      </c>
      <c r="F54" s="569">
        <v>1</v>
      </c>
      <c r="G54" s="570">
        <f t="shared" si="2"/>
        <v>0</v>
      </c>
      <c r="H54" s="571">
        <f>'ENCARREGADO REG I'!D137</f>
        <v>3144.89</v>
      </c>
      <c r="I54" s="572">
        <f>'ENCARREGADO REG I'!$D$137</f>
        <v>3144.89</v>
      </c>
      <c r="J54" s="573">
        <f t="shared" si="3"/>
        <v>37738.68</v>
      </c>
      <c r="K54" s="538">
        <f t="shared" si="5"/>
        <v>3144.89</v>
      </c>
      <c r="L54" s="574">
        <f t="shared" si="4"/>
        <v>37738.68</v>
      </c>
    </row>
    <row r="55" spans="1:16" ht="13.5" x14ac:dyDescent="0.2">
      <c r="A55" s="595">
        <v>11</v>
      </c>
      <c r="B55" s="597" t="s">
        <v>135</v>
      </c>
      <c r="C55" s="599" t="s">
        <v>412</v>
      </c>
      <c r="D55" s="560" t="s">
        <v>425</v>
      </c>
      <c r="E55" s="526">
        <v>6</v>
      </c>
      <c r="F55" s="564">
        <v>6</v>
      </c>
      <c r="G55" s="564">
        <f t="shared" si="2"/>
        <v>0</v>
      </c>
      <c r="H55" s="565">
        <f>'FOZ DO IGUAÇU'!D137</f>
        <v>2898.81</v>
      </c>
      <c r="I55" s="561">
        <f>'FOZ DO IGUAÇU'!$D$137*E55</f>
        <v>17392.86</v>
      </c>
      <c r="J55" s="537">
        <f t="shared" si="3"/>
        <v>208714.32</v>
      </c>
      <c r="K55" s="538">
        <f t="shared" si="5"/>
        <v>17392.86</v>
      </c>
      <c r="L55" s="539">
        <f t="shared" si="4"/>
        <v>208714.32</v>
      </c>
    </row>
    <row r="56" spans="1:16" ht="13.5" x14ac:dyDescent="0.2">
      <c r="A56" s="596"/>
      <c r="B56" s="598"/>
      <c r="C56" s="600"/>
      <c r="D56" s="560" t="s">
        <v>439</v>
      </c>
      <c r="E56" s="566">
        <v>2</v>
      </c>
      <c r="F56" s="564">
        <v>2</v>
      </c>
      <c r="G56" s="564">
        <f t="shared" si="2"/>
        <v>0</v>
      </c>
      <c r="H56" s="565">
        <f>'FOZ DO IGUAÇU (servente copeir)'!D137</f>
        <v>3007.09</v>
      </c>
      <c r="I56" s="561">
        <f>E56*'FOZ DO IGUAÇU (servente copeir)'!$D$137</f>
        <v>6014.18</v>
      </c>
      <c r="J56" s="537">
        <f t="shared" si="3"/>
        <v>72170.16</v>
      </c>
      <c r="K56" s="538">
        <f t="shared" si="5"/>
        <v>6014.18</v>
      </c>
      <c r="L56" s="539">
        <f t="shared" si="4"/>
        <v>72170.16</v>
      </c>
    </row>
    <row r="57" spans="1:16" ht="13.5" x14ac:dyDescent="0.2">
      <c r="A57" s="117">
        <v>12</v>
      </c>
      <c r="B57" s="592" t="s">
        <v>409</v>
      </c>
      <c r="C57" s="581" t="s">
        <v>410</v>
      </c>
      <c r="D57" s="560" t="s">
        <v>425</v>
      </c>
      <c r="E57" s="526">
        <v>6</v>
      </c>
      <c r="F57" s="564">
        <v>6</v>
      </c>
      <c r="G57" s="564">
        <f t="shared" si="2"/>
        <v>0</v>
      </c>
      <c r="H57" s="565">
        <f>ASSIS!D137</f>
        <v>2937.42</v>
      </c>
      <c r="I57" s="561">
        <f>ASSIS!$D$137*E57</f>
        <v>17624.52</v>
      </c>
      <c r="J57" s="537">
        <f t="shared" si="3"/>
        <v>211494.24</v>
      </c>
      <c r="K57" s="538">
        <f t="shared" si="5"/>
        <v>17624.52</v>
      </c>
      <c r="L57" s="539">
        <f t="shared" si="4"/>
        <v>211494.24</v>
      </c>
    </row>
    <row r="58" spans="1:16" ht="13.5" x14ac:dyDescent="0.2">
      <c r="A58" s="595">
        <v>13</v>
      </c>
      <c r="B58" s="597" t="s">
        <v>419</v>
      </c>
      <c r="C58" s="599" t="s">
        <v>420</v>
      </c>
      <c r="D58" s="560" t="s">
        <v>425</v>
      </c>
      <c r="E58" s="526">
        <v>6</v>
      </c>
      <c r="F58" s="564">
        <v>6</v>
      </c>
      <c r="G58" s="564">
        <f t="shared" si="2"/>
        <v>0</v>
      </c>
      <c r="H58" s="565">
        <f>PARANAVAI!D137</f>
        <v>2921.82</v>
      </c>
      <c r="I58" s="561">
        <f>E58*PARANAVAI!$D$137</f>
        <v>17530.919999999998</v>
      </c>
      <c r="J58" s="537">
        <f t="shared" si="3"/>
        <v>210371.04</v>
      </c>
      <c r="K58" s="538">
        <f t="shared" si="5"/>
        <v>17530.919999999998</v>
      </c>
      <c r="L58" s="539">
        <f t="shared" si="4"/>
        <v>210371.04</v>
      </c>
      <c r="P58" s="192"/>
    </row>
    <row r="59" spans="1:16" ht="13.5" x14ac:dyDescent="0.2">
      <c r="A59" s="596"/>
      <c r="B59" s="598"/>
      <c r="C59" s="600"/>
      <c r="D59" s="560" t="s">
        <v>439</v>
      </c>
      <c r="E59" s="526">
        <v>1</v>
      </c>
      <c r="F59" s="564">
        <v>1</v>
      </c>
      <c r="G59" s="564">
        <f t="shared" si="2"/>
        <v>0</v>
      </c>
      <c r="H59" s="565">
        <f>'PARANAVAI (servente copeira)'!D137</f>
        <v>3031.45</v>
      </c>
      <c r="I59" s="561">
        <f>E59*'PARANAVAI (servente copeira)'!$D$138</f>
        <v>3031.45</v>
      </c>
      <c r="J59" s="537">
        <f t="shared" si="3"/>
        <v>36377.4</v>
      </c>
      <c r="K59" s="538">
        <f t="shared" si="5"/>
        <v>3031.45</v>
      </c>
      <c r="L59" s="539">
        <f t="shared" si="4"/>
        <v>36377.4</v>
      </c>
      <c r="M59" s="192"/>
      <c r="N59" s="192"/>
      <c r="O59" s="192"/>
    </row>
    <row r="60" spans="1:16" ht="13.5" x14ac:dyDescent="0.2">
      <c r="A60" s="595">
        <v>14</v>
      </c>
      <c r="B60" s="597" t="s">
        <v>139</v>
      </c>
      <c r="C60" s="599" t="s">
        <v>423</v>
      </c>
      <c r="D60" s="560" t="s">
        <v>425</v>
      </c>
      <c r="E60" s="526">
        <v>6</v>
      </c>
      <c r="F60" s="564">
        <v>6</v>
      </c>
      <c r="G60" s="564">
        <f t="shared" si="2"/>
        <v>0</v>
      </c>
      <c r="H60" s="565">
        <f>UMUARAMA!D137</f>
        <v>2909.08</v>
      </c>
      <c r="I60" s="561">
        <f>E60*UMUARAMA!$D$137</f>
        <v>17454.48</v>
      </c>
      <c r="J60" s="537">
        <f t="shared" si="3"/>
        <v>209453.76</v>
      </c>
      <c r="K60" s="538">
        <f t="shared" si="5"/>
        <v>17454.48</v>
      </c>
      <c r="L60" s="539">
        <f t="shared" si="4"/>
        <v>209453.76</v>
      </c>
    </row>
    <row r="61" spans="1:16" ht="13.5" x14ac:dyDescent="0.2">
      <c r="A61" s="596"/>
      <c r="B61" s="598"/>
      <c r="C61" s="601"/>
      <c r="D61" s="560" t="s">
        <v>439</v>
      </c>
      <c r="E61" s="526">
        <v>2</v>
      </c>
      <c r="F61" s="564">
        <v>2</v>
      </c>
      <c r="G61" s="564">
        <f t="shared" si="2"/>
        <v>0</v>
      </c>
      <c r="H61" s="565">
        <f>'UMUARAMA (servente copeira) '!D130</f>
        <v>3047.29</v>
      </c>
      <c r="I61" s="561">
        <f>E61*'UMUARAMA (servente copeira) '!D137</f>
        <v>6094.58</v>
      </c>
      <c r="J61" s="537">
        <f t="shared" si="3"/>
        <v>73134.960000000006</v>
      </c>
      <c r="K61" s="538">
        <f t="shared" si="5"/>
        <v>6094.58</v>
      </c>
      <c r="L61" s="539">
        <f t="shared" si="4"/>
        <v>73134.960000000006</v>
      </c>
      <c r="M61" s="192"/>
      <c r="N61" s="192"/>
      <c r="O61" s="192"/>
    </row>
    <row r="62" spans="1:16" s="245" customFormat="1" ht="27" x14ac:dyDescent="0.2">
      <c r="A62" s="118">
        <v>15</v>
      </c>
      <c r="B62" s="593" t="s">
        <v>138</v>
      </c>
      <c r="C62" s="582" t="s">
        <v>417</v>
      </c>
      <c r="D62" s="567" t="s">
        <v>430</v>
      </c>
      <c r="E62" s="568">
        <v>1</v>
      </c>
      <c r="F62" s="569">
        <v>1</v>
      </c>
      <c r="G62" s="570">
        <f t="shared" si="2"/>
        <v>0</v>
      </c>
      <c r="H62" s="571">
        <f>'ENCARREGADO REG II'!D137</f>
        <v>3114.04</v>
      </c>
      <c r="I62" s="572">
        <f>E62*'ENCARREGADO REG II'!$D$137</f>
        <v>3114.04</v>
      </c>
      <c r="J62" s="573">
        <f t="shared" si="3"/>
        <v>37368.480000000003</v>
      </c>
      <c r="K62" s="538">
        <f t="shared" si="5"/>
        <v>3114.04</v>
      </c>
      <c r="L62" s="574">
        <f t="shared" si="4"/>
        <v>37368.480000000003</v>
      </c>
    </row>
    <row r="63" spans="1:16" ht="13.5" x14ac:dyDescent="0.2">
      <c r="A63" s="595">
        <v>16</v>
      </c>
      <c r="B63" s="597" t="s">
        <v>138</v>
      </c>
      <c r="C63" s="599" t="s">
        <v>417</v>
      </c>
      <c r="D63" s="560" t="s">
        <v>425</v>
      </c>
      <c r="E63" s="526">
        <v>19</v>
      </c>
      <c r="F63" s="529">
        <v>18</v>
      </c>
      <c r="G63" s="564">
        <f t="shared" si="2"/>
        <v>1</v>
      </c>
      <c r="H63" s="565">
        <f>PALMAS!D137</f>
        <v>2878.24</v>
      </c>
      <c r="I63" s="561">
        <f>E63*PALMAS!$D$137</f>
        <v>54686.559999999998</v>
      </c>
      <c r="J63" s="537">
        <f t="shared" si="3"/>
        <v>656238.72</v>
      </c>
      <c r="K63" s="538">
        <f t="shared" si="5"/>
        <v>54686.559999999998</v>
      </c>
      <c r="L63" s="539">
        <f t="shared" si="4"/>
        <v>656238.72</v>
      </c>
    </row>
    <row r="64" spans="1:16" ht="13.5" x14ac:dyDescent="0.2">
      <c r="A64" s="596"/>
      <c r="B64" s="598"/>
      <c r="C64" s="600"/>
      <c r="D64" s="560" t="s">
        <v>439</v>
      </c>
      <c r="E64" s="526">
        <v>2</v>
      </c>
      <c r="F64" s="529">
        <v>2</v>
      </c>
      <c r="G64" s="564">
        <f t="shared" si="2"/>
        <v>0</v>
      </c>
      <c r="H64" s="565">
        <f>'PALMAS (servente copeira)'!D137</f>
        <v>2986.71</v>
      </c>
      <c r="I64" s="561">
        <f>E64*'PALMAS (servente copeira)'!$D$137</f>
        <v>5973.42</v>
      </c>
      <c r="J64" s="537">
        <f t="shared" si="3"/>
        <v>71681.039999999994</v>
      </c>
      <c r="K64" s="538">
        <f t="shared" si="5"/>
        <v>5973.42</v>
      </c>
      <c r="L64" s="539">
        <f t="shared" si="4"/>
        <v>71681.039999999994</v>
      </c>
    </row>
    <row r="65" spans="1:15" s="245" customFormat="1" ht="13.5" x14ac:dyDescent="0.2">
      <c r="A65" s="118">
        <v>17</v>
      </c>
      <c r="B65" s="593" t="s">
        <v>140</v>
      </c>
      <c r="C65" s="582" t="s">
        <v>416</v>
      </c>
      <c r="D65" s="567" t="s">
        <v>431</v>
      </c>
      <c r="E65" s="568">
        <v>1</v>
      </c>
      <c r="F65" s="570">
        <v>1</v>
      </c>
      <c r="G65" s="570">
        <f t="shared" si="2"/>
        <v>0</v>
      </c>
      <c r="H65" s="571">
        <f>'ENCARREGADO REG III'!D137</f>
        <v>3132.03</v>
      </c>
      <c r="I65" s="572">
        <f>E65*'ENCARREGADO REG III'!$D$137</f>
        <v>3132.03</v>
      </c>
      <c r="J65" s="573">
        <f t="shared" si="3"/>
        <v>37584.36</v>
      </c>
      <c r="K65" s="538">
        <f t="shared" si="5"/>
        <v>3132.03</v>
      </c>
      <c r="L65" s="574">
        <f t="shared" si="4"/>
        <v>37584.36</v>
      </c>
    </row>
    <row r="66" spans="1:15" ht="13.5" x14ac:dyDescent="0.2">
      <c r="A66" s="595">
        <v>18</v>
      </c>
      <c r="B66" s="597" t="s">
        <v>140</v>
      </c>
      <c r="C66" s="599" t="s">
        <v>416</v>
      </c>
      <c r="D66" s="560" t="s">
        <v>425</v>
      </c>
      <c r="E66" s="526">
        <v>4</v>
      </c>
      <c r="F66" s="564">
        <v>4</v>
      </c>
      <c r="G66" s="564">
        <f t="shared" si="2"/>
        <v>0</v>
      </c>
      <c r="H66" s="565">
        <f>LONDRINA!D137</f>
        <v>2916.81</v>
      </c>
      <c r="I66" s="561">
        <f>E66*LONDRINA!$D$137</f>
        <v>11667.24</v>
      </c>
      <c r="J66" s="537">
        <f t="shared" si="3"/>
        <v>140006.88</v>
      </c>
      <c r="K66" s="538">
        <f t="shared" si="5"/>
        <v>11667.24</v>
      </c>
      <c r="L66" s="539">
        <f t="shared" si="4"/>
        <v>140006.88</v>
      </c>
    </row>
    <row r="67" spans="1:15" ht="13.5" x14ac:dyDescent="0.2">
      <c r="A67" s="596"/>
      <c r="B67" s="598"/>
      <c r="C67" s="600"/>
      <c r="D67" s="560" t="s">
        <v>439</v>
      </c>
      <c r="E67" s="526">
        <f>1+1</f>
        <v>2</v>
      </c>
      <c r="F67" s="564">
        <v>2</v>
      </c>
      <c r="G67" s="564">
        <f t="shared" si="2"/>
        <v>0</v>
      </c>
      <c r="H67" s="565">
        <f>'LONDRINA (servente copeira)'!D137</f>
        <v>3024.91</v>
      </c>
      <c r="I67" s="561">
        <f>E67*'LONDRINA (servente copeira)'!D137</f>
        <v>6049.82</v>
      </c>
      <c r="J67" s="537">
        <f t="shared" si="3"/>
        <v>72597.84</v>
      </c>
      <c r="K67" s="538">
        <f t="shared" si="5"/>
        <v>6049.82</v>
      </c>
      <c r="L67" s="539">
        <f t="shared" si="4"/>
        <v>72597.84</v>
      </c>
    </row>
    <row r="68" spans="1:15" ht="13.5" x14ac:dyDescent="0.2">
      <c r="A68" s="595">
        <v>19</v>
      </c>
      <c r="B68" s="597" t="s">
        <v>148</v>
      </c>
      <c r="C68" s="599" t="s">
        <v>414</v>
      </c>
      <c r="D68" s="560" t="s">
        <v>425</v>
      </c>
      <c r="E68" s="526">
        <v>6</v>
      </c>
      <c r="F68" s="564">
        <v>3</v>
      </c>
      <c r="G68" s="564">
        <f>E68-F68</f>
        <v>3</v>
      </c>
      <c r="H68" s="565">
        <f>IVAIPORÃ!D137</f>
        <v>2903.95</v>
      </c>
      <c r="I68" s="561">
        <f>E68*IVAIPORÃ!$D$137</f>
        <v>17423.7</v>
      </c>
      <c r="J68" s="537">
        <f t="shared" si="3"/>
        <v>209084.4</v>
      </c>
      <c r="K68" s="538">
        <f t="shared" si="5"/>
        <v>17423.7</v>
      </c>
      <c r="L68" s="539">
        <f t="shared" si="4"/>
        <v>209084.4</v>
      </c>
      <c r="M68" t="s">
        <v>517</v>
      </c>
      <c r="O68" t="s">
        <v>517</v>
      </c>
    </row>
    <row r="69" spans="1:15" ht="13.5" x14ac:dyDescent="0.2">
      <c r="A69" s="596"/>
      <c r="B69" s="598"/>
      <c r="C69" s="600"/>
      <c r="D69" s="560" t="s">
        <v>439</v>
      </c>
      <c r="E69" s="526">
        <v>1</v>
      </c>
      <c r="F69" s="564">
        <v>1</v>
      </c>
      <c r="G69" s="564">
        <f>E69-F69</f>
        <v>0</v>
      </c>
      <c r="H69" s="565">
        <f>'IVAIPORÃ (servente copeira)'!D137</f>
        <v>3012.19</v>
      </c>
      <c r="I69" s="561">
        <f>'IVAIPORÃ (servente copeira)'!D134*F69</f>
        <v>3012.19</v>
      </c>
      <c r="J69" s="537">
        <f t="shared" si="3"/>
        <v>36146.28</v>
      </c>
      <c r="K69" s="538">
        <f t="shared" si="5"/>
        <v>3012.19</v>
      </c>
      <c r="L69" s="539">
        <f t="shared" si="4"/>
        <v>36146.28</v>
      </c>
    </row>
    <row r="70" spans="1:15" ht="13.5" x14ac:dyDescent="0.2">
      <c r="A70" s="595">
        <v>20</v>
      </c>
      <c r="B70" s="597" t="s">
        <v>137</v>
      </c>
      <c r="C70" s="599" t="s">
        <v>415</v>
      </c>
      <c r="D70" s="560" t="s">
        <v>425</v>
      </c>
      <c r="E70" s="526">
        <v>10</v>
      </c>
      <c r="F70" s="564">
        <v>10</v>
      </c>
      <c r="G70" s="564">
        <f>E70-F70</f>
        <v>0</v>
      </c>
      <c r="H70" s="565">
        <f>JACAREZINHO!D137</f>
        <v>2958.53</v>
      </c>
      <c r="I70" s="561">
        <f>E70*JACAREZINHO!$D$137</f>
        <v>29585.3</v>
      </c>
      <c r="J70" s="537">
        <f t="shared" si="3"/>
        <v>355023.6</v>
      </c>
      <c r="K70" s="538">
        <f t="shared" si="5"/>
        <v>29585.3</v>
      </c>
      <c r="L70" s="539">
        <f t="shared" si="4"/>
        <v>355023.6</v>
      </c>
    </row>
    <row r="71" spans="1:15" ht="13.5" x14ac:dyDescent="0.2">
      <c r="A71" s="596"/>
      <c r="B71" s="598"/>
      <c r="C71" s="600"/>
      <c r="D71" s="560" t="s">
        <v>439</v>
      </c>
      <c r="E71" s="526">
        <v>1</v>
      </c>
      <c r="F71" s="564">
        <v>1</v>
      </c>
      <c r="G71" s="564">
        <f t="shared" ref="G71:G95" si="6">E71-F71</f>
        <v>0</v>
      </c>
      <c r="H71" s="565">
        <f>'JACAREZINHO (servente copeira)'!D137</f>
        <v>3069.4</v>
      </c>
      <c r="I71" s="561">
        <f>E71*'JACAREZINHO (servente copeira)'!$D$138</f>
        <v>3069.4</v>
      </c>
      <c r="J71" s="537">
        <f t="shared" si="3"/>
        <v>36832.800000000003</v>
      </c>
      <c r="K71" s="538">
        <f t="shared" si="5"/>
        <v>3069.4</v>
      </c>
      <c r="L71" s="539">
        <f t="shared" si="4"/>
        <v>36832.800000000003</v>
      </c>
    </row>
    <row r="72" spans="1:15" ht="13.5" x14ac:dyDescent="0.2">
      <c r="A72" s="595">
        <v>21</v>
      </c>
      <c r="B72" s="597" t="s">
        <v>421</v>
      </c>
      <c r="C72" s="599" t="s">
        <v>422</v>
      </c>
      <c r="D72" s="560" t="s">
        <v>425</v>
      </c>
      <c r="E72" s="526">
        <f>7+4</f>
        <v>11</v>
      </c>
      <c r="F72" s="564">
        <f>4+7</f>
        <v>11</v>
      </c>
      <c r="G72" s="564">
        <f t="shared" si="6"/>
        <v>0</v>
      </c>
      <c r="H72" s="565">
        <f>'TELEMACO BORBA'!D137</f>
        <v>2893.67</v>
      </c>
      <c r="I72" s="561">
        <f>E72*'TELEMACO BORBA'!$D$137</f>
        <v>31830.37</v>
      </c>
      <c r="J72" s="537">
        <f t="shared" si="3"/>
        <v>381964.44</v>
      </c>
      <c r="K72" s="538">
        <f t="shared" si="5"/>
        <v>31830.37</v>
      </c>
      <c r="L72" s="539">
        <f t="shared" si="4"/>
        <v>381964.44</v>
      </c>
    </row>
    <row r="73" spans="1:15" ht="13.5" x14ac:dyDescent="0.2">
      <c r="A73" s="596"/>
      <c r="B73" s="598"/>
      <c r="C73" s="600"/>
      <c r="D73" s="560" t="s">
        <v>439</v>
      </c>
      <c r="E73" s="526">
        <v>1</v>
      </c>
      <c r="F73" s="564">
        <v>1</v>
      </c>
      <c r="G73" s="564">
        <f t="shared" si="6"/>
        <v>0</v>
      </c>
      <c r="H73" s="565">
        <f>'TELEMACO (servente copeira)'!D137</f>
        <v>3001.99</v>
      </c>
      <c r="I73" s="561">
        <f>E73*'TELEMACO (servente copeira)'!$D$138</f>
        <v>3001.99</v>
      </c>
      <c r="J73" s="537">
        <f t="shared" ref="J73:J80" si="7">I73*12</f>
        <v>36023.879999999997</v>
      </c>
      <c r="K73" s="538">
        <f t="shared" si="5"/>
        <v>3001.99</v>
      </c>
      <c r="L73" s="539">
        <f t="shared" ref="L73:L80" si="8">K73*12</f>
        <v>36023.879999999997</v>
      </c>
    </row>
    <row r="74" spans="1:15" ht="27" x14ac:dyDescent="0.2">
      <c r="A74" s="117">
        <v>22</v>
      </c>
      <c r="B74" s="592" t="s">
        <v>407</v>
      </c>
      <c r="C74" s="581" t="s">
        <v>436</v>
      </c>
      <c r="D74" s="560" t="s">
        <v>425</v>
      </c>
      <c r="E74" s="526">
        <v>1</v>
      </c>
      <c r="F74" s="564">
        <v>1</v>
      </c>
      <c r="G74" s="564">
        <f t="shared" si="6"/>
        <v>0</v>
      </c>
      <c r="H74" s="565">
        <f>CURITIBA!D137</f>
        <v>2902.84</v>
      </c>
      <c r="I74" s="561">
        <f>CURITIBA!$D$132*E74</f>
        <v>2902.84</v>
      </c>
      <c r="J74" s="537">
        <f t="shared" si="7"/>
        <v>34834.080000000002</v>
      </c>
      <c r="K74" s="538">
        <f t="shared" si="5"/>
        <v>2902.84</v>
      </c>
      <c r="L74" s="539">
        <f t="shared" si="8"/>
        <v>34834.080000000002</v>
      </c>
    </row>
    <row r="75" spans="1:15" s="187" customFormat="1" ht="27" x14ac:dyDescent="0.2">
      <c r="A75" s="117">
        <v>23</v>
      </c>
      <c r="B75" s="592" t="s">
        <v>407</v>
      </c>
      <c r="C75" s="581" t="s">
        <v>437</v>
      </c>
      <c r="D75" s="560" t="s">
        <v>439</v>
      </c>
      <c r="E75" s="526">
        <v>1</v>
      </c>
      <c r="F75" s="564">
        <v>1</v>
      </c>
      <c r="G75" s="564">
        <f t="shared" si="6"/>
        <v>0</v>
      </c>
      <c r="H75" s="565">
        <f>'CURITIBA (servente copeira )'!D137</f>
        <v>3010.31</v>
      </c>
      <c r="I75" s="561">
        <f>'CURITIBA (servente copeira )'!D137*E75</f>
        <v>3010.31</v>
      </c>
      <c r="J75" s="537">
        <f t="shared" si="7"/>
        <v>36123.72</v>
      </c>
      <c r="K75" s="538">
        <f t="shared" si="5"/>
        <v>3010.31</v>
      </c>
      <c r="L75" s="539">
        <f t="shared" si="8"/>
        <v>36123.72</v>
      </c>
    </row>
    <row r="76" spans="1:15" ht="27" x14ac:dyDescent="0.2">
      <c r="A76" s="117">
        <v>24</v>
      </c>
      <c r="B76" s="592" t="s">
        <v>407</v>
      </c>
      <c r="C76" s="581" t="s">
        <v>463</v>
      </c>
      <c r="D76" s="560" t="s">
        <v>425</v>
      </c>
      <c r="E76" s="526">
        <v>4</v>
      </c>
      <c r="F76" s="564">
        <v>4</v>
      </c>
      <c r="G76" s="564">
        <f t="shared" si="6"/>
        <v>0</v>
      </c>
      <c r="H76" s="565">
        <f>CURITIBA!D137</f>
        <v>2902.84</v>
      </c>
      <c r="I76" s="561">
        <f>CURITIBA!D132*E76</f>
        <v>11611.36</v>
      </c>
      <c r="J76" s="537">
        <f t="shared" si="7"/>
        <v>139336.32000000001</v>
      </c>
      <c r="K76" s="538">
        <f t="shared" si="5"/>
        <v>11611.36</v>
      </c>
      <c r="L76" s="539">
        <f t="shared" si="8"/>
        <v>139336.32000000001</v>
      </c>
    </row>
    <row r="77" spans="1:15" ht="13.5" x14ac:dyDescent="0.2">
      <c r="A77" s="610">
        <v>25</v>
      </c>
      <c r="B77" s="597" t="s">
        <v>460</v>
      </c>
      <c r="C77" s="599" t="s">
        <v>506</v>
      </c>
      <c r="D77" s="575" t="s">
        <v>425</v>
      </c>
      <c r="E77" s="398">
        <v>3</v>
      </c>
      <c r="F77" s="398">
        <v>3</v>
      </c>
      <c r="G77" s="398">
        <f t="shared" si="6"/>
        <v>0</v>
      </c>
      <c r="H77" s="576">
        <f>CASCAVEL!D126</f>
        <v>2898.81</v>
      </c>
      <c r="I77" s="389"/>
      <c r="J77" s="389"/>
      <c r="K77" s="576">
        <f>H77*F77</f>
        <v>8696.43</v>
      </c>
      <c r="L77" s="577">
        <f t="shared" si="8"/>
        <v>104357.16</v>
      </c>
    </row>
    <row r="78" spans="1:15" ht="13.5" x14ac:dyDescent="0.2">
      <c r="A78" s="611"/>
      <c r="B78" s="598"/>
      <c r="C78" s="600"/>
      <c r="D78" s="560" t="s">
        <v>439</v>
      </c>
      <c r="E78" s="526">
        <v>1</v>
      </c>
      <c r="F78" s="564">
        <v>1</v>
      </c>
      <c r="G78" s="564">
        <f>E78-F78</f>
        <v>0</v>
      </c>
      <c r="H78" s="565">
        <f>'CASCAVEL (servente copeira)'!D130</f>
        <v>3007.09</v>
      </c>
      <c r="I78" s="561">
        <f>'CASCAVEL (servente copeira)'!D137*E78</f>
        <v>3007.09</v>
      </c>
      <c r="J78" s="537">
        <f>I78*12</f>
        <v>36085.08</v>
      </c>
      <c r="K78" s="538">
        <f>H78*E78</f>
        <v>3007.09</v>
      </c>
      <c r="L78" s="539">
        <f>K78*12</f>
        <v>36085.08</v>
      </c>
    </row>
    <row r="79" spans="1:15" s="389" customFormat="1" ht="13.5" x14ac:dyDescent="0.2">
      <c r="A79" s="527">
        <v>26</v>
      </c>
      <c r="B79" s="612" t="s">
        <v>523</v>
      </c>
      <c r="C79" s="583" t="s">
        <v>546</v>
      </c>
      <c r="D79" s="528" t="s">
        <v>439</v>
      </c>
      <c r="E79" s="527">
        <v>1</v>
      </c>
      <c r="F79" s="529">
        <v>1</v>
      </c>
      <c r="G79" s="529">
        <f t="shared" si="6"/>
        <v>0</v>
      </c>
      <c r="H79" s="530">
        <f>'Jaguariaiva (servente+Copei'!D137</f>
        <v>2937.95</v>
      </c>
      <c r="I79" s="531">
        <f>'Jaguariaiva (servente+Copei'!D137*E79</f>
        <v>2937.95</v>
      </c>
      <c r="J79" s="537">
        <f t="shared" si="7"/>
        <v>35255.4</v>
      </c>
      <c r="K79" s="538">
        <f t="shared" si="5"/>
        <v>2937.95</v>
      </c>
      <c r="L79" s="539">
        <f t="shared" si="8"/>
        <v>35255.4</v>
      </c>
    </row>
    <row r="80" spans="1:15" s="533" customFormat="1" ht="13.5" x14ac:dyDescent="0.2">
      <c r="A80" s="536"/>
      <c r="B80" s="613"/>
      <c r="C80" s="584" t="s">
        <v>547</v>
      </c>
      <c r="D80" s="528" t="s">
        <v>425</v>
      </c>
      <c r="E80" s="527">
        <f>1+2</f>
        <v>3</v>
      </c>
      <c r="F80" s="529">
        <v>3</v>
      </c>
      <c r="G80" s="529">
        <f t="shared" si="6"/>
        <v>0</v>
      </c>
      <c r="H80" s="530">
        <f>JAGUARIAIVA!D137</f>
        <v>2802.65</v>
      </c>
      <c r="I80" s="531">
        <f>JAGUARIAIVA!D137*E80</f>
        <v>8407.9500000000007</v>
      </c>
      <c r="J80" s="537">
        <f t="shared" si="7"/>
        <v>100895.4</v>
      </c>
      <c r="K80" s="538">
        <f t="shared" si="5"/>
        <v>8407.9500000000007</v>
      </c>
      <c r="L80" s="539">
        <f t="shared" si="8"/>
        <v>100895.4</v>
      </c>
    </row>
    <row r="81" spans="1:15" ht="40.5" x14ac:dyDescent="0.2">
      <c r="A81" s="609">
        <v>27</v>
      </c>
      <c r="B81" s="607" t="s">
        <v>524</v>
      </c>
      <c r="C81" s="583" t="s">
        <v>548</v>
      </c>
      <c r="D81" s="528" t="s">
        <v>425</v>
      </c>
      <c r="E81" s="527">
        <v>3</v>
      </c>
      <c r="F81" s="529">
        <v>3</v>
      </c>
      <c r="G81" s="529">
        <f t="shared" si="6"/>
        <v>0</v>
      </c>
      <c r="H81" s="530">
        <f>Pinhais!D130</f>
        <v>2698.79</v>
      </c>
      <c r="I81" s="531">
        <f>H81*E81</f>
        <v>8096.37</v>
      </c>
      <c r="J81" s="537">
        <f t="shared" ref="J81:J95" si="9">I81*12</f>
        <v>97156.44</v>
      </c>
      <c r="K81" s="538">
        <f t="shared" si="5"/>
        <v>8096.37</v>
      </c>
      <c r="L81" s="539">
        <f t="shared" ref="L81:L95" si="10">K81*12</f>
        <v>97156.44</v>
      </c>
    </row>
    <row r="82" spans="1:15" ht="13.5" x14ac:dyDescent="0.2">
      <c r="A82" s="609"/>
      <c r="B82" s="608"/>
      <c r="C82" s="584" t="s">
        <v>549</v>
      </c>
      <c r="D82" s="420" t="s">
        <v>439</v>
      </c>
      <c r="E82" s="518">
        <v>1</v>
      </c>
      <c r="F82" s="518">
        <v>1</v>
      </c>
      <c r="G82" s="518">
        <f t="shared" si="6"/>
        <v>0</v>
      </c>
      <c r="H82" s="532">
        <f>'Pinhais (servente+Copei)'!D130</f>
        <v>2985.8</v>
      </c>
      <c r="I82" s="531">
        <f t="shared" ref="I82:I95" si="11">H82*E82</f>
        <v>2985.8</v>
      </c>
      <c r="J82" s="537">
        <f t="shared" si="9"/>
        <v>35829.599999999999</v>
      </c>
      <c r="K82" s="538">
        <f t="shared" si="5"/>
        <v>2985.8</v>
      </c>
      <c r="L82" s="539">
        <f t="shared" si="10"/>
        <v>35829.599999999999</v>
      </c>
    </row>
    <row r="83" spans="1:15" ht="25.5" x14ac:dyDescent="0.2">
      <c r="A83" s="609">
        <v>28</v>
      </c>
      <c r="B83" s="617" t="s">
        <v>525</v>
      </c>
      <c r="C83" s="585" t="s">
        <v>550</v>
      </c>
      <c r="D83" s="420" t="s">
        <v>425</v>
      </c>
      <c r="E83" s="518">
        <v>3</v>
      </c>
      <c r="F83" s="518">
        <v>3</v>
      </c>
      <c r="G83" s="518">
        <f t="shared" si="6"/>
        <v>0</v>
      </c>
      <c r="H83" s="532">
        <f>PITANGA!D130</f>
        <v>2816.28</v>
      </c>
      <c r="I83" s="531">
        <f t="shared" si="11"/>
        <v>8448.84</v>
      </c>
      <c r="J83" s="537">
        <f t="shared" si="9"/>
        <v>101386.08</v>
      </c>
      <c r="K83" s="538">
        <f t="shared" si="5"/>
        <v>8448.84</v>
      </c>
      <c r="L83" s="539">
        <f t="shared" si="10"/>
        <v>101386.08</v>
      </c>
    </row>
    <row r="84" spans="1:15" ht="13.5" x14ac:dyDescent="0.2">
      <c r="A84" s="609"/>
      <c r="B84" s="618"/>
      <c r="C84" s="586" t="s">
        <v>551</v>
      </c>
      <c r="D84" s="420" t="s">
        <v>439</v>
      </c>
      <c r="E84" s="518">
        <v>2</v>
      </c>
      <c r="F84" s="518">
        <v>2</v>
      </c>
      <c r="G84" s="518">
        <f t="shared" si="6"/>
        <v>0</v>
      </c>
      <c r="H84" s="532">
        <f>'PITANGA (servente+Copei)'!D130</f>
        <v>2925.37</v>
      </c>
      <c r="I84" s="531">
        <f t="shared" si="11"/>
        <v>5850.74</v>
      </c>
      <c r="J84" s="537">
        <f t="shared" si="9"/>
        <v>70208.88</v>
      </c>
      <c r="K84" s="538">
        <f t="shared" si="5"/>
        <v>5850.74</v>
      </c>
      <c r="L84" s="539">
        <f t="shared" si="10"/>
        <v>70208.88</v>
      </c>
    </row>
    <row r="85" spans="1:15" s="533" customFormat="1" ht="25.5" x14ac:dyDescent="0.2">
      <c r="A85" s="609">
        <v>29</v>
      </c>
      <c r="B85" s="617" t="s">
        <v>526</v>
      </c>
      <c r="C85" s="585" t="s">
        <v>552</v>
      </c>
      <c r="D85" s="420" t="s">
        <v>425</v>
      </c>
      <c r="E85" s="518">
        <v>3</v>
      </c>
      <c r="F85" s="518">
        <v>3</v>
      </c>
      <c r="G85" s="518">
        <f t="shared" si="6"/>
        <v>0</v>
      </c>
      <c r="H85" s="532">
        <f>'UNIÃO DA VITÓRIA'!D130</f>
        <v>2881.96</v>
      </c>
      <c r="I85" s="531">
        <f t="shared" si="11"/>
        <v>8645.8799999999992</v>
      </c>
      <c r="J85" s="537">
        <f t="shared" si="9"/>
        <v>103750.56</v>
      </c>
      <c r="K85" s="538">
        <f t="shared" si="5"/>
        <v>8645.8799999999992</v>
      </c>
      <c r="L85" s="539">
        <f t="shared" si="10"/>
        <v>103750.56</v>
      </c>
      <c r="O85" s="534"/>
    </row>
    <row r="86" spans="1:15" ht="14.25" thickBot="1" x14ac:dyDescent="0.25">
      <c r="A86" s="616"/>
      <c r="B86" s="619"/>
      <c r="C86" s="587" t="s">
        <v>553</v>
      </c>
      <c r="D86" s="542" t="s">
        <v>439</v>
      </c>
      <c r="E86" s="543">
        <v>1</v>
      </c>
      <c r="F86" s="543">
        <v>1</v>
      </c>
      <c r="G86" s="543">
        <f t="shared" si="6"/>
        <v>0</v>
      </c>
      <c r="H86" s="544">
        <f>'UNIÃODAVIT (servente+Copei)'!D130</f>
        <v>2993.59</v>
      </c>
      <c r="I86" s="531">
        <f t="shared" si="11"/>
        <v>2993.59</v>
      </c>
      <c r="J86" s="537">
        <f t="shared" si="9"/>
        <v>35923.08</v>
      </c>
      <c r="K86" s="538">
        <f t="shared" si="5"/>
        <v>2993.59</v>
      </c>
      <c r="L86" s="578">
        <f t="shared" si="10"/>
        <v>35923.08</v>
      </c>
    </row>
    <row r="87" spans="1:15" ht="14.25" thickBot="1" x14ac:dyDescent="0.25">
      <c r="A87" s="614">
        <v>30</v>
      </c>
      <c r="B87" s="615" t="s">
        <v>537</v>
      </c>
      <c r="C87" s="588" t="s">
        <v>554</v>
      </c>
      <c r="D87" s="545" t="s">
        <v>536</v>
      </c>
      <c r="E87" s="546">
        <v>1</v>
      </c>
      <c r="F87" s="546">
        <v>1</v>
      </c>
      <c r="G87" s="546">
        <f t="shared" si="6"/>
        <v>0</v>
      </c>
      <c r="H87" s="547">
        <f>ASTORGA!D138</f>
        <v>2867.94</v>
      </c>
      <c r="I87" s="540">
        <f t="shared" si="11"/>
        <v>2867.94</v>
      </c>
      <c r="J87" s="537">
        <f t="shared" si="9"/>
        <v>34415.279999999999</v>
      </c>
      <c r="K87" s="538">
        <f t="shared" si="5"/>
        <v>2867.94</v>
      </c>
      <c r="L87" s="578">
        <f t="shared" si="10"/>
        <v>34415.279999999999</v>
      </c>
    </row>
    <row r="88" spans="1:15" ht="14.25" thickBot="1" x14ac:dyDescent="0.25">
      <c r="A88" s="614"/>
      <c r="B88" s="615"/>
      <c r="C88" s="588" t="s">
        <v>555</v>
      </c>
      <c r="D88" s="545" t="s">
        <v>439</v>
      </c>
      <c r="E88" s="546">
        <v>1</v>
      </c>
      <c r="F88" s="546">
        <v>1</v>
      </c>
      <c r="G88" s="546">
        <f t="shared" si="6"/>
        <v>0</v>
      </c>
      <c r="H88" s="547">
        <f>'ASTORGA (SERVENTE COPEIRA) '!D138</f>
        <v>2976.53</v>
      </c>
      <c r="I88" s="540">
        <f t="shared" si="11"/>
        <v>2976.53</v>
      </c>
      <c r="J88" s="537">
        <f t="shared" si="9"/>
        <v>35718.36</v>
      </c>
      <c r="K88" s="538">
        <f t="shared" si="5"/>
        <v>2976.53</v>
      </c>
      <c r="L88" s="578">
        <f t="shared" si="10"/>
        <v>35718.36</v>
      </c>
    </row>
    <row r="89" spans="1:15" s="533" customFormat="1" ht="26.25" thickBot="1" x14ac:dyDescent="0.25">
      <c r="A89" s="551">
        <v>31</v>
      </c>
      <c r="B89" s="590" t="s">
        <v>538</v>
      </c>
      <c r="C89" s="589" t="s">
        <v>556</v>
      </c>
      <c r="D89" s="545" t="s">
        <v>113</v>
      </c>
      <c r="E89" s="546">
        <v>1</v>
      </c>
      <c r="F89" s="546">
        <v>1</v>
      </c>
      <c r="G89" s="546">
        <f t="shared" si="6"/>
        <v>0</v>
      </c>
      <c r="H89" s="547">
        <f>'CEL. VIVIDA'!D138</f>
        <v>2769.52</v>
      </c>
      <c r="I89" s="540">
        <f t="shared" si="11"/>
        <v>2769.52</v>
      </c>
      <c r="J89" s="537">
        <f t="shared" si="9"/>
        <v>33234.239999999998</v>
      </c>
      <c r="K89" s="538">
        <f t="shared" si="5"/>
        <v>2769.52</v>
      </c>
      <c r="L89" s="578">
        <f t="shared" si="10"/>
        <v>33234.239999999998</v>
      </c>
    </row>
    <row r="90" spans="1:15" s="533" customFormat="1" ht="26.25" thickBot="1" x14ac:dyDescent="0.25">
      <c r="A90" s="551"/>
      <c r="B90" s="590" t="s">
        <v>539</v>
      </c>
      <c r="C90" s="589" t="s">
        <v>557</v>
      </c>
      <c r="D90" s="545" t="s">
        <v>113</v>
      </c>
      <c r="E90" s="546">
        <v>1</v>
      </c>
      <c r="F90" s="546">
        <v>1</v>
      </c>
      <c r="G90" s="546">
        <f t="shared" si="6"/>
        <v>0</v>
      </c>
      <c r="H90" s="547">
        <f>BARRACÃO!D137</f>
        <v>3007.09</v>
      </c>
      <c r="I90" s="540">
        <f t="shared" si="11"/>
        <v>3007.09</v>
      </c>
      <c r="J90" s="537">
        <f t="shared" si="9"/>
        <v>36085.08</v>
      </c>
      <c r="K90" s="538">
        <f t="shared" si="5"/>
        <v>3007.09</v>
      </c>
      <c r="L90" s="578">
        <f t="shared" si="10"/>
        <v>36085.08</v>
      </c>
    </row>
    <row r="91" spans="1:15" s="533" customFormat="1" ht="39" thickBot="1" x14ac:dyDescent="0.25">
      <c r="A91" s="551"/>
      <c r="B91" s="590" t="s">
        <v>540</v>
      </c>
      <c r="C91" s="589" t="s">
        <v>558</v>
      </c>
      <c r="D91" s="545" t="s">
        <v>113</v>
      </c>
      <c r="E91" s="546">
        <f>1+1</f>
        <v>2</v>
      </c>
      <c r="F91" s="546">
        <v>2</v>
      </c>
      <c r="G91" s="546">
        <f t="shared" si="6"/>
        <v>0</v>
      </c>
      <c r="H91" s="547">
        <f>CAPANEMA!D137</f>
        <v>3007.09</v>
      </c>
      <c r="I91" s="540">
        <f t="shared" si="11"/>
        <v>6014.18</v>
      </c>
      <c r="J91" s="537">
        <f t="shared" si="9"/>
        <v>72170.16</v>
      </c>
      <c r="K91" s="538">
        <f t="shared" si="5"/>
        <v>6014.18</v>
      </c>
      <c r="L91" s="578">
        <f t="shared" si="10"/>
        <v>72170.16</v>
      </c>
    </row>
    <row r="92" spans="1:15" s="533" customFormat="1" ht="39" thickBot="1" x14ac:dyDescent="0.25">
      <c r="A92" s="551"/>
      <c r="B92" s="590" t="s">
        <v>541</v>
      </c>
      <c r="C92" s="589" t="s">
        <v>559</v>
      </c>
      <c r="D92" s="545" t="s">
        <v>113</v>
      </c>
      <c r="E92" s="546">
        <v>1</v>
      </c>
      <c r="F92" s="546">
        <v>1</v>
      </c>
      <c r="G92" s="546">
        <f t="shared" si="6"/>
        <v>0</v>
      </c>
      <c r="H92" s="547">
        <f>COLOMBO!D138</f>
        <v>3007.09</v>
      </c>
      <c r="I92" s="540">
        <f t="shared" si="11"/>
        <v>3007.09</v>
      </c>
      <c r="J92" s="537">
        <f t="shared" si="9"/>
        <v>36085.08</v>
      </c>
      <c r="K92" s="538">
        <f t="shared" si="5"/>
        <v>3007.09</v>
      </c>
      <c r="L92" s="578">
        <f t="shared" si="10"/>
        <v>36085.08</v>
      </c>
    </row>
    <row r="93" spans="1:15" s="533" customFormat="1" ht="39" thickBot="1" x14ac:dyDescent="0.25">
      <c r="A93" s="551"/>
      <c r="B93" s="590" t="s">
        <v>543</v>
      </c>
      <c r="C93" s="589" t="s">
        <v>560</v>
      </c>
      <c r="D93" s="545" t="s">
        <v>113</v>
      </c>
      <c r="E93" s="546">
        <v>1</v>
      </c>
      <c r="F93" s="546">
        <v>1</v>
      </c>
      <c r="G93" s="546">
        <f t="shared" si="6"/>
        <v>0</v>
      </c>
      <c r="H93" s="547">
        <f>'QUEDAS DO IGUAÇU'!D137</f>
        <v>2802.65</v>
      </c>
      <c r="I93" s="540">
        <f t="shared" si="11"/>
        <v>2802.65</v>
      </c>
      <c r="J93" s="788">
        <f t="shared" si="9"/>
        <v>33631.800000000003</v>
      </c>
      <c r="K93" s="790">
        <f t="shared" si="5"/>
        <v>2802.65</v>
      </c>
      <c r="L93" s="579">
        <f t="shared" si="10"/>
        <v>33631.800000000003</v>
      </c>
    </row>
    <row r="94" spans="1:15" s="533" customFormat="1" ht="14.25" thickBot="1" x14ac:dyDescent="0.25">
      <c r="A94" s="551"/>
      <c r="B94" s="603" t="s">
        <v>542</v>
      </c>
      <c r="C94" s="605" t="s">
        <v>561</v>
      </c>
      <c r="D94" s="545" t="s">
        <v>113</v>
      </c>
      <c r="E94" s="546">
        <v>1</v>
      </c>
      <c r="F94" s="546">
        <v>1</v>
      </c>
      <c r="G94" s="546">
        <f t="shared" si="6"/>
        <v>0</v>
      </c>
      <c r="H94" s="547">
        <f>GOIOERÊ!D137</f>
        <v>2851.83</v>
      </c>
      <c r="I94" s="540">
        <f t="shared" si="11"/>
        <v>2851.83</v>
      </c>
      <c r="J94" s="788">
        <f t="shared" si="9"/>
        <v>34221.96</v>
      </c>
      <c r="K94" s="790">
        <f t="shared" si="5"/>
        <v>2851.83</v>
      </c>
      <c r="L94" s="579">
        <f t="shared" si="10"/>
        <v>34221.96</v>
      </c>
    </row>
    <row r="95" spans="1:15" s="533" customFormat="1" ht="14.25" thickBot="1" x14ac:dyDescent="0.25">
      <c r="A95" s="551"/>
      <c r="B95" s="604"/>
      <c r="C95" s="606"/>
      <c r="D95" s="545" t="s">
        <v>544</v>
      </c>
      <c r="E95" s="546">
        <v>1</v>
      </c>
      <c r="F95" s="546">
        <v>1</v>
      </c>
      <c r="G95" s="546">
        <f t="shared" si="6"/>
        <v>0</v>
      </c>
      <c r="H95" s="547">
        <f>'GOIOERÊ SERVENTE+COPEIRA'!D137</f>
        <v>2990.24</v>
      </c>
      <c r="I95" s="540">
        <f t="shared" si="11"/>
        <v>2990.24</v>
      </c>
      <c r="J95" s="788">
        <f t="shared" si="9"/>
        <v>35882.879999999997</v>
      </c>
      <c r="K95" s="790">
        <f t="shared" si="5"/>
        <v>2990.24</v>
      </c>
      <c r="L95" s="579">
        <f t="shared" si="10"/>
        <v>35882.879999999997</v>
      </c>
    </row>
    <row r="96" spans="1:15" ht="14.25" thickBot="1" x14ac:dyDescent="0.25">
      <c r="A96" s="602" t="s">
        <v>427</v>
      </c>
      <c r="B96" s="602"/>
      <c r="C96" s="602"/>
      <c r="D96" s="602"/>
      <c r="E96" s="548">
        <f>SUM(E41:E92)</f>
        <v>176</v>
      </c>
      <c r="F96" s="549">
        <f>SUM(F41:F95)</f>
        <v>174</v>
      </c>
      <c r="G96" s="549">
        <f>SUM(G41:G95)</f>
        <v>5</v>
      </c>
      <c r="H96" s="550" t="s">
        <v>490</v>
      </c>
      <c r="I96" s="541">
        <f>SUM(I41:I86)</f>
        <v>484873.19</v>
      </c>
      <c r="J96" s="463">
        <f>SUM(J41:J86)</f>
        <v>5818478.2800000003</v>
      </c>
      <c r="K96" s="789">
        <f>SUM(K41:K86)</f>
        <v>493569.62</v>
      </c>
      <c r="L96" s="469">
        <f>SUM(L41:L95)</f>
        <v>6274280.2800000003</v>
      </c>
    </row>
    <row r="97" spans="1:15" ht="13.5" thickBot="1" x14ac:dyDescent="0.25">
      <c r="A97" s="120" t="s">
        <v>534</v>
      </c>
      <c r="B97" s="464"/>
      <c r="C97" s="465"/>
      <c r="D97" s="464"/>
      <c r="E97" s="466"/>
      <c r="F97" s="466"/>
      <c r="G97" s="466"/>
      <c r="H97" s="464"/>
      <c r="I97" s="467"/>
      <c r="J97" s="467"/>
      <c r="K97" s="470">
        <f>H41+(H43*3)+(9*H44)+(H45*3)+(H46*2)+H47+(H48*3)+H49+(H51*13)+H52*2+H53+H54+(H55*4)+(H56*2)+(H57*6)+(H58*6)+H59+(H60*4)+(H61*2)+H62+(H63*18)+(H64*2)+H65+(H66*3)+H67+(H68*3)+H69+(H70*6)+H71+(H72*11)+(H73*1)+H74+H75+(H76*4)+H78</f>
        <v>354779.87</v>
      </c>
      <c r="L97" s="468">
        <f>K97*12</f>
        <v>4257358.4400000004</v>
      </c>
    </row>
    <row r="98" spans="1:15" x14ac:dyDescent="0.2">
      <c r="A98" t="s">
        <v>462</v>
      </c>
      <c r="J98" s="192"/>
    </row>
    <row r="99" spans="1:15" x14ac:dyDescent="0.2">
      <c r="J99" s="31"/>
      <c r="K99" s="192">
        <f>K96+(7*H43)-(3*H45)-(F69*H68)</f>
        <v>502277.03</v>
      </c>
    </row>
    <row r="101" spans="1:15" x14ac:dyDescent="0.2">
      <c r="G101" s="145"/>
      <c r="I101" s="21"/>
      <c r="J101" s="21"/>
      <c r="L101" s="21"/>
    </row>
    <row r="102" spans="1:15" x14ac:dyDescent="0.2">
      <c r="G102" s="145"/>
      <c r="I102" s="21"/>
      <c r="J102" s="181"/>
      <c r="L102" s="21"/>
    </row>
    <row r="103" spans="1:15" x14ac:dyDescent="0.2">
      <c r="G103" s="186">
        <f>H43*7</f>
        <v>20319.88</v>
      </c>
      <c r="I103" s="181"/>
      <c r="L103" s="21"/>
    </row>
    <row r="104" spans="1:15" x14ac:dyDescent="0.2">
      <c r="D104" s="21"/>
      <c r="F104" s="186"/>
      <c r="G104" s="143"/>
      <c r="I104" s="21"/>
      <c r="J104" s="21"/>
      <c r="L104" s="181"/>
    </row>
    <row r="105" spans="1:15" x14ac:dyDescent="0.2">
      <c r="I105" s="21"/>
      <c r="J105" s="21"/>
    </row>
    <row r="106" spans="1:15" x14ac:dyDescent="0.2">
      <c r="F106" s="275"/>
      <c r="I106" s="21"/>
      <c r="J106" s="21"/>
    </row>
    <row r="107" spans="1:15" s="272" customFormat="1" ht="13.5" thickBot="1" x14ac:dyDescent="0.25">
      <c r="E107" s="272" t="s">
        <v>1</v>
      </c>
      <c r="F107" s="272" t="s">
        <v>2</v>
      </c>
      <c r="G107" s="281" t="s">
        <v>509</v>
      </c>
      <c r="H107" s="272" t="s">
        <v>510</v>
      </c>
      <c r="N107" s="522"/>
      <c r="O107" s="494"/>
    </row>
    <row r="108" spans="1:15" ht="27" x14ac:dyDescent="0.2">
      <c r="A108" s="276" t="s">
        <v>424</v>
      </c>
      <c r="B108" s="277" t="s">
        <v>432</v>
      </c>
      <c r="C108" s="278" t="s">
        <v>426</v>
      </c>
      <c r="D108" s="277" t="s">
        <v>498</v>
      </c>
      <c r="E108" s="279" t="s">
        <v>508</v>
      </c>
      <c r="F108" s="279" t="s">
        <v>495</v>
      </c>
      <c r="G108" s="279" t="s">
        <v>496</v>
      </c>
      <c r="H108" s="280" t="s">
        <v>507</v>
      </c>
    </row>
    <row r="109" spans="1:15" x14ac:dyDescent="0.2">
      <c r="A109" s="271">
        <v>13</v>
      </c>
      <c r="B109" s="4" t="s">
        <v>419</v>
      </c>
      <c r="C109" s="273" t="s">
        <v>420</v>
      </c>
      <c r="D109" s="4" t="s">
        <v>425</v>
      </c>
      <c r="E109" s="274">
        <v>2</v>
      </c>
      <c r="F109" s="251">
        <v>2465.2199999999998</v>
      </c>
      <c r="G109" s="251">
        <f>F109*E109</f>
        <v>4930.4399999999996</v>
      </c>
      <c r="H109" s="251">
        <f>G109*4</f>
        <v>19721.759999999998</v>
      </c>
    </row>
    <row r="110" spans="1:15" ht="27" x14ac:dyDescent="0.2">
      <c r="A110" s="137">
        <v>7</v>
      </c>
      <c r="B110" s="119" t="s">
        <v>147</v>
      </c>
      <c r="C110" s="142" t="s">
        <v>411</v>
      </c>
      <c r="D110" s="119" t="s">
        <v>425</v>
      </c>
      <c r="E110" s="137">
        <v>1</v>
      </c>
      <c r="F110" s="251">
        <v>2446.89</v>
      </c>
      <c r="G110" s="251">
        <f>F110*E110</f>
        <v>2446.89</v>
      </c>
      <c r="H110" s="251">
        <f>G110*4</f>
        <v>9787.56</v>
      </c>
    </row>
    <row r="111" spans="1:15" ht="40.5" x14ac:dyDescent="0.2">
      <c r="A111" s="137">
        <v>25</v>
      </c>
      <c r="B111" s="119" t="s">
        <v>460</v>
      </c>
      <c r="C111" s="119" t="s">
        <v>506</v>
      </c>
      <c r="D111" s="119" t="s">
        <v>439</v>
      </c>
      <c r="E111" s="274">
        <v>1</v>
      </c>
      <c r="F111" s="251">
        <v>2537.42</v>
      </c>
      <c r="G111" s="251">
        <f>F111*E111</f>
        <v>2537.42</v>
      </c>
      <c r="H111" s="251">
        <f>G111*4</f>
        <v>10149.68</v>
      </c>
    </row>
    <row r="112" spans="1:15" ht="13.5" x14ac:dyDescent="0.2">
      <c r="A112" s="137">
        <v>14</v>
      </c>
      <c r="B112" s="119" t="s">
        <v>139</v>
      </c>
      <c r="C112" s="119" t="s">
        <v>423</v>
      </c>
      <c r="D112" s="119" t="s">
        <v>439</v>
      </c>
      <c r="E112" s="274">
        <v>2</v>
      </c>
      <c r="F112" s="251">
        <f>(H61-H60)</f>
        <v>138.21</v>
      </c>
      <c r="G112" s="251">
        <f>F112*E112</f>
        <v>276.42</v>
      </c>
      <c r="H112" s="251">
        <f>G112*4</f>
        <v>1105.68</v>
      </c>
    </row>
    <row r="113" spans="1:8" ht="13.5" x14ac:dyDescent="0.2">
      <c r="A113" s="137">
        <v>19</v>
      </c>
      <c r="B113" s="119" t="s">
        <v>148</v>
      </c>
      <c r="C113" s="119" t="s">
        <v>414</v>
      </c>
      <c r="D113" s="119" t="s">
        <v>425</v>
      </c>
      <c r="E113" s="274">
        <v>1</v>
      </c>
      <c r="F113" s="251">
        <v>2441.75</v>
      </c>
      <c r="G113" s="251">
        <f>F113*E113</f>
        <v>2441.75</v>
      </c>
      <c r="H113" s="251">
        <f>G113*4</f>
        <v>9767</v>
      </c>
    </row>
    <row r="114" spans="1:8" x14ac:dyDescent="0.2">
      <c r="F114" s="145"/>
    </row>
    <row r="115" spans="1:8" x14ac:dyDescent="0.2">
      <c r="F115" s="145"/>
    </row>
  </sheetData>
  <mergeCells count="51">
    <mergeCell ref="B94:B95"/>
    <mergeCell ref="C94:C95"/>
    <mergeCell ref="B81:B82"/>
    <mergeCell ref="A70:A71"/>
    <mergeCell ref="B70:B71"/>
    <mergeCell ref="A81:A82"/>
    <mergeCell ref="B77:B78"/>
    <mergeCell ref="C77:C78"/>
    <mergeCell ref="A77:A78"/>
    <mergeCell ref="B79:B80"/>
    <mergeCell ref="A87:A88"/>
    <mergeCell ref="B87:B88"/>
    <mergeCell ref="A83:A84"/>
    <mergeCell ref="A85:A86"/>
    <mergeCell ref="B83:B84"/>
    <mergeCell ref="B85:B86"/>
    <mergeCell ref="A96:D96"/>
    <mergeCell ref="A68:A69"/>
    <mergeCell ref="B68:B69"/>
    <mergeCell ref="C68:C69"/>
    <mergeCell ref="A55:A56"/>
    <mergeCell ref="B55:B56"/>
    <mergeCell ref="C55:C56"/>
    <mergeCell ref="A58:A59"/>
    <mergeCell ref="B58:B59"/>
    <mergeCell ref="C58:C59"/>
    <mergeCell ref="A72:A73"/>
    <mergeCell ref="B72:B73"/>
    <mergeCell ref="C72:C73"/>
    <mergeCell ref="C70:C71"/>
    <mergeCell ref="A66:A67"/>
    <mergeCell ref="B66:B67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C60:C61"/>
    <mergeCell ref="C66:C67"/>
    <mergeCell ref="A63:A64"/>
    <mergeCell ref="B63:B64"/>
    <mergeCell ref="C63:C64"/>
    <mergeCell ref="A52:A53"/>
    <mergeCell ref="B52:B53"/>
    <mergeCell ref="C52:C53"/>
    <mergeCell ref="A60:A61"/>
    <mergeCell ref="B60:B61"/>
  </mergeCells>
  <pageMargins left="0.25" right="0.25" top="0.75" bottom="0.75" header="0.3" footer="0.3"/>
  <pageSetup scale="63" fitToHeight="0" orientation="landscape" r:id="rId1"/>
  <colBreaks count="1" manualBreakCount="1">
    <brk id="7" max="8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F147"/>
  <sheetViews>
    <sheetView view="pageBreakPreview" topLeftCell="A97" zoomScaleNormal="85" zoomScaleSheetLayoutView="100" workbookViewId="0">
      <selection activeCell="D134" sqref="D134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205" customWidth="1"/>
    <col min="4" max="4" width="22.85546875" style="206" customWidth="1"/>
    <col min="5" max="5" width="25.5703125" style="128" bestFit="1" customWidth="1"/>
    <col min="6" max="6" width="9.28515625" style="37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30" t="s">
        <v>143</v>
      </c>
    </row>
    <row r="5" spans="1:4" x14ac:dyDescent="0.2">
      <c r="A5" s="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3" t="s">
        <v>1</v>
      </c>
      <c r="B8" s="4" t="s">
        <v>5</v>
      </c>
      <c r="C8" s="734"/>
      <c r="D8" s="733"/>
    </row>
    <row r="9" spans="1:4" x14ac:dyDescent="0.2">
      <c r="A9" s="3" t="s">
        <v>2</v>
      </c>
      <c r="B9" s="4" t="s">
        <v>114</v>
      </c>
      <c r="C9" s="735" t="s">
        <v>115</v>
      </c>
      <c r="D9" s="735"/>
    </row>
    <row r="10" spans="1:4" x14ac:dyDescent="0.2">
      <c r="A10" s="3" t="s">
        <v>4</v>
      </c>
      <c r="B10" s="4" t="s">
        <v>6</v>
      </c>
      <c r="C10" s="734">
        <v>40909</v>
      </c>
      <c r="D10" s="733"/>
    </row>
    <row r="11" spans="1:4" x14ac:dyDescent="0.2">
      <c r="A11" s="3" t="s">
        <v>3</v>
      </c>
      <c r="B11" s="4" t="s">
        <v>7</v>
      </c>
      <c r="C11" s="732" t="s">
        <v>141</v>
      </c>
      <c r="D11" s="733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732" t="s">
        <v>113</v>
      </c>
      <c r="D14" s="733"/>
    </row>
    <row r="15" spans="1:4" x14ac:dyDescent="0.2">
      <c r="A15" s="658" t="s">
        <v>129</v>
      </c>
      <c r="B15" s="658"/>
      <c r="C15" s="732" t="s">
        <v>142</v>
      </c>
      <c r="D15" s="733"/>
    </row>
    <row r="16" spans="1:4" x14ac:dyDescent="0.2">
      <c r="A16" s="658" t="s">
        <v>10</v>
      </c>
      <c r="B16" s="658"/>
      <c r="C16" s="733">
        <v>30</v>
      </c>
      <c r="D16" s="733"/>
    </row>
    <row r="17" spans="1:5" x14ac:dyDescent="0.2">
      <c r="A17" s="659" t="s">
        <v>253</v>
      </c>
      <c r="B17" s="660"/>
      <c r="C17" s="733" t="s">
        <v>254</v>
      </c>
      <c r="D17" s="733"/>
    </row>
    <row r="18" spans="1:5" x14ac:dyDescent="0.2">
      <c r="A18" s="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3">
        <v>1</v>
      </c>
      <c r="B22" s="4" t="s">
        <v>131</v>
      </c>
      <c r="C22" s="732" t="s">
        <v>145</v>
      </c>
      <c r="D22" s="733"/>
    </row>
    <row r="23" spans="1:5" x14ac:dyDescent="0.2">
      <c r="A23" s="14">
        <v>2</v>
      </c>
      <c r="B23" s="368" t="s">
        <v>14</v>
      </c>
      <c r="C23" s="666">
        <f>'REPACTUAÇÃO 2014'!F5</f>
        <v>950</v>
      </c>
      <c r="D23" s="666"/>
      <c r="E23" s="369">
        <v>714</v>
      </c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>
        <v>714</v>
      </c>
    </row>
    <row r="30" spans="1:5" x14ac:dyDescent="0.2">
      <c r="A30" s="14" t="s">
        <v>2</v>
      </c>
      <c r="B30" s="368" t="s">
        <v>23</v>
      </c>
      <c r="C30" s="380"/>
      <c r="D30" s="378"/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426">
        <f>D29*3.6316%</f>
        <v>34.5</v>
      </c>
      <c r="E38" s="387" t="s">
        <v>489</v>
      </c>
    </row>
    <row r="39" spans="1:5" x14ac:dyDescent="0.2">
      <c r="A39" s="672" t="s">
        <v>30</v>
      </c>
      <c r="B39" s="673"/>
      <c r="C39" s="377"/>
      <c r="D39" s="388">
        <f>ROUND(SUM(D29:D38),2)</f>
        <v>984.5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3.3</v>
      </c>
      <c r="D43" s="378">
        <f>ROUND((C43*44)-(D29*6%),2)</f>
        <v>88.2</v>
      </c>
      <c r="E43" s="394">
        <v>2.5</v>
      </c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>
        <v>199.5</v>
      </c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>
        <v>31.8</v>
      </c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>
        <v>10.85</v>
      </c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>
        <v>8.75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386.2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00" t="s">
        <v>37</v>
      </c>
      <c r="C54" s="399"/>
      <c r="D54" s="297">
        <f>'REPACTUAÇÃO 2014'!F30</f>
        <v>338.34</v>
      </c>
      <c r="E54" s="396">
        <v>255.48</v>
      </c>
    </row>
    <row r="55" spans="1:5" x14ac:dyDescent="0.2">
      <c r="A55" s="14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  <c r="E55" s="369"/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209" t="s">
        <v>97</v>
      </c>
      <c r="D60" s="210" t="s">
        <v>98</v>
      </c>
    </row>
    <row r="61" spans="1:5" x14ac:dyDescent="0.2">
      <c r="A61" s="85" t="s">
        <v>1</v>
      </c>
      <c r="B61" s="7" t="s">
        <v>40</v>
      </c>
      <c r="C61" s="216">
        <v>0.2</v>
      </c>
      <c r="D61" s="212">
        <f>ROUND($D$39*C61,2)</f>
        <v>196.9</v>
      </c>
    </row>
    <row r="62" spans="1:5" x14ac:dyDescent="0.2">
      <c r="A62" s="85" t="s">
        <v>2</v>
      </c>
      <c r="B62" s="7" t="s">
        <v>41</v>
      </c>
      <c r="C62" s="216">
        <v>1.4999999999999999E-2</v>
      </c>
      <c r="D62" s="212">
        <f>ROUND($D$39*C62,2)</f>
        <v>14.77</v>
      </c>
    </row>
    <row r="63" spans="1:5" x14ac:dyDescent="0.2">
      <c r="A63" s="85" t="s">
        <v>4</v>
      </c>
      <c r="B63" s="7" t="s">
        <v>123</v>
      </c>
      <c r="C63" s="216">
        <v>0.01</v>
      </c>
      <c r="D63" s="212">
        <f t="shared" ref="D63:D68" si="0">ROUND($D$39*C63,2)</f>
        <v>9.85</v>
      </c>
    </row>
    <row r="64" spans="1:5" x14ac:dyDescent="0.2">
      <c r="A64" s="85" t="s">
        <v>3</v>
      </c>
      <c r="B64" s="7" t="s">
        <v>42</v>
      </c>
      <c r="C64" s="216">
        <v>2E-3</v>
      </c>
      <c r="D64" s="212">
        <f t="shared" si="0"/>
        <v>1.97</v>
      </c>
    </row>
    <row r="65" spans="1:6" x14ac:dyDescent="0.2">
      <c r="A65" s="85" t="s">
        <v>18</v>
      </c>
      <c r="B65" s="7" t="s">
        <v>43</v>
      </c>
      <c r="C65" s="216">
        <v>2.5000000000000001E-2</v>
      </c>
      <c r="D65" s="212">
        <f t="shared" si="0"/>
        <v>24.61</v>
      </c>
    </row>
    <row r="66" spans="1:6" x14ac:dyDescent="0.2">
      <c r="A66" s="85" t="s">
        <v>19</v>
      </c>
      <c r="B66" s="7" t="s">
        <v>44</v>
      </c>
      <c r="C66" s="216">
        <v>0.08</v>
      </c>
      <c r="D66" s="212">
        <f t="shared" si="0"/>
        <v>78.760000000000005</v>
      </c>
    </row>
    <row r="67" spans="1:6" x14ac:dyDescent="0.2">
      <c r="A67" s="85" t="s">
        <v>20</v>
      </c>
      <c r="B67" s="7" t="s">
        <v>124</v>
      </c>
      <c r="C67" s="216">
        <f>2%*F71</f>
        <v>0.03</v>
      </c>
      <c r="D67" s="212">
        <f t="shared" si="0"/>
        <v>29.54</v>
      </c>
    </row>
    <row r="68" spans="1:6" x14ac:dyDescent="0.2">
      <c r="A68" s="85" t="s">
        <v>21</v>
      </c>
      <c r="B68" s="7" t="s">
        <v>45</v>
      </c>
      <c r="C68" s="216">
        <v>6.0000000000000001E-3</v>
      </c>
      <c r="D68" s="212">
        <f t="shared" si="0"/>
        <v>5.91</v>
      </c>
    </row>
    <row r="69" spans="1:6" x14ac:dyDescent="0.2">
      <c r="A69" s="677" t="s">
        <v>51</v>
      </c>
      <c r="B69" s="736"/>
      <c r="C69" s="218">
        <f>SUM(C61:C68)</f>
        <v>0.36799999999999999</v>
      </c>
      <c r="D69" s="215">
        <f>ROUND(SUM(D61:D68),2)</f>
        <v>362.31</v>
      </c>
    </row>
    <row r="70" spans="1:6" x14ac:dyDescent="0.2">
      <c r="A70" s="30"/>
      <c r="B70" s="30"/>
    </row>
    <row r="71" spans="1:6" x14ac:dyDescent="0.2">
      <c r="A71" s="665" t="s">
        <v>103</v>
      </c>
      <c r="B71" s="665"/>
      <c r="C71" s="209" t="s">
        <v>97</v>
      </c>
      <c r="D71" s="210" t="s">
        <v>98</v>
      </c>
      <c r="E71" s="128" t="s">
        <v>125</v>
      </c>
      <c r="F71" s="38">
        <v>1.5</v>
      </c>
    </row>
    <row r="72" spans="1:6" x14ac:dyDescent="0.2">
      <c r="A72" s="85" t="s">
        <v>1</v>
      </c>
      <c r="B72" s="7" t="s">
        <v>47</v>
      </c>
      <c r="C72" s="216">
        <v>8.3299999999999999E-2</v>
      </c>
      <c r="D72" s="212">
        <f>ROUND($D$39*C72,2)</f>
        <v>82.01</v>
      </c>
    </row>
    <row r="73" spans="1:6" x14ac:dyDescent="0.2">
      <c r="A73" s="85" t="s">
        <v>2</v>
      </c>
      <c r="B73" s="7" t="s">
        <v>48</v>
      </c>
      <c r="C73" s="216">
        <f>C88/3</f>
        <v>2.7799999999999998E-2</v>
      </c>
      <c r="D73" s="212">
        <f>ROUND($D$39*C73,2)</f>
        <v>27.37</v>
      </c>
    </row>
    <row r="74" spans="1:6" x14ac:dyDescent="0.2">
      <c r="A74" s="655" t="s">
        <v>49</v>
      </c>
      <c r="B74" s="655"/>
      <c r="C74" s="218">
        <f>SUM(C72:C73)</f>
        <v>0.1111</v>
      </c>
      <c r="D74" s="215">
        <f>ROUND(SUM(D72:D73),2)</f>
        <v>109.38</v>
      </c>
    </row>
    <row r="75" spans="1:6" x14ac:dyDescent="0.2">
      <c r="A75" s="85" t="s">
        <v>4</v>
      </c>
      <c r="B75" s="7" t="s">
        <v>50</v>
      </c>
      <c r="C75" s="216">
        <f>C69*C74</f>
        <v>4.0899999999999999E-2</v>
      </c>
      <c r="D75" s="212">
        <f>ROUND($D$39*C75,2)</f>
        <v>40.270000000000003</v>
      </c>
    </row>
    <row r="76" spans="1:6" x14ac:dyDescent="0.2">
      <c r="A76" s="655" t="s">
        <v>46</v>
      </c>
      <c r="B76" s="655"/>
      <c r="C76" s="218">
        <f>C75+C74</f>
        <v>0.152</v>
      </c>
      <c r="D76" s="215">
        <f>ROUND(D75+D74,2)</f>
        <v>149.65</v>
      </c>
    </row>
    <row r="77" spans="1:6" x14ac:dyDescent="0.2">
      <c r="A77" s="30"/>
      <c r="B77" s="30"/>
      <c r="E77" s="199"/>
    </row>
    <row r="78" spans="1:6" x14ac:dyDescent="0.2">
      <c r="A78" s="662" t="s">
        <v>356</v>
      </c>
      <c r="B78" s="664"/>
      <c r="C78" s="209" t="s">
        <v>97</v>
      </c>
      <c r="D78" s="210" t="s">
        <v>98</v>
      </c>
    </row>
    <row r="79" spans="1:6" x14ac:dyDescent="0.2">
      <c r="A79" s="85" t="s">
        <v>1</v>
      </c>
      <c r="B79" s="7" t="s">
        <v>52</v>
      </c>
      <c r="C79" s="216">
        <v>1.6999999999999999E-3</v>
      </c>
      <c r="D79" s="212">
        <f t="shared" ref="D79:D84" si="1">ROUND($D$39*C79,2)</f>
        <v>1.67</v>
      </c>
    </row>
    <row r="80" spans="1:6" x14ac:dyDescent="0.2">
      <c r="A80" s="85" t="s">
        <v>2</v>
      </c>
      <c r="B80" s="7" t="s">
        <v>53</v>
      </c>
      <c r="C80" s="216">
        <f>C66*C79</f>
        <v>1E-4</v>
      </c>
      <c r="D80" s="212">
        <f t="shared" si="1"/>
        <v>0.1</v>
      </c>
    </row>
    <row r="81" spans="1:5" x14ac:dyDescent="0.2">
      <c r="A81" s="85" t="s">
        <v>4</v>
      </c>
      <c r="B81" s="7" t="s">
        <v>54</v>
      </c>
      <c r="C81" s="216">
        <f>C66*10%</f>
        <v>8.0000000000000002E-3</v>
      </c>
      <c r="D81" s="212">
        <f t="shared" si="1"/>
        <v>7.88</v>
      </c>
    </row>
    <row r="82" spans="1:5" x14ac:dyDescent="0.2">
      <c r="A82" s="3" t="s">
        <v>3</v>
      </c>
      <c r="B82" s="4" t="s">
        <v>55</v>
      </c>
      <c r="C82" s="216">
        <v>1.9400000000000001E-2</v>
      </c>
      <c r="D82" s="212">
        <f t="shared" si="1"/>
        <v>19.100000000000001</v>
      </c>
    </row>
    <row r="83" spans="1:5" x14ac:dyDescent="0.2">
      <c r="A83" s="3" t="s">
        <v>18</v>
      </c>
      <c r="B83" s="4" t="s">
        <v>56</v>
      </c>
      <c r="C83" s="216">
        <f>C69*C82</f>
        <v>7.1000000000000004E-3</v>
      </c>
      <c r="D83" s="212">
        <f t="shared" si="1"/>
        <v>6.99</v>
      </c>
    </row>
    <row r="84" spans="1:5" x14ac:dyDescent="0.2">
      <c r="A84" s="3" t="s">
        <v>19</v>
      </c>
      <c r="B84" s="4" t="s">
        <v>57</v>
      </c>
      <c r="C84" s="216">
        <v>4.4200000000000003E-2</v>
      </c>
      <c r="D84" s="212">
        <f t="shared" si="1"/>
        <v>43.51</v>
      </c>
    </row>
    <row r="85" spans="1:5" x14ac:dyDescent="0.2">
      <c r="A85" s="655" t="s">
        <v>46</v>
      </c>
      <c r="B85" s="655"/>
      <c r="C85" s="218">
        <f>SUM(C79:C84)</f>
        <v>8.0500000000000002E-2</v>
      </c>
      <c r="D85" s="215">
        <f>ROUND(SUM(D79:D84),2)</f>
        <v>79.25</v>
      </c>
    </row>
    <row r="86" spans="1:5" x14ac:dyDescent="0.2">
      <c r="E86" s="199"/>
    </row>
    <row r="87" spans="1:5" x14ac:dyDescent="0.2">
      <c r="A87" s="662" t="s">
        <v>357</v>
      </c>
      <c r="B87" s="664"/>
      <c r="C87" s="209" t="s">
        <v>97</v>
      </c>
      <c r="D87" s="210" t="s">
        <v>98</v>
      </c>
      <c r="E87" s="199"/>
    </row>
    <row r="88" spans="1:5" x14ac:dyDescent="0.2">
      <c r="A88" s="3" t="s">
        <v>1</v>
      </c>
      <c r="B88" s="4" t="s">
        <v>58</v>
      </c>
      <c r="C88" s="216">
        <v>8.3299999999999999E-2</v>
      </c>
      <c r="D88" s="212">
        <f t="shared" ref="D88:D95" si="2">ROUND($D$39*C88,2)</f>
        <v>82.01</v>
      </c>
      <c r="E88" s="199"/>
    </row>
    <row r="89" spans="1:5" x14ac:dyDescent="0.2">
      <c r="A89" s="3" t="s">
        <v>2</v>
      </c>
      <c r="B89" s="4" t="s">
        <v>59</v>
      </c>
      <c r="C89" s="216">
        <v>5.5999999999999999E-3</v>
      </c>
      <c r="D89" s="212">
        <f t="shared" si="2"/>
        <v>5.51</v>
      </c>
    </row>
    <row r="90" spans="1:5" x14ac:dyDescent="0.2">
      <c r="A90" s="3" t="s">
        <v>4</v>
      </c>
      <c r="B90" s="7" t="s">
        <v>360</v>
      </c>
      <c r="C90" s="216">
        <v>6.9999999999999999E-4</v>
      </c>
      <c r="D90" s="212">
        <f t="shared" si="2"/>
        <v>0.69</v>
      </c>
    </row>
    <row r="91" spans="1:5" x14ac:dyDescent="0.2">
      <c r="A91" s="3" t="s">
        <v>3</v>
      </c>
      <c r="B91" s="4" t="s">
        <v>60</v>
      </c>
      <c r="C91" s="216">
        <v>2.8E-3</v>
      </c>
      <c r="D91" s="212">
        <f t="shared" si="2"/>
        <v>2.76</v>
      </c>
    </row>
    <row r="92" spans="1:5" x14ac:dyDescent="0.2">
      <c r="A92" s="3" t="s">
        <v>18</v>
      </c>
      <c r="B92" s="4" t="s">
        <v>61</v>
      </c>
      <c r="C92" s="216">
        <v>8.0000000000000004E-4</v>
      </c>
      <c r="D92" s="212">
        <f t="shared" si="2"/>
        <v>0.79</v>
      </c>
    </row>
    <row r="93" spans="1:5" x14ac:dyDescent="0.2">
      <c r="A93" s="3" t="s">
        <v>19</v>
      </c>
      <c r="B93" s="7" t="s">
        <v>367</v>
      </c>
      <c r="C93" s="216">
        <v>2.0000000000000001E-4</v>
      </c>
      <c r="D93" s="212">
        <f t="shared" si="2"/>
        <v>0.2</v>
      </c>
    </row>
    <row r="94" spans="1:5" x14ac:dyDescent="0.2">
      <c r="A94" s="655" t="s">
        <v>49</v>
      </c>
      <c r="B94" s="655"/>
      <c r="C94" s="218">
        <f>SUM(C88:C93)</f>
        <v>9.3399999999999997E-2</v>
      </c>
      <c r="D94" s="215">
        <f t="shared" si="2"/>
        <v>91.95</v>
      </c>
    </row>
    <row r="95" spans="1:5" x14ac:dyDescent="0.2">
      <c r="A95" s="3" t="s">
        <v>20</v>
      </c>
      <c r="B95" s="4" t="s">
        <v>104</v>
      </c>
      <c r="C95" s="216">
        <f>C69*C94</f>
        <v>3.44E-2</v>
      </c>
      <c r="D95" s="212">
        <f t="shared" si="2"/>
        <v>33.869999999999997</v>
      </c>
    </row>
    <row r="96" spans="1:5" x14ac:dyDescent="0.2">
      <c r="A96" s="655" t="s">
        <v>46</v>
      </c>
      <c r="B96" s="655"/>
      <c r="C96" s="218">
        <f>C95+C94</f>
        <v>0.1278</v>
      </c>
      <c r="D96" s="215">
        <f>ROUND(D95+D94,2)</f>
        <v>125.82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5">
        <v>4</v>
      </c>
      <c r="B99" s="665" t="s">
        <v>68</v>
      </c>
      <c r="C99" s="665"/>
      <c r="D99" s="210" t="s">
        <v>98</v>
      </c>
    </row>
    <row r="100" spans="1:5" x14ac:dyDescent="0.2">
      <c r="A100" s="3" t="s">
        <v>63</v>
      </c>
      <c r="B100" s="25" t="s">
        <v>69</v>
      </c>
      <c r="C100" s="219">
        <f>C76</f>
        <v>0.152</v>
      </c>
      <c r="D100" s="212">
        <f>ROUND($D$39*C100,2)</f>
        <v>149.63999999999999</v>
      </c>
      <c r="E100" s="199"/>
    </row>
    <row r="101" spans="1:5" x14ac:dyDescent="0.2">
      <c r="A101" s="3" t="s">
        <v>64</v>
      </c>
      <c r="B101" s="25" t="s">
        <v>126</v>
      </c>
      <c r="C101" s="219">
        <f>C69</f>
        <v>0.36799999999999999</v>
      </c>
      <c r="D101" s="212">
        <f>ROUND($D$39*C101,2)</f>
        <v>362.3</v>
      </c>
    </row>
    <row r="102" spans="1:5" x14ac:dyDescent="0.2">
      <c r="A102" s="85" t="s">
        <v>65</v>
      </c>
      <c r="B102" s="25" t="s">
        <v>70</v>
      </c>
      <c r="C102" s="219">
        <f>C85</f>
        <v>8.0500000000000002E-2</v>
      </c>
      <c r="D102" s="212">
        <f>ROUND($D$39*C102,2)</f>
        <v>79.25</v>
      </c>
    </row>
    <row r="103" spans="1:5" x14ac:dyDescent="0.2">
      <c r="A103" s="85" t="s">
        <v>66</v>
      </c>
      <c r="B103" s="25" t="s">
        <v>71</v>
      </c>
      <c r="C103" s="219">
        <f>C96</f>
        <v>0.1278</v>
      </c>
      <c r="D103" s="212">
        <f>ROUND($D$39*C103,2)</f>
        <v>125.82</v>
      </c>
    </row>
    <row r="104" spans="1:5" x14ac:dyDescent="0.2">
      <c r="A104" s="85" t="s">
        <v>67</v>
      </c>
      <c r="B104" s="25" t="s">
        <v>29</v>
      </c>
      <c r="C104" s="220"/>
      <c r="D104" s="212"/>
    </row>
    <row r="105" spans="1:5" x14ac:dyDescent="0.2">
      <c r="A105" s="3"/>
      <c r="B105" s="15" t="s">
        <v>46</v>
      </c>
      <c r="C105" s="221">
        <f>SUM(C100:C104)</f>
        <v>0.72829999999999995</v>
      </c>
      <c r="D105" s="215">
        <f>ROUND($D$39*C105,2)</f>
        <v>717.01</v>
      </c>
    </row>
    <row r="106" spans="1:5" x14ac:dyDescent="0.2">
      <c r="D106" s="222">
        <f>ROUND(D105+D57+D49+D39,2)</f>
        <v>2497.4299999999998</v>
      </c>
    </row>
    <row r="107" spans="1:5" x14ac:dyDescent="0.2">
      <c r="A107" s="5">
        <v>5</v>
      </c>
      <c r="B107" s="6" t="s">
        <v>72</v>
      </c>
      <c r="C107" s="209" t="s">
        <v>97</v>
      </c>
      <c r="D107" s="210" t="s">
        <v>98</v>
      </c>
      <c r="E107" s="199"/>
    </row>
    <row r="108" spans="1:5" x14ac:dyDescent="0.2">
      <c r="A108" s="3" t="s">
        <v>1</v>
      </c>
      <c r="B108" s="4" t="s">
        <v>73</v>
      </c>
      <c r="C108" s="216">
        <v>1.5599999999999999E-2</v>
      </c>
      <c r="D108" s="212">
        <f>ROUND($D$106*C108,2)</f>
        <v>38.96</v>
      </c>
    </row>
    <row r="109" spans="1:5" x14ac:dyDescent="0.2">
      <c r="A109" s="3" t="s">
        <v>2</v>
      </c>
      <c r="B109" s="4" t="s">
        <v>74</v>
      </c>
      <c r="C109" s="216"/>
      <c r="D109" s="212"/>
      <c r="E109" s="198"/>
    </row>
    <row r="110" spans="1:5" x14ac:dyDescent="0.2">
      <c r="A110" s="14" t="s">
        <v>105</v>
      </c>
      <c r="B110" s="4" t="s">
        <v>75</v>
      </c>
      <c r="C110" s="216">
        <v>0</v>
      </c>
      <c r="D110" s="212">
        <v>0</v>
      </c>
    </row>
    <row r="111" spans="1:5" x14ac:dyDescent="0.2">
      <c r="A111" s="14" t="s">
        <v>106</v>
      </c>
      <c r="B111" s="4" t="s">
        <v>76</v>
      </c>
      <c r="C111" s="216">
        <v>0</v>
      </c>
      <c r="D111" s="212">
        <v>0</v>
      </c>
    </row>
    <row r="112" spans="1:5" x14ac:dyDescent="0.2">
      <c r="A112" s="14" t="s">
        <v>107</v>
      </c>
      <c r="B112" s="4" t="s">
        <v>77</v>
      </c>
      <c r="C112" s="216">
        <v>1.6500000000000001E-2</v>
      </c>
      <c r="D112" s="212">
        <f>ROUND($F$115*C112,2)</f>
        <v>47.9</v>
      </c>
    </row>
    <row r="113" spans="1:6" x14ac:dyDescent="0.2">
      <c r="A113" s="14" t="s">
        <v>108</v>
      </c>
      <c r="B113" s="4" t="s">
        <v>78</v>
      </c>
      <c r="C113" s="216">
        <v>7.5999999999999998E-2</v>
      </c>
      <c r="D113" s="212">
        <f>ROUND($F$115*C113,2)</f>
        <v>220.62</v>
      </c>
      <c r="F113" s="39">
        <f>SUM(C110:C114)</f>
        <v>0.11749999999999999</v>
      </c>
    </row>
    <row r="114" spans="1:6" x14ac:dyDescent="0.2">
      <c r="A114" s="14" t="s">
        <v>109</v>
      </c>
      <c r="B114" s="4" t="s">
        <v>79</v>
      </c>
      <c r="C114" s="223">
        <v>2.5000000000000001E-2</v>
      </c>
      <c r="D114" s="212">
        <f>ROUND($F$115*C114,2)</f>
        <v>72.569999999999993</v>
      </c>
      <c r="F114" s="40">
        <f>ROUND(D115+D108+D106,2)</f>
        <v>2561.75</v>
      </c>
    </row>
    <row r="115" spans="1:6" x14ac:dyDescent="0.2">
      <c r="A115" s="3" t="s">
        <v>4</v>
      </c>
      <c r="B115" s="4" t="s">
        <v>80</v>
      </c>
      <c r="C115" s="216">
        <v>0.01</v>
      </c>
      <c r="D115" s="212">
        <f>ROUND(($D$106+D108)*C115,2)</f>
        <v>25.36</v>
      </c>
      <c r="F115" s="41">
        <f>ROUND(F114/(1-F113),2)</f>
        <v>2902.83</v>
      </c>
    </row>
    <row r="116" spans="1:6" x14ac:dyDescent="0.2">
      <c r="A116" s="677" t="s">
        <v>46</v>
      </c>
      <c r="B116" s="682"/>
      <c r="C116" s="678"/>
      <c r="D116" s="215">
        <f>ROUND(SUM(D108:D115),2)</f>
        <v>405.41</v>
      </c>
    </row>
    <row r="117" spans="1:6" x14ac:dyDescent="0.2">
      <c r="D117" s="222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3" t="s">
        <v>1</v>
      </c>
      <c r="B120" s="658" t="s">
        <v>83</v>
      </c>
      <c r="C120" s="658"/>
      <c r="D120" s="212">
        <f>D39</f>
        <v>984.5</v>
      </c>
    </row>
    <row r="121" spans="1:6" x14ac:dyDescent="0.2">
      <c r="A121" s="3" t="s">
        <v>2</v>
      </c>
      <c r="B121" s="658" t="s">
        <v>84</v>
      </c>
      <c r="C121" s="658"/>
      <c r="D121" s="212">
        <f>D49</f>
        <v>386.2</v>
      </c>
    </row>
    <row r="122" spans="1:6" x14ac:dyDescent="0.2">
      <c r="A122" s="3" t="s">
        <v>4</v>
      </c>
      <c r="B122" s="658" t="s">
        <v>85</v>
      </c>
      <c r="C122" s="658"/>
      <c r="D122" s="212">
        <f>D57</f>
        <v>409.72</v>
      </c>
    </row>
    <row r="123" spans="1:6" x14ac:dyDescent="0.2">
      <c r="A123" s="3" t="s">
        <v>3</v>
      </c>
      <c r="B123" s="658" t="s">
        <v>127</v>
      </c>
      <c r="C123" s="658"/>
      <c r="D123" s="212">
        <f>D105</f>
        <v>717.01</v>
      </c>
    </row>
    <row r="124" spans="1:6" x14ac:dyDescent="0.2">
      <c r="A124" s="655" t="s">
        <v>49</v>
      </c>
      <c r="B124" s="655"/>
      <c r="C124" s="655"/>
      <c r="D124" s="215">
        <f>ROUND(SUM(D120:D123),2)</f>
        <v>2497.4299999999998</v>
      </c>
    </row>
    <row r="125" spans="1:6" x14ac:dyDescent="0.2">
      <c r="A125" s="3" t="s">
        <v>18</v>
      </c>
      <c r="B125" s="683" t="s">
        <v>86</v>
      </c>
      <c r="C125" s="683"/>
      <c r="D125" s="212">
        <f>D116</f>
        <v>405.41</v>
      </c>
    </row>
    <row r="126" spans="1:6" x14ac:dyDescent="0.2">
      <c r="A126" s="655" t="s">
        <v>87</v>
      </c>
      <c r="B126" s="655"/>
      <c r="C126" s="655"/>
      <c r="D126" s="215">
        <f>ROUND(D125+D124,2)</f>
        <v>2902.84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212"/>
    </row>
    <row r="130" spans="1:5" x14ac:dyDescent="0.2">
      <c r="A130" s="658" t="s">
        <v>88</v>
      </c>
      <c r="B130" s="658"/>
      <c r="C130" s="658"/>
      <c r="D130" s="212">
        <f>D126</f>
        <v>2902.84</v>
      </c>
      <c r="E130" s="200"/>
    </row>
    <row r="131" spans="1:5" x14ac:dyDescent="0.2">
      <c r="A131" s="658" t="s">
        <v>89</v>
      </c>
      <c r="B131" s="658"/>
      <c r="C131" s="658"/>
      <c r="D131" s="212">
        <v>1</v>
      </c>
      <c r="E131" s="200"/>
    </row>
    <row r="132" spans="1:5" x14ac:dyDescent="0.2">
      <c r="A132" s="658" t="s">
        <v>90</v>
      </c>
      <c r="B132" s="658"/>
      <c r="C132" s="658"/>
      <c r="D132" s="212">
        <f>ROUND(D131*D130,2)</f>
        <v>2902.84</v>
      </c>
      <c r="E132" s="200"/>
    </row>
    <row r="133" spans="1:5" x14ac:dyDescent="0.2">
      <c r="A133" s="658" t="s">
        <v>91</v>
      </c>
      <c r="B133" s="658"/>
      <c r="C133" s="658"/>
      <c r="D133" s="212">
        <v>28</v>
      </c>
      <c r="E133" s="200"/>
    </row>
    <row r="134" spans="1:5" x14ac:dyDescent="0.2">
      <c r="A134" s="665" t="s">
        <v>92</v>
      </c>
      <c r="B134" s="665"/>
      <c r="C134" s="665"/>
      <c r="D134" s="215">
        <f>ROUND(D133*D132,2)</f>
        <v>81279.520000000004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3" t="s">
        <v>1</v>
      </c>
      <c r="B137" s="658" t="s">
        <v>93</v>
      </c>
      <c r="C137" s="658"/>
      <c r="D137" s="202">
        <f>D130</f>
        <v>2902.84</v>
      </c>
      <c r="E137" s="201">
        <v>2183.9299999999998</v>
      </c>
    </row>
    <row r="138" spans="1:5" x14ac:dyDescent="0.2">
      <c r="A138" s="3" t="s">
        <v>2</v>
      </c>
      <c r="B138" s="658" t="s">
        <v>94</v>
      </c>
      <c r="C138" s="658"/>
      <c r="D138" s="212">
        <f>D134</f>
        <v>81279.520000000004</v>
      </c>
    </row>
    <row r="139" spans="1:5" x14ac:dyDescent="0.2">
      <c r="A139" s="5" t="s">
        <v>4</v>
      </c>
      <c r="B139" s="665" t="s">
        <v>95</v>
      </c>
      <c r="C139" s="665"/>
      <c r="D139" s="215">
        <f>ROUND(D138*12,2)</f>
        <v>975354.24</v>
      </c>
      <c r="E139" s="225"/>
    </row>
    <row r="140" spans="1:5" x14ac:dyDescent="0.2">
      <c r="A140" s="1"/>
    </row>
    <row r="141" spans="1:5" x14ac:dyDescent="0.2">
      <c r="A141" s="1"/>
      <c r="D141" s="224">
        <v>864836.28</v>
      </c>
    </row>
    <row r="142" spans="1:5" x14ac:dyDescent="0.2">
      <c r="A142" s="731" t="s">
        <v>382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31:C131"/>
    <mergeCell ref="A124:C124"/>
    <mergeCell ref="B125:C125"/>
    <mergeCell ref="A126:C126"/>
    <mergeCell ref="A128:D128"/>
    <mergeCell ref="A129:C129"/>
    <mergeCell ref="A130:C130"/>
    <mergeCell ref="A132:C132"/>
    <mergeCell ref="B138:C138"/>
    <mergeCell ref="B139:C139"/>
    <mergeCell ref="A133:C133"/>
    <mergeCell ref="A134:C134"/>
    <mergeCell ref="A136:D136"/>
    <mergeCell ref="B137:C137"/>
    <mergeCell ref="B123:C123"/>
    <mergeCell ref="A116:C116"/>
    <mergeCell ref="A118:D118"/>
    <mergeCell ref="A119:D119"/>
    <mergeCell ref="B120:C120"/>
    <mergeCell ref="A96:B96"/>
    <mergeCell ref="A98:D98"/>
    <mergeCell ref="B99:C99"/>
    <mergeCell ref="B121:C121"/>
    <mergeCell ref="B122:C122"/>
    <mergeCell ref="A69:B69"/>
    <mergeCell ref="A74:B74"/>
    <mergeCell ref="A76:B76"/>
    <mergeCell ref="A71:B71"/>
    <mergeCell ref="A59:D59"/>
    <mergeCell ref="A19:D19"/>
    <mergeCell ref="A27:D27"/>
    <mergeCell ref="C26:D26"/>
    <mergeCell ref="A41:D41"/>
    <mergeCell ref="C25:D25"/>
    <mergeCell ref="A20:D20"/>
    <mergeCell ref="A21:D21"/>
    <mergeCell ref="A1:D1"/>
    <mergeCell ref="A7:D7"/>
    <mergeCell ref="C8:D8"/>
    <mergeCell ref="C9:D9"/>
    <mergeCell ref="C10:D10"/>
    <mergeCell ref="C14:D14"/>
    <mergeCell ref="A13:D13"/>
    <mergeCell ref="A14:B14"/>
    <mergeCell ref="C11:D11"/>
    <mergeCell ref="C17:D17"/>
    <mergeCell ref="A17:B17"/>
    <mergeCell ref="C16:D16"/>
    <mergeCell ref="A15:B15"/>
    <mergeCell ref="C15:D15"/>
    <mergeCell ref="A16:B16"/>
    <mergeCell ref="A147:B147"/>
    <mergeCell ref="A145:B145"/>
    <mergeCell ref="A146:B146"/>
    <mergeCell ref="A142:B142"/>
    <mergeCell ref="C22:D22"/>
    <mergeCell ref="C23:D23"/>
    <mergeCell ref="C24:D24"/>
    <mergeCell ref="A60:B60"/>
    <mergeCell ref="A51:D51"/>
    <mergeCell ref="A39:B39"/>
    <mergeCell ref="A49:B49"/>
    <mergeCell ref="A78:B78"/>
    <mergeCell ref="A85:B85"/>
    <mergeCell ref="A87:B87"/>
    <mergeCell ref="A94:B94"/>
    <mergeCell ref="A57:B57"/>
  </mergeCells>
  <phoneticPr fontId="2" type="noConversion"/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  <rowBreaks count="1" manualBreakCount="1">
    <brk id="141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417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134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6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  <c r="E23" s="369"/>
    </row>
    <row r="24" spans="1:5" x14ac:dyDescent="0.2">
      <c r="A24" s="370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370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415"/>
    </row>
    <row r="32" spans="1:5" x14ac:dyDescent="0.2">
      <c r="A32" s="370" t="s">
        <v>3</v>
      </c>
      <c r="B32" s="368" t="s">
        <v>25</v>
      </c>
      <c r="C32" s="382"/>
      <c r="D32" s="378"/>
      <c r="E32" s="416"/>
    </row>
    <row r="33" spans="1:5" x14ac:dyDescent="0.2">
      <c r="A33" s="370" t="s">
        <v>18</v>
      </c>
      <c r="B33" s="368" t="s">
        <v>26</v>
      </c>
      <c r="C33" s="382"/>
      <c r="D33" s="378"/>
      <c r="E33" s="416"/>
    </row>
    <row r="34" spans="1:5" x14ac:dyDescent="0.2">
      <c r="A34" s="370" t="s">
        <v>19</v>
      </c>
      <c r="B34" s="368" t="s">
        <v>27</v>
      </c>
      <c r="C34" s="377"/>
      <c r="D34" s="378"/>
      <c r="E34" s="415"/>
    </row>
    <row r="35" spans="1:5" x14ac:dyDescent="0.2">
      <c r="A35" s="370" t="s">
        <v>20</v>
      </c>
      <c r="B35" s="368" t="s">
        <v>28</v>
      </c>
      <c r="C35" s="382"/>
      <c r="D35" s="378"/>
      <c r="E35" s="416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  <c r="E39" s="369"/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3</v>
      </c>
      <c r="D43" s="378">
        <f>ROUND((C43*44)-(D29*6%),2)</f>
        <v>75</v>
      </c>
      <c r="E43" s="418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373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421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421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32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32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32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32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32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2484.23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32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38.75</v>
      </c>
    </row>
    <row r="109" spans="1:5" x14ac:dyDescent="0.2">
      <c r="A109" s="370" t="s">
        <v>2</v>
      </c>
      <c r="B109" s="368" t="s">
        <v>74</v>
      </c>
      <c r="C109" s="397"/>
      <c r="D109" s="378"/>
      <c r="E109" s="421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48.47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223.24</v>
      </c>
      <c r="F113" s="433">
        <f>SUM(C110:C114)</f>
        <v>0.13250000000000001</v>
      </c>
    </row>
    <row r="114" spans="1:6" x14ac:dyDescent="0.2">
      <c r="A114" s="370" t="s">
        <v>109</v>
      </c>
      <c r="B114" s="368" t="s">
        <v>79</v>
      </c>
      <c r="C114" s="412">
        <v>0.04</v>
      </c>
      <c r="D114" s="378">
        <f>ROUND($F$115*C114,2)</f>
        <v>117.5</v>
      </c>
      <c r="F114" s="434">
        <f>ROUND(D115+D108+D106,2)</f>
        <v>2548.21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25.23</v>
      </c>
      <c r="F115" s="435">
        <f>ROUND(F114/(1-F113),2)</f>
        <v>2937.42</v>
      </c>
    </row>
    <row r="116" spans="1:6" x14ac:dyDescent="0.2">
      <c r="A116" s="672" t="s">
        <v>46</v>
      </c>
      <c r="B116" s="723"/>
      <c r="C116" s="673"/>
      <c r="D116" s="388">
        <f>ROUND(SUM(D108:D115),2)</f>
        <v>453.19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373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2484.23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453.19</v>
      </c>
    </row>
    <row r="126" spans="1:6" x14ac:dyDescent="0.2">
      <c r="A126" s="725" t="s">
        <v>87</v>
      </c>
      <c r="B126" s="725"/>
      <c r="C126" s="725"/>
      <c r="D126" s="388">
        <f>ROUND(D125+D124,2)</f>
        <v>2937.42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2937.42</v>
      </c>
      <c r="E130" s="436"/>
    </row>
    <row r="131" spans="1:5" x14ac:dyDescent="0.2">
      <c r="A131" s="728" t="s">
        <v>89</v>
      </c>
      <c r="B131" s="728"/>
      <c r="C131" s="728"/>
      <c r="D131" s="378">
        <v>1</v>
      </c>
      <c r="E131" s="436"/>
    </row>
    <row r="132" spans="1:5" x14ac:dyDescent="0.2">
      <c r="A132" s="728" t="s">
        <v>90</v>
      </c>
      <c r="B132" s="728"/>
      <c r="C132" s="728"/>
      <c r="D132" s="378">
        <f>ROUND(D131*D130,2)</f>
        <v>2937.42</v>
      </c>
      <c r="E132" s="436"/>
    </row>
    <row r="133" spans="1:5" x14ac:dyDescent="0.2">
      <c r="A133" s="728" t="s">
        <v>91</v>
      </c>
      <c r="B133" s="728"/>
      <c r="C133" s="728"/>
      <c r="D133" s="378">
        <f>C16</f>
        <v>6</v>
      </c>
      <c r="E133" s="436"/>
    </row>
    <row r="134" spans="1:5" x14ac:dyDescent="0.2">
      <c r="A134" s="722" t="s">
        <v>92</v>
      </c>
      <c r="B134" s="722"/>
      <c r="C134" s="722"/>
      <c r="D134" s="388">
        <f>ROUND(D133*D132,2)</f>
        <v>17624.52</v>
      </c>
      <c r="E134" s="436"/>
    </row>
    <row r="135" spans="1:5" x14ac:dyDescent="0.2">
      <c r="E135" s="436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2937.42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17624.52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211494.24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7" zoomScaleNormal="100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147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2.6</v>
      </c>
      <c r="D43" s="378">
        <f>ROUND((C43*44)-(D29*6%),2)</f>
        <v>57.4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355.4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124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2584.85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27.4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49.36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227.38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89.75</v>
      </c>
      <c r="F114" s="40">
        <f>ROUND(D115+D108+D106,2)</f>
        <v>2625.31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13.06</v>
      </c>
      <c r="F115" s="41">
        <f>ROUND(F114/(1-F113),2)</f>
        <v>2991.81</v>
      </c>
    </row>
    <row r="116" spans="1:6" x14ac:dyDescent="0.2">
      <c r="A116" s="677" t="s">
        <v>46</v>
      </c>
      <c r="B116" s="682"/>
      <c r="C116" s="678"/>
      <c r="D116" s="22">
        <f>ROUND(SUM(D108:D115),2)</f>
        <v>406.95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355.4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2584.85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406.95</v>
      </c>
    </row>
    <row r="126" spans="1:6" x14ac:dyDescent="0.2">
      <c r="A126" s="655" t="s">
        <v>87</v>
      </c>
      <c r="B126" s="655"/>
      <c r="C126" s="655"/>
      <c r="D126" s="22">
        <f>ROUND(D125+D124,2)</f>
        <v>2991.8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2991.8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2991.8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2991.8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2991.8</v>
      </c>
      <c r="E137" s="201"/>
    </row>
    <row r="138" spans="1:5" x14ac:dyDescent="0.2">
      <c r="A138" s="124" t="s">
        <v>2</v>
      </c>
      <c r="B138" s="658" t="s">
        <v>94</v>
      </c>
      <c r="C138" s="658"/>
      <c r="D138" s="13">
        <f>D134</f>
        <v>2991.8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35901.599999999999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9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147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8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2.6</v>
      </c>
      <c r="D43" s="378">
        <f>ROUND((C43*44)-(D29*6%),2)</f>
        <v>57.4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355.4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2466.63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38.479999999999997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47.58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219.14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86.5</v>
      </c>
      <c r="F114" s="434">
        <f>ROUND(D115+D108+D106,2)</f>
        <v>2530.16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25.05</v>
      </c>
      <c r="F115" s="435">
        <f>ROUND(F114/(1-F113),2)</f>
        <v>2883.37</v>
      </c>
    </row>
    <row r="116" spans="1:6" x14ac:dyDescent="0.2">
      <c r="A116" s="672" t="s">
        <v>46</v>
      </c>
      <c r="B116" s="723"/>
      <c r="C116" s="673"/>
      <c r="D116" s="388">
        <f>ROUND(SUM(D108:D115),2)</f>
        <v>416.75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355.4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2466.63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416.75</v>
      </c>
    </row>
    <row r="126" spans="1:6" x14ac:dyDescent="0.2">
      <c r="A126" s="725" t="s">
        <v>87</v>
      </c>
      <c r="B126" s="725"/>
      <c r="C126" s="725"/>
      <c r="D126" s="388">
        <f>ROUND(D125+D124,2)</f>
        <v>2883.38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2883.38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2883.38</v>
      </c>
      <c r="E132" s="414"/>
    </row>
    <row r="133" spans="1:5" x14ac:dyDescent="0.2">
      <c r="A133" s="728" t="s">
        <v>91</v>
      </c>
      <c r="B133" s="728"/>
      <c r="C133" s="728"/>
      <c r="D133" s="378">
        <v>8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23067.040000000001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2883.38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23067.040000000001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276804.47999999998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  <rowBreaks count="1" manualBreakCount="1">
    <brk id="139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8" sqref="D38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383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2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6" t="s">
        <v>145</v>
      </c>
      <c r="D22" s="657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14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2598.0500000000002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27.54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49.62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228.54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90.21</v>
      </c>
      <c r="F114" s="40">
        <f>ROUND(D115+D108+D106,2)</f>
        <v>2638.72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13.13</v>
      </c>
      <c r="F115" s="41">
        <f>ROUND(F114/(1-F113),2)</f>
        <v>3007.09</v>
      </c>
    </row>
    <row r="116" spans="1:6" x14ac:dyDescent="0.2">
      <c r="A116" s="677" t="s">
        <v>46</v>
      </c>
      <c r="B116" s="682"/>
      <c r="C116" s="678"/>
      <c r="D116" s="22">
        <f>ROUND(SUM(D108:D115),2)</f>
        <v>409.04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368.6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2598.0500000000002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409.04</v>
      </c>
    </row>
    <row r="126" spans="1:6" x14ac:dyDescent="0.2">
      <c r="A126" s="655" t="s">
        <v>87</v>
      </c>
      <c r="B126" s="655"/>
      <c r="C126" s="655"/>
      <c r="D126" s="22">
        <f>ROUND(D125+D124,2)</f>
        <v>3007.09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3007.09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3007.09</v>
      </c>
      <c r="E132" s="200"/>
    </row>
    <row r="133" spans="1:5" x14ac:dyDescent="0.2">
      <c r="A133" s="658" t="s">
        <v>91</v>
      </c>
      <c r="B133" s="658"/>
      <c r="C133" s="658"/>
      <c r="D133" s="13">
        <v>2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6014.18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3007.09</v>
      </c>
      <c r="E137" s="201"/>
    </row>
    <row r="138" spans="1:5" x14ac:dyDescent="0.2">
      <c r="A138" s="124" t="s">
        <v>2</v>
      </c>
      <c r="B138" s="658" t="s">
        <v>94</v>
      </c>
      <c r="C138" s="658"/>
      <c r="D138" s="13">
        <f>D134</f>
        <v>6014.18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72170.16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5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383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6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2479.83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38.69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47.83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220.31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86.96</v>
      </c>
      <c r="F114" s="434">
        <f>ROUND(D115+D108+D106,2)</f>
        <v>2543.71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25.19</v>
      </c>
      <c r="F115" s="435">
        <f>ROUND(F114/(1-F113),2)</f>
        <v>2898.81</v>
      </c>
    </row>
    <row r="116" spans="1:6" x14ac:dyDescent="0.2">
      <c r="A116" s="672" t="s">
        <v>46</v>
      </c>
      <c r="B116" s="723"/>
      <c r="C116" s="673"/>
      <c r="D116" s="388">
        <f>ROUND(SUM(D108:D115),2)</f>
        <v>418.98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368.6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2479.83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418.98</v>
      </c>
    </row>
    <row r="126" spans="1:6" x14ac:dyDescent="0.2">
      <c r="A126" s="725" t="s">
        <v>87</v>
      </c>
      <c r="B126" s="725"/>
      <c r="C126" s="725"/>
      <c r="D126" s="388">
        <f>ROUND(D125+D124,2)</f>
        <v>2898.81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2898.81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2898.81</v>
      </c>
      <c r="E132" s="414"/>
    </row>
    <row r="133" spans="1:5" x14ac:dyDescent="0.2">
      <c r="A133" s="728" t="s">
        <v>91</v>
      </c>
      <c r="B133" s="728"/>
      <c r="C133" s="728"/>
      <c r="D133" s="378">
        <v>6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17392.86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2898.81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17392.86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208714.32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136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745">
        <f>'REPACTUAÇÃO 2014'!F6</f>
        <v>950</v>
      </c>
      <c r="D23" s="745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2.8</v>
      </c>
      <c r="D43" s="378">
        <f>ROUND((C43*44)-(D29*6%),2)</f>
        <v>66.2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364.2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124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2593.65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27.49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49.53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228.15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90.06</v>
      </c>
      <c r="F114" s="40">
        <f>ROUND(D115+D108+D106,2)</f>
        <v>2634.25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13.11</v>
      </c>
      <c r="F115" s="41">
        <f>ROUND(F114/(1-F113),2)</f>
        <v>3001.99</v>
      </c>
    </row>
    <row r="116" spans="1:6" x14ac:dyDescent="0.2">
      <c r="A116" s="677" t="s">
        <v>46</v>
      </c>
      <c r="B116" s="682"/>
      <c r="C116" s="678"/>
      <c r="D116" s="22">
        <f>ROUND(SUM(D108:D115),2)</f>
        <v>408.34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364.2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2593.65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408.34</v>
      </c>
    </row>
    <row r="126" spans="1:6" x14ac:dyDescent="0.2">
      <c r="A126" s="655" t="s">
        <v>87</v>
      </c>
      <c r="B126" s="655"/>
      <c r="C126" s="655"/>
      <c r="D126" s="22">
        <f>ROUND(D125+D124,2)</f>
        <v>3001.99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3001.99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3001.99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3001.99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3001.99</v>
      </c>
      <c r="E137" s="201">
        <v>2269.2600000000002</v>
      </c>
    </row>
    <row r="138" spans="1:5" x14ac:dyDescent="0.2">
      <c r="A138" s="124" t="s">
        <v>2</v>
      </c>
      <c r="B138" s="658" t="s">
        <v>94</v>
      </c>
      <c r="C138" s="658"/>
      <c r="D138" s="13">
        <f>D134</f>
        <v>3001.99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36023.879999999997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8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136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f>2+3</f>
        <v>5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2.8</v>
      </c>
      <c r="D43" s="378">
        <f>ROUND((C43*44)-(D29*6%),2)</f>
        <v>66.2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364.2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2475.4299999999998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38.619999999999997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47.75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219.92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86.81</v>
      </c>
      <c r="F114" s="434">
        <f>ROUND(D115+D108+D106,2)</f>
        <v>2539.19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25.14</v>
      </c>
      <c r="F115" s="435">
        <f>ROUND(F114/(1-F113),2)</f>
        <v>2893.66</v>
      </c>
    </row>
    <row r="116" spans="1:6" x14ac:dyDescent="0.2">
      <c r="A116" s="672" t="s">
        <v>46</v>
      </c>
      <c r="B116" s="723"/>
      <c r="C116" s="673"/>
      <c r="D116" s="388">
        <f>ROUND(SUM(D108:D115),2)</f>
        <v>418.24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364.2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2475.4299999999998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418.24</v>
      </c>
    </row>
    <row r="126" spans="1:6" x14ac:dyDescent="0.2">
      <c r="A126" s="725" t="s">
        <v>87</v>
      </c>
      <c r="B126" s="725"/>
      <c r="C126" s="725"/>
      <c r="D126" s="388">
        <f>ROUND(D125+D124,2)</f>
        <v>2893.67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2893.67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2893.67</v>
      </c>
      <c r="E132" s="414"/>
    </row>
    <row r="133" spans="1:5" x14ac:dyDescent="0.2">
      <c r="A133" s="728" t="s">
        <v>91</v>
      </c>
      <c r="B133" s="728"/>
      <c r="C133" s="728"/>
      <c r="D133" s="378">
        <f>C16</f>
        <v>5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14468.35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2893.67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14468.35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173620.2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3" zoomScaleNormal="100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128" bestFit="1" customWidth="1"/>
    <col min="6" max="6" width="9.28515625" style="37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140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3</v>
      </c>
      <c r="D43" s="378">
        <f>ROUND((C43*44)-(D29*6%),2)</f>
        <v>75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373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24" t="s">
        <v>4</v>
      </c>
      <c r="B55" s="4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124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2602.4499999999998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27.59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49.7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228.93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90.37</v>
      </c>
      <c r="F114" s="40">
        <f>ROUND(D115+D108+D106,2)</f>
        <v>2643.19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13.15</v>
      </c>
      <c r="F115" s="41">
        <f>ROUND(F114/(1-F113),2)</f>
        <v>3012.18</v>
      </c>
    </row>
    <row r="116" spans="1:6" x14ac:dyDescent="0.2">
      <c r="A116" s="677" t="s">
        <v>46</v>
      </c>
      <c r="B116" s="682"/>
      <c r="C116" s="678"/>
      <c r="D116" s="22">
        <f>ROUND(SUM(D108:D115),2)</f>
        <v>409.74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373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2602.4499999999998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409.74</v>
      </c>
    </row>
    <row r="126" spans="1:6" x14ac:dyDescent="0.2">
      <c r="A126" s="655" t="s">
        <v>87</v>
      </c>
      <c r="B126" s="655"/>
      <c r="C126" s="655"/>
      <c r="D126" s="22">
        <f>ROUND(D125+D124,2)</f>
        <v>3012.19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3012.19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3012.19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3012.19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3012.19</v>
      </c>
      <c r="E137" s="201"/>
    </row>
    <row r="138" spans="1:5" x14ac:dyDescent="0.2">
      <c r="A138" s="124" t="s">
        <v>2</v>
      </c>
      <c r="B138" s="658" t="s">
        <v>94</v>
      </c>
      <c r="C138" s="658"/>
      <c r="D138" s="13">
        <f>D134</f>
        <v>3012.19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36146.28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148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6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  <c r="E23" s="369">
        <v>714</v>
      </c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>
        <v>714</v>
      </c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 t="s">
        <v>489</v>
      </c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3</v>
      </c>
      <c r="D43" s="378">
        <f>ROUND((C43*44)-(D29*6%),2)</f>
        <v>75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>
        <v>199.5</v>
      </c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>
        <v>31.8</v>
      </c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  <c r="E47" s="369">
        <v>10.85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  <c r="E48" s="369">
        <v>8.75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373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>
        <v>255.48</v>
      </c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 t="s">
        <v>125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2484.23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38.75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47.92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220.7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87.12</v>
      </c>
      <c r="F114" s="434">
        <f>ROUND(D115+D108+D106,2)</f>
        <v>2548.21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25.23</v>
      </c>
      <c r="F115" s="435">
        <f>ROUND(F114/(1-F113),2)</f>
        <v>2903.94</v>
      </c>
    </row>
    <row r="116" spans="1:6" x14ac:dyDescent="0.2">
      <c r="A116" s="672" t="s">
        <v>46</v>
      </c>
      <c r="B116" s="723"/>
      <c r="C116" s="673"/>
      <c r="D116" s="388">
        <f>ROUND(SUM(D108:D115),2)</f>
        <v>419.72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373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2484.23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419.72</v>
      </c>
    </row>
    <row r="126" spans="1:6" x14ac:dyDescent="0.2">
      <c r="A126" s="725" t="s">
        <v>87</v>
      </c>
      <c r="B126" s="725"/>
      <c r="C126" s="725"/>
      <c r="D126" s="388">
        <f>ROUND(D125+D124,2)</f>
        <v>2903.95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2903.95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2903.95</v>
      </c>
      <c r="E132" s="414"/>
    </row>
    <row r="133" spans="1:5" x14ac:dyDescent="0.2">
      <c r="A133" s="728" t="s">
        <v>91</v>
      </c>
      <c r="B133" s="728"/>
      <c r="C133" s="728"/>
      <c r="D133" s="378">
        <v>6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17423.7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2903.95</v>
      </c>
      <c r="E137" s="369">
        <v>2196.37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17423.7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209084.4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7" zoomScaleNormal="85" zoomScaleSheetLayoutView="100" workbookViewId="0">
      <selection activeCell="D38" sqref="D38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515" t="s">
        <v>1</v>
      </c>
      <c r="B8" s="332" t="s">
        <v>5</v>
      </c>
      <c r="C8" s="624">
        <v>41015</v>
      </c>
      <c r="D8" s="621"/>
    </row>
    <row r="9" spans="1:4" x14ac:dyDescent="0.2">
      <c r="A9" s="515" t="s">
        <v>2</v>
      </c>
      <c r="B9" s="332" t="s">
        <v>114</v>
      </c>
      <c r="C9" s="625" t="s">
        <v>523</v>
      </c>
      <c r="D9" s="625"/>
    </row>
    <row r="10" spans="1:4" x14ac:dyDescent="0.2">
      <c r="A10" s="515" t="s">
        <v>4</v>
      </c>
      <c r="B10" s="332" t="s">
        <v>6</v>
      </c>
      <c r="C10" s="624">
        <v>41641</v>
      </c>
      <c r="D10" s="621"/>
    </row>
    <row r="11" spans="1:4" x14ac:dyDescent="0.2">
      <c r="A11" s="515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113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510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515">
        <v>1</v>
      </c>
      <c r="B22" s="332" t="s">
        <v>131</v>
      </c>
      <c r="C22" s="620" t="s">
        <v>145</v>
      </c>
      <c r="D22" s="621"/>
    </row>
    <row r="23" spans="1:5" x14ac:dyDescent="0.2">
      <c r="A23" s="515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515">
        <v>3</v>
      </c>
      <c r="B24" s="332" t="s">
        <v>15</v>
      </c>
      <c r="C24" s="620" t="s">
        <v>146</v>
      </c>
      <c r="D24" s="621"/>
    </row>
    <row r="25" spans="1:5" x14ac:dyDescent="0.2">
      <c r="A25" s="515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511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515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515" t="s">
        <v>2</v>
      </c>
      <c r="B30" s="332" t="s">
        <v>438</v>
      </c>
      <c r="C30" s="535"/>
      <c r="D30" s="438"/>
      <c r="E30" s="303">
        <v>62</v>
      </c>
    </row>
    <row r="31" spans="1:5" x14ac:dyDescent="0.2">
      <c r="A31" s="515" t="s">
        <v>4</v>
      </c>
      <c r="B31" s="332" t="s">
        <v>24</v>
      </c>
      <c r="C31" s="535"/>
      <c r="D31" s="438"/>
      <c r="E31" s="196"/>
    </row>
    <row r="32" spans="1:5" x14ac:dyDescent="0.2">
      <c r="A32" s="515" t="s">
        <v>3</v>
      </c>
      <c r="B32" s="332" t="s">
        <v>25</v>
      </c>
      <c r="C32" s="20"/>
      <c r="D32" s="13"/>
      <c r="E32" s="153"/>
    </row>
    <row r="33" spans="1:6" x14ac:dyDescent="0.2">
      <c r="A33" s="515" t="s">
        <v>18</v>
      </c>
      <c r="B33" s="332" t="s">
        <v>26</v>
      </c>
      <c r="C33" s="20"/>
      <c r="D33" s="13"/>
      <c r="E33" s="153"/>
    </row>
    <row r="34" spans="1:6" x14ac:dyDescent="0.2">
      <c r="A34" s="515" t="s">
        <v>19</v>
      </c>
      <c r="B34" s="332" t="s">
        <v>27</v>
      </c>
      <c r="C34" s="18"/>
      <c r="D34" s="13"/>
      <c r="E34" s="196"/>
    </row>
    <row r="35" spans="1:6" x14ac:dyDescent="0.2">
      <c r="A35" s="515" t="s">
        <v>20</v>
      </c>
      <c r="B35" s="332" t="s">
        <v>28</v>
      </c>
      <c r="C35" s="20"/>
      <c r="D35" s="13"/>
      <c r="E35" s="153"/>
    </row>
    <row r="36" spans="1:6" x14ac:dyDescent="0.2">
      <c r="A36" s="515" t="s">
        <v>21</v>
      </c>
      <c r="B36" s="332" t="s">
        <v>119</v>
      </c>
      <c r="C36" s="18"/>
      <c r="D36" s="13"/>
    </row>
    <row r="37" spans="1:6" x14ac:dyDescent="0.2">
      <c r="A37" s="515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514" t="s">
        <v>487</v>
      </c>
      <c r="B38" s="300" t="s">
        <v>488</v>
      </c>
      <c r="C38" s="301"/>
      <c r="D38" s="302">
        <f>(D29+D30)*3.6316%</f>
        <v>34.5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984.5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511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515" t="s">
        <v>1</v>
      </c>
      <c r="B43" s="340" t="s">
        <v>133</v>
      </c>
      <c r="C43" s="13">
        <v>2.2000000000000002</v>
      </c>
      <c r="D43" s="13">
        <f>ROUND((C43*44)-(D29*6%),2)</f>
        <v>39.799999999999997</v>
      </c>
      <c r="E43" s="197"/>
    </row>
    <row r="44" spans="1:6" ht="13.5" customHeight="1" x14ac:dyDescent="0.2">
      <c r="A44" s="515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515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515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515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515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337.8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511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515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515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515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515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514" t="s">
        <v>1</v>
      </c>
      <c r="B61" s="300" t="s">
        <v>40</v>
      </c>
      <c r="C61" s="10">
        <v>0.2</v>
      </c>
      <c r="D61" s="13">
        <f>ROUND($D$39*C61,2)</f>
        <v>196.9</v>
      </c>
    </row>
    <row r="62" spans="1:5" x14ac:dyDescent="0.2">
      <c r="A62" s="514" t="s">
        <v>2</v>
      </c>
      <c r="B62" s="300" t="s">
        <v>41</v>
      </c>
      <c r="C62" s="10">
        <v>1.4999999999999999E-2</v>
      </c>
      <c r="D62" s="13">
        <f>ROUND($D$39*C62,2)</f>
        <v>14.77</v>
      </c>
    </row>
    <row r="63" spans="1:5" x14ac:dyDescent="0.2">
      <c r="A63" s="514" t="s">
        <v>4</v>
      </c>
      <c r="B63" s="300" t="s">
        <v>123</v>
      </c>
      <c r="C63" s="10">
        <v>0.01</v>
      </c>
      <c r="D63" s="13">
        <f t="shared" ref="D63:D68" si="0">ROUND($D$39*C63,2)</f>
        <v>9.85</v>
      </c>
    </row>
    <row r="64" spans="1:5" x14ac:dyDescent="0.2">
      <c r="A64" s="514" t="s">
        <v>3</v>
      </c>
      <c r="B64" s="300" t="s">
        <v>42</v>
      </c>
      <c r="C64" s="10">
        <v>2E-3</v>
      </c>
      <c r="D64" s="13">
        <f t="shared" si="0"/>
        <v>1.97</v>
      </c>
    </row>
    <row r="65" spans="1:6" x14ac:dyDescent="0.2">
      <c r="A65" s="514" t="s">
        <v>18</v>
      </c>
      <c r="B65" s="300" t="s">
        <v>43</v>
      </c>
      <c r="C65" s="10">
        <v>2.5000000000000001E-2</v>
      </c>
      <c r="D65" s="13">
        <f t="shared" si="0"/>
        <v>24.61</v>
      </c>
    </row>
    <row r="66" spans="1:6" x14ac:dyDescent="0.2">
      <c r="A66" s="514" t="s">
        <v>19</v>
      </c>
      <c r="B66" s="300" t="s">
        <v>44</v>
      </c>
      <c r="C66" s="10">
        <v>0.08</v>
      </c>
      <c r="D66" s="13">
        <f t="shared" si="0"/>
        <v>78.760000000000005</v>
      </c>
    </row>
    <row r="67" spans="1:6" x14ac:dyDescent="0.2">
      <c r="A67" s="514" t="s">
        <v>20</v>
      </c>
      <c r="B67" s="300" t="s">
        <v>124</v>
      </c>
      <c r="C67" s="10">
        <f>2%*F71</f>
        <v>0.03</v>
      </c>
      <c r="D67" s="13">
        <f t="shared" si="0"/>
        <v>29.54</v>
      </c>
    </row>
    <row r="68" spans="1:6" x14ac:dyDescent="0.2">
      <c r="A68" s="514" t="s">
        <v>21</v>
      </c>
      <c r="B68" s="300" t="s">
        <v>45</v>
      </c>
      <c r="C68" s="10">
        <v>6.0000000000000001E-3</v>
      </c>
      <c r="D68" s="13">
        <f t="shared" si="0"/>
        <v>5.91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362.31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514" t="s">
        <v>1</v>
      </c>
      <c r="B72" s="300" t="s">
        <v>47</v>
      </c>
      <c r="C72" s="10">
        <v>8.3299999999999999E-2</v>
      </c>
      <c r="D72" s="13">
        <f>ROUND($D$39*C72,2)</f>
        <v>82.01</v>
      </c>
    </row>
    <row r="73" spans="1:6" x14ac:dyDescent="0.2">
      <c r="A73" s="514" t="s">
        <v>2</v>
      </c>
      <c r="B73" s="300" t="s">
        <v>48</v>
      </c>
      <c r="C73" s="10">
        <f>C88/3</f>
        <v>2.7799999999999998E-2</v>
      </c>
      <c r="D73" s="13">
        <f>ROUND($D$39*C73,2)</f>
        <v>27.37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109.38</v>
      </c>
    </row>
    <row r="75" spans="1:6" x14ac:dyDescent="0.2">
      <c r="A75" s="514" t="s">
        <v>4</v>
      </c>
      <c r="B75" s="300" t="s">
        <v>50</v>
      </c>
      <c r="C75" s="10">
        <f>C69*C74</f>
        <v>4.0899999999999999E-2</v>
      </c>
      <c r="D75" s="13">
        <f>ROUND($D$39*C75,2)</f>
        <v>40.270000000000003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149.65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514" t="s">
        <v>1</v>
      </c>
      <c r="B79" s="300" t="s">
        <v>52</v>
      </c>
      <c r="C79" s="10">
        <v>1.6999999999999999E-3</v>
      </c>
      <c r="D79" s="13">
        <f t="shared" ref="D79:D84" si="1">ROUND($D$39*C79,2)</f>
        <v>1.67</v>
      </c>
    </row>
    <row r="80" spans="1:6" x14ac:dyDescent="0.2">
      <c r="A80" s="514" t="s">
        <v>2</v>
      </c>
      <c r="B80" s="300" t="s">
        <v>53</v>
      </c>
      <c r="C80" s="10">
        <f>C66*C79</f>
        <v>1E-4</v>
      </c>
      <c r="D80" s="13">
        <f t="shared" si="1"/>
        <v>0.1</v>
      </c>
    </row>
    <row r="81" spans="1:5" x14ac:dyDescent="0.2">
      <c r="A81" s="514" t="s">
        <v>4</v>
      </c>
      <c r="B81" s="300" t="s">
        <v>54</v>
      </c>
      <c r="C81" s="10">
        <f>C66*10%</f>
        <v>8.0000000000000002E-3</v>
      </c>
      <c r="D81" s="13">
        <f t="shared" si="1"/>
        <v>7.88</v>
      </c>
    </row>
    <row r="82" spans="1:5" x14ac:dyDescent="0.2">
      <c r="A82" s="515" t="s">
        <v>3</v>
      </c>
      <c r="B82" s="332" t="s">
        <v>55</v>
      </c>
      <c r="C82" s="10">
        <v>1.9400000000000001E-2</v>
      </c>
      <c r="D82" s="13">
        <f t="shared" si="1"/>
        <v>19.100000000000001</v>
      </c>
    </row>
    <row r="83" spans="1:5" x14ac:dyDescent="0.2">
      <c r="A83" s="515" t="s">
        <v>18</v>
      </c>
      <c r="B83" s="332" t="s">
        <v>56</v>
      </c>
      <c r="C83" s="10">
        <f>C69*C82</f>
        <v>7.1000000000000004E-3</v>
      </c>
      <c r="D83" s="13">
        <f t="shared" si="1"/>
        <v>6.99</v>
      </c>
    </row>
    <row r="84" spans="1:5" x14ac:dyDescent="0.2">
      <c r="A84" s="515" t="s">
        <v>19</v>
      </c>
      <c r="B84" s="332" t="s">
        <v>57</v>
      </c>
      <c r="C84" s="10">
        <v>4.4200000000000003E-2</v>
      </c>
      <c r="D84" s="13">
        <f t="shared" si="1"/>
        <v>43.51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79.25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515" t="s">
        <v>1</v>
      </c>
      <c r="B88" s="332" t="s">
        <v>58</v>
      </c>
      <c r="C88" s="10">
        <v>8.3299999999999999E-2</v>
      </c>
      <c r="D88" s="13">
        <f t="shared" ref="D88:D95" si="2">ROUND($D$39*C88,2)</f>
        <v>82.01</v>
      </c>
      <c r="E88" s="346"/>
    </row>
    <row r="89" spans="1:5" x14ac:dyDescent="0.2">
      <c r="A89" s="515" t="s">
        <v>2</v>
      </c>
      <c r="B89" s="332" t="s">
        <v>59</v>
      </c>
      <c r="C89" s="10">
        <v>5.5999999999999999E-3</v>
      </c>
      <c r="D89" s="13">
        <f t="shared" si="2"/>
        <v>5.51</v>
      </c>
    </row>
    <row r="90" spans="1:5" x14ac:dyDescent="0.2">
      <c r="A90" s="515" t="s">
        <v>4</v>
      </c>
      <c r="B90" s="300" t="s">
        <v>360</v>
      </c>
      <c r="C90" s="10">
        <v>6.9999999999999999E-4</v>
      </c>
      <c r="D90" s="13">
        <f t="shared" si="2"/>
        <v>0.69</v>
      </c>
    </row>
    <row r="91" spans="1:5" x14ac:dyDescent="0.2">
      <c r="A91" s="515" t="s">
        <v>3</v>
      </c>
      <c r="B91" s="332" t="s">
        <v>60</v>
      </c>
      <c r="C91" s="10">
        <v>2.8E-3</v>
      </c>
      <c r="D91" s="13">
        <f t="shared" si="2"/>
        <v>2.76</v>
      </c>
    </row>
    <row r="92" spans="1:5" x14ac:dyDescent="0.2">
      <c r="A92" s="515" t="s">
        <v>18</v>
      </c>
      <c r="B92" s="332" t="s">
        <v>61</v>
      </c>
      <c r="C92" s="10">
        <v>8.0000000000000004E-4</v>
      </c>
      <c r="D92" s="13">
        <f t="shared" si="2"/>
        <v>0.79</v>
      </c>
    </row>
    <row r="93" spans="1:5" x14ac:dyDescent="0.2">
      <c r="A93" s="515" t="s">
        <v>19</v>
      </c>
      <c r="B93" s="300" t="s">
        <v>367</v>
      </c>
      <c r="C93" s="10">
        <v>2.0000000000000001E-4</v>
      </c>
      <c r="D93" s="13">
        <f t="shared" si="2"/>
        <v>0.2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91.95</v>
      </c>
    </row>
    <row r="95" spans="1:5" x14ac:dyDescent="0.2">
      <c r="A95" s="515" t="s">
        <v>20</v>
      </c>
      <c r="B95" s="332" t="s">
        <v>104</v>
      </c>
      <c r="C95" s="10">
        <f>C69*C94</f>
        <v>3.44E-2</v>
      </c>
      <c r="D95" s="13">
        <f t="shared" si="2"/>
        <v>33.869999999999997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125.82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511">
        <v>4</v>
      </c>
      <c r="B99" s="633" t="s">
        <v>68</v>
      </c>
      <c r="C99" s="633"/>
      <c r="D99" s="12" t="s">
        <v>98</v>
      </c>
    </row>
    <row r="100" spans="1:5" x14ac:dyDescent="0.2">
      <c r="A100" s="515" t="s">
        <v>63</v>
      </c>
      <c r="B100" s="347" t="s">
        <v>69</v>
      </c>
      <c r="C100" s="348">
        <f>C76</f>
        <v>0.152</v>
      </c>
      <c r="D100" s="13">
        <f>ROUND($D$39*C100,2)</f>
        <v>149.63999999999999</v>
      </c>
      <c r="E100" s="346"/>
    </row>
    <row r="101" spans="1:5" x14ac:dyDescent="0.2">
      <c r="A101" s="515" t="s">
        <v>64</v>
      </c>
      <c r="B101" s="347" t="s">
        <v>126</v>
      </c>
      <c r="C101" s="348">
        <f>C69</f>
        <v>0.36799999999999999</v>
      </c>
      <c r="D101" s="13">
        <f>ROUND($D$39*C101,2)</f>
        <v>362.3</v>
      </c>
    </row>
    <row r="102" spans="1:5" x14ac:dyDescent="0.2">
      <c r="A102" s="514" t="s">
        <v>65</v>
      </c>
      <c r="B102" s="347" t="s">
        <v>70</v>
      </c>
      <c r="C102" s="348">
        <f>C85</f>
        <v>8.0500000000000002E-2</v>
      </c>
      <c r="D102" s="13">
        <f>ROUND($D$39*C102,2)</f>
        <v>79.25</v>
      </c>
    </row>
    <row r="103" spans="1:5" x14ac:dyDescent="0.2">
      <c r="A103" s="514" t="s">
        <v>66</v>
      </c>
      <c r="B103" s="347" t="s">
        <v>71</v>
      </c>
      <c r="C103" s="348">
        <f>C96</f>
        <v>0.1278</v>
      </c>
      <c r="D103" s="13">
        <f>ROUND($D$39*C103,2)</f>
        <v>125.82</v>
      </c>
    </row>
    <row r="104" spans="1:5" x14ac:dyDescent="0.2">
      <c r="A104" s="514" t="s">
        <v>67</v>
      </c>
      <c r="B104" s="347" t="s">
        <v>29</v>
      </c>
      <c r="C104" s="512"/>
      <c r="D104" s="13"/>
    </row>
    <row r="105" spans="1:5" x14ac:dyDescent="0.2">
      <c r="A105" s="515"/>
      <c r="B105" s="513" t="s">
        <v>46</v>
      </c>
      <c r="C105" s="351">
        <f>SUM(C100:C104)</f>
        <v>0.72829999999999995</v>
      </c>
      <c r="D105" s="22">
        <f>ROUND($D$39*C105,2)</f>
        <v>717.01</v>
      </c>
    </row>
    <row r="106" spans="1:5" x14ac:dyDescent="0.2">
      <c r="D106" s="28">
        <f>ROUND(D105+D57+D49+D39,2)</f>
        <v>2449.0300000000002</v>
      </c>
    </row>
    <row r="107" spans="1:5" x14ac:dyDescent="0.2">
      <c r="A107" s="511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515" t="s">
        <v>1</v>
      </c>
      <c r="B108" s="332" t="s">
        <v>73</v>
      </c>
      <c r="C108" s="10">
        <v>1.06E-2</v>
      </c>
      <c r="D108" s="13">
        <f>ROUND($D$106*C108,2)</f>
        <v>25.96</v>
      </c>
    </row>
    <row r="109" spans="1:5" x14ac:dyDescent="0.2">
      <c r="A109" s="515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46.24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213</v>
      </c>
      <c r="F113" s="353">
        <f>SUM(C110:C114)</f>
        <v>0.1125</v>
      </c>
    </row>
    <row r="114" spans="1:9" x14ac:dyDescent="0.2">
      <c r="A114" s="352" t="s">
        <v>109</v>
      </c>
      <c r="B114" s="332" t="s">
        <v>79</v>
      </c>
      <c r="C114" s="131">
        <v>0.02</v>
      </c>
      <c r="D114" s="13">
        <f>ROUND($F$115*C114,2)</f>
        <v>56.05</v>
      </c>
      <c r="F114" s="354">
        <f>ROUND(D115+D108+D106,2)</f>
        <v>2487.36</v>
      </c>
    </row>
    <row r="115" spans="1:9" x14ac:dyDescent="0.2">
      <c r="A115" s="515" t="s">
        <v>4</v>
      </c>
      <c r="B115" s="332" t="s">
        <v>80</v>
      </c>
      <c r="C115" s="10">
        <v>5.0000000000000001E-3</v>
      </c>
      <c r="D115" s="13">
        <f>ROUND(($D$106+D108)*C115,2)</f>
        <v>12.37</v>
      </c>
      <c r="F115" s="41">
        <f>ROUND(F114/(1-F113),2)</f>
        <v>2802.66</v>
      </c>
    </row>
    <row r="116" spans="1:9" x14ac:dyDescent="0.2">
      <c r="A116" s="638" t="s">
        <v>46</v>
      </c>
      <c r="B116" s="643"/>
      <c r="C116" s="639"/>
      <c r="D116" s="22">
        <f>ROUND(SUM(D108:D115),2)</f>
        <v>353.62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515" t="s">
        <v>1</v>
      </c>
      <c r="B120" s="626" t="s">
        <v>83</v>
      </c>
      <c r="C120" s="626"/>
      <c r="D120" s="13">
        <f>D39</f>
        <v>984.5</v>
      </c>
    </row>
    <row r="121" spans="1:9" x14ac:dyDescent="0.2">
      <c r="A121" s="515" t="s">
        <v>2</v>
      </c>
      <c r="B121" s="626" t="s">
        <v>84</v>
      </c>
      <c r="C121" s="626"/>
      <c r="D121" s="13">
        <f>D49</f>
        <v>337.8</v>
      </c>
    </row>
    <row r="122" spans="1:9" x14ac:dyDescent="0.2">
      <c r="A122" s="515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515" t="s">
        <v>3</v>
      </c>
      <c r="B123" s="626" t="s">
        <v>127</v>
      </c>
      <c r="C123" s="626"/>
      <c r="D123" s="13">
        <f>D105</f>
        <v>717.01</v>
      </c>
    </row>
    <row r="124" spans="1:9" x14ac:dyDescent="0.2">
      <c r="A124" s="625" t="s">
        <v>49</v>
      </c>
      <c r="B124" s="625"/>
      <c r="C124" s="625"/>
      <c r="D124" s="22">
        <f>ROUND(SUM(D120:D123),2)</f>
        <v>2449.0300000000002</v>
      </c>
    </row>
    <row r="125" spans="1:9" ht="18.75" x14ac:dyDescent="0.3">
      <c r="A125" s="515" t="s">
        <v>18</v>
      </c>
      <c r="B125" s="645" t="s">
        <v>86</v>
      </c>
      <c r="C125" s="645"/>
      <c r="D125" s="13">
        <f>D116</f>
        <v>353.62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2802.65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2802.65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2802.65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2802.65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515" t="s">
        <v>1</v>
      </c>
      <c r="B137" s="626" t="s">
        <v>93</v>
      </c>
      <c r="C137" s="626"/>
      <c r="D137" s="297">
        <f>D130</f>
        <v>2802.65</v>
      </c>
      <c r="E137" s="303">
        <v>2279.4299999999998</v>
      </c>
    </row>
    <row r="138" spans="1:9" x14ac:dyDescent="0.2">
      <c r="A138" s="515" t="s">
        <v>2</v>
      </c>
      <c r="B138" s="626" t="s">
        <v>94</v>
      </c>
      <c r="C138" s="626"/>
      <c r="D138" s="13">
        <f>D134</f>
        <v>2802.65</v>
      </c>
    </row>
    <row r="139" spans="1:9" x14ac:dyDescent="0.2">
      <c r="A139" s="511" t="s">
        <v>4</v>
      </c>
      <c r="B139" s="633" t="s">
        <v>95</v>
      </c>
      <c r="C139" s="633"/>
      <c r="D139" s="22">
        <f>ROUND(D138*12,2)</f>
        <v>33631.800000000003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8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137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>
        <v>714</v>
      </c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>
        <v>714</v>
      </c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>
        <v>62</v>
      </c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 t="s">
        <v>489</v>
      </c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2.75</v>
      </c>
      <c r="D43" s="378">
        <f>ROUND((C43*44)-(D29*6%),2)</f>
        <v>64</v>
      </c>
      <c r="E43" s="394">
        <v>2.25</v>
      </c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>
        <v>199.5</v>
      </c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>
        <v>31.8</v>
      </c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>
        <v>10.85</v>
      </c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>
        <v>8.75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362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>
        <v>245.59</v>
      </c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14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128" t="s">
        <v>125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2591.4499999999998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27.47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50.65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233.27</v>
      </c>
      <c r="F113" s="39">
        <f>SUM(C110:C114)</f>
        <v>0.14249999999999999</v>
      </c>
    </row>
    <row r="114" spans="1:6" x14ac:dyDescent="0.2">
      <c r="A114" s="14" t="s">
        <v>109</v>
      </c>
      <c r="B114" s="4" t="s">
        <v>79</v>
      </c>
      <c r="C114" s="131">
        <v>0.05</v>
      </c>
      <c r="D114" s="13">
        <f>ROUND($F$115*C114,2)</f>
        <v>153.47</v>
      </c>
      <c r="F114" s="40">
        <f>ROUND(D115+D108+D106,2)</f>
        <v>2632.01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13.09</v>
      </c>
      <c r="F115" s="41">
        <f>ROUND(F114/(1-F113),2)</f>
        <v>3069.4</v>
      </c>
    </row>
    <row r="116" spans="1:6" x14ac:dyDescent="0.2">
      <c r="A116" s="677" t="s">
        <v>46</v>
      </c>
      <c r="B116" s="682"/>
      <c r="C116" s="678"/>
      <c r="D116" s="22">
        <f>ROUND(SUM(D108:D115),2)</f>
        <v>477.95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362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2591.4499999999998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477.95</v>
      </c>
    </row>
    <row r="126" spans="1:6" x14ac:dyDescent="0.2">
      <c r="A126" s="655" t="s">
        <v>87</v>
      </c>
      <c r="B126" s="655"/>
      <c r="C126" s="655"/>
      <c r="D126" s="22">
        <f>ROUND(D125+D124,2)</f>
        <v>3069.4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3069.4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3069.4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3069.4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3069.4</v>
      </c>
      <c r="E137" s="201">
        <v>2327.4499999999998</v>
      </c>
    </row>
    <row r="138" spans="1:5" x14ac:dyDescent="0.2">
      <c r="A138" s="124" t="s">
        <v>2</v>
      </c>
      <c r="B138" s="658" t="s">
        <v>94</v>
      </c>
      <c r="C138" s="658"/>
      <c r="D138" s="13">
        <f>D134</f>
        <v>3069.4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36832.800000000003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2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137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10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  <c r="E23" s="369">
        <v>714</v>
      </c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>
        <v>714</v>
      </c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 t="s">
        <v>489</v>
      </c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2.75</v>
      </c>
      <c r="D43" s="378">
        <f>ROUND((C43*44)-(D29*6%),2)</f>
        <v>64</v>
      </c>
      <c r="E43" s="394">
        <v>2.25</v>
      </c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>
        <v>199.5</v>
      </c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>
        <v>31.8</v>
      </c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  <c r="E47" s="369">
        <v>10.85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  <c r="E48" s="369">
        <v>8.75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362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>
        <v>255.48</v>
      </c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 t="s">
        <v>125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2473.23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38.58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48.82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224.85</v>
      </c>
      <c r="F113" s="433">
        <f>SUM(C110:C114)</f>
        <v>0.14249999999999999</v>
      </c>
    </row>
    <row r="114" spans="1:6" x14ac:dyDescent="0.2">
      <c r="A114" s="370" t="s">
        <v>109</v>
      </c>
      <c r="B114" s="368" t="s">
        <v>79</v>
      </c>
      <c r="C114" s="412">
        <v>0.05</v>
      </c>
      <c r="D114" s="378">
        <f>ROUND($F$115*C114,2)</f>
        <v>147.93</v>
      </c>
      <c r="F114" s="434">
        <f>ROUND(D115+D108+D106,2)</f>
        <v>2536.9299999999998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25.12</v>
      </c>
      <c r="F115" s="435">
        <f>ROUND(F114/(1-F113),2)</f>
        <v>2958.52</v>
      </c>
    </row>
    <row r="116" spans="1:6" x14ac:dyDescent="0.2">
      <c r="A116" s="672" t="s">
        <v>46</v>
      </c>
      <c r="B116" s="723"/>
      <c r="C116" s="673"/>
      <c r="D116" s="388">
        <f>ROUND(SUM(D108:D115),2)</f>
        <v>485.3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362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2473.23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485.3</v>
      </c>
    </row>
    <row r="126" spans="1:6" x14ac:dyDescent="0.2">
      <c r="A126" s="725" t="s">
        <v>87</v>
      </c>
      <c r="B126" s="725"/>
      <c r="C126" s="725"/>
      <c r="D126" s="388">
        <f>ROUND(D125+D124,2)</f>
        <v>2958.53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2958.53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2958.53</v>
      </c>
      <c r="E132" s="414"/>
    </row>
    <row r="133" spans="1:5" x14ac:dyDescent="0.2">
      <c r="A133" s="728" t="s">
        <v>91</v>
      </c>
      <c r="B133" s="728"/>
      <c r="C133" s="728"/>
      <c r="D133" s="378">
        <v>10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29585.3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2958.53</v>
      </c>
      <c r="E137" s="369">
        <v>2234.4499999999998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29585.3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355023.6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97" zoomScaleNormal="100" zoomScaleSheetLayoutView="100" workbookViewId="0">
      <selection activeCell="D134" sqref="D134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75" t="s">
        <v>1</v>
      </c>
      <c r="B8" s="4" t="s">
        <v>5</v>
      </c>
      <c r="C8" s="654">
        <v>41015</v>
      </c>
      <c r="D8" s="651"/>
    </row>
    <row r="9" spans="1:4" x14ac:dyDescent="0.2">
      <c r="A9" s="175" t="s">
        <v>2</v>
      </c>
      <c r="B9" s="4" t="s">
        <v>114</v>
      </c>
      <c r="C9" s="655" t="s">
        <v>140</v>
      </c>
      <c r="D9" s="655"/>
    </row>
    <row r="10" spans="1:4" x14ac:dyDescent="0.2">
      <c r="A10" s="175" t="s">
        <v>4</v>
      </c>
      <c r="B10" s="4" t="s">
        <v>6</v>
      </c>
      <c r="C10" s="654">
        <v>40544</v>
      </c>
      <c r="D10" s="651"/>
    </row>
    <row r="11" spans="1:4" x14ac:dyDescent="0.2">
      <c r="A11" s="175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79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75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3.25</v>
      </c>
      <c r="D43" s="378">
        <f>ROUND((C43*44)-(D29*6%),2)</f>
        <v>86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384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75" t="s">
        <v>4</v>
      </c>
      <c r="B55" s="4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175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74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74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74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74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74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74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74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74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128" t="s">
        <v>125</v>
      </c>
      <c r="F71" s="38">
        <v>1.5</v>
      </c>
    </row>
    <row r="72" spans="1:6" x14ac:dyDescent="0.2">
      <c r="A72" s="174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74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74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74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74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74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75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75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75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75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75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75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75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75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75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75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76">
        <v>4</v>
      </c>
      <c r="B99" s="665" t="s">
        <v>68</v>
      </c>
      <c r="C99" s="665"/>
      <c r="D99" s="12" t="s">
        <v>98</v>
      </c>
    </row>
    <row r="100" spans="1:5" x14ac:dyDescent="0.2">
      <c r="A100" s="175" t="s">
        <v>63</v>
      </c>
      <c r="B100" s="180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75" t="s">
        <v>64</v>
      </c>
      <c r="B101" s="180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74" t="s">
        <v>65</v>
      </c>
      <c r="B102" s="180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74" t="s">
        <v>66</v>
      </c>
      <c r="B103" s="180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74" t="s">
        <v>67</v>
      </c>
      <c r="B104" s="180" t="s">
        <v>29</v>
      </c>
      <c r="C104" s="178"/>
      <c r="D104" s="13"/>
    </row>
    <row r="105" spans="1:5" x14ac:dyDescent="0.2">
      <c r="A105" s="175"/>
      <c r="B105" s="177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2613.4499999999998</v>
      </c>
    </row>
    <row r="107" spans="1:5" x14ac:dyDescent="0.2">
      <c r="A107" s="17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75" t="s">
        <v>1</v>
      </c>
      <c r="B108" s="4" t="s">
        <v>73</v>
      </c>
      <c r="C108" s="10">
        <v>1.06E-2</v>
      </c>
      <c r="D108" s="13">
        <f>ROUND($D$106*C108,2)</f>
        <v>27.7</v>
      </c>
    </row>
    <row r="109" spans="1:5" x14ac:dyDescent="0.2">
      <c r="A109" s="175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49.91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229.89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90.75</v>
      </c>
      <c r="F114" s="40">
        <f>ROUND(D115+D108+D106,2)</f>
        <v>2654.36</v>
      </c>
    </row>
    <row r="115" spans="1:6" x14ac:dyDescent="0.2">
      <c r="A115" s="175" t="s">
        <v>4</v>
      </c>
      <c r="B115" s="4" t="s">
        <v>80</v>
      </c>
      <c r="C115" s="10">
        <v>5.0000000000000001E-3</v>
      </c>
      <c r="D115" s="13">
        <f>ROUND(($D$106+D108)*C115,2)</f>
        <v>13.21</v>
      </c>
      <c r="F115" s="41">
        <f>ROUND(F114/(1-F113),2)</f>
        <v>3024.91</v>
      </c>
    </row>
    <row r="116" spans="1:6" x14ac:dyDescent="0.2">
      <c r="A116" s="677" t="s">
        <v>46</v>
      </c>
      <c r="B116" s="682"/>
      <c r="C116" s="678"/>
      <c r="D116" s="22">
        <f>ROUND(SUM(D108:D115),2)</f>
        <v>411.46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75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75" t="s">
        <v>2</v>
      </c>
      <c r="B121" s="658" t="s">
        <v>84</v>
      </c>
      <c r="C121" s="658"/>
      <c r="D121" s="13">
        <f>D49</f>
        <v>384</v>
      </c>
    </row>
    <row r="122" spans="1:6" x14ac:dyDescent="0.2">
      <c r="A122" s="175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75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2613.4499999999998</v>
      </c>
    </row>
    <row r="125" spans="1:6" x14ac:dyDescent="0.2">
      <c r="A125" s="175" t="s">
        <v>18</v>
      </c>
      <c r="B125" s="683" t="s">
        <v>86</v>
      </c>
      <c r="C125" s="683"/>
      <c r="D125" s="13">
        <f>D116</f>
        <v>411.46</v>
      </c>
    </row>
    <row r="126" spans="1:6" x14ac:dyDescent="0.2">
      <c r="A126" s="655" t="s">
        <v>87</v>
      </c>
      <c r="B126" s="655"/>
      <c r="C126" s="655"/>
      <c r="D126" s="22">
        <f>ROUND(D125+D124,2)</f>
        <v>3024.91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3024.91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3024.91</v>
      </c>
      <c r="E132" s="200"/>
    </row>
    <row r="133" spans="1:5" x14ac:dyDescent="0.2">
      <c r="A133" s="658" t="s">
        <v>91</v>
      </c>
      <c r="B133" s="658"/>
      <c r="C133" s="658"/>
      <c r="D133" s="13">
        <v>2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6049.82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75" t="s">
        <v>1</v>
      </c>
      <c r="B137" s="658" t="s">
        <v>93</v>
      </c>
      <c r="C137" s="658"/>
      <c r="D137" s="202">
        <f>D130</f>
        <v>3024.91</v>
      </c>
      <c r="E137" s="201">
        <v>2274.4</v>
      </c>
    </row>
    <row r="138" spans="1:5" x14ac:dyDescent="0.2">
      <c r="A138" s="175" t="s">
        <v>2</v>
      </c>
      <c r="B138" s="658" t="s">
        <v>94</v>
      </c>
      <c r="C138" s="658"/>
      <c r="D138" s="13">
        <f>D134</f>
        <v>6049.82</v>
      </c>
    </row>
    <row r="139" spans="1:5" x14ac:dyDescent="0.2">
      <c r="A139" s="176" t="s">
        <v>4</v>
      </c>
      <c r="B139" s="665" t="s">
        <v>95</v>
      </c>
      <c r="C139" s="665"/>
      <c r="D139" s="22">
        <f>ROUND(D138*12,2)</f>
        <v>72597.84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colBreaks count="1" manualBreakCount="1">
    <brk id="5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2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14.7109375" style="369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672" t="s">
        <v>128</v>
      </c>
      <c r="B7" s="723"/>
      <c r="C7" s="723"/>
      <c r="D7" s="673"/>
    </row>
    <row r="8" spans="1:4" x14ac:dyDescent="0.2">
      <c r="A8" s="370" t="s">
        <v>1</v>
      </c>
      <c r="B8" s="368" t="s">
        <v>5</v>
      </c>
      <c r="C8" s="753"/>
      <c r="D8" s="754"/>
    </row>
    <row r="9" spans="1:4" x14ac:dyDescent="0.2">
      <c r="A9" s="370" t="s">
        <v>2</v>
      </c>
      <c r="B9" s="368" t="s">
        <v>114</v>
      </c>
      <c r="C9" s="672" t="s">
        <v>140</v>
      </c>
      <c r="D9" s="673"/>
    </row>
    <row r="10" spans="1:4" x14ac:dyDescent="0.2">
      <c r="A10" s="370" t="s">
        <v>4</v>
      </c>
      <c r="B10" s="368" t="s">
        <v>6</v>
      </c>
      <c r="C10" s="753">
        <v>40909</v>
      </c>
      <c r="D10" s="754"/>
    </row>
    <row r="11" spans="1:4" x14ac:dyDescent="0.2">
      <c r="A11" s="370" t="s">
        <v>3</v>
      </c>
      <c r="B11" s="368" t="s">
        <v>7</v>
      </c>
      <c r="C11" s="750" t="s">
        <v>141</v>
      </c>
      <c r="D11" s="740"/>
    </row>
    <row r="13" spans="1:4" x14ac:dyDescent="0.2">
      <c r="A13" s="672" t="s">
        <v>8</v>
      </c>
      <c r="B13" s="723"/>
      <c r="C13" s="723"/>
      <c r="D13" s="673"/>
    </row>
    <row r="14" spans="1:4" x14ac:dyDescent="0.2">
      <c r="A14" s="743" t="s">
        <v>9</v>
      </c>
      <c r="B14" s="744"/>
      <c r="C14" s="750" t="s">
        <v>113</v>
      </c>
      <c r="D14" s="740"/>
    </row>
    <row r="15" spans="1:4" x14ac:dyDescent="0.2">
      <c r="A15" s="743" t="s">
        <v>129</v>
      </c>
      <c r="B15" s="744"/>
      <c r="C15" s="750" t="s">
        <v>142</v>
      </c>
      <c r="D15" s="740"/>
    </row>
    <row r="16" spans="1:4" x14ac:dyDescent="0.2">
      <c r="A16" s="743" t="s">
        <v>10</v>
      </c>
      <c r="B16" s="744"/>
      <c r="C16" s="751">
        <f>3+1</f>
        <v>4</v>
      </c>
      <c r="D16" s="752"/>
    </row>
    <row r="17" spans="1:5" x14ac:dyDescent="0.2">
      <c r="A17" s="743" t="s">
        <v>253</v>
      </c>
      <c r="B17" s="744"/>
      <c r="C17" s="751" t="s">
        <v>254</v>
      </c>
      <c r="D17" s="752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749" t="s">
        <v>11</v>
      </c>
      <c r="B20" s="749"/>
      <c r="C20" s="749"/>
      <c r="D20" s="749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50" t="s">
        <v>145</v>
      </c>
      <c r="D22" s="740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749" t="s">
        <v>99</v>
      </c>
      <c r="B41" s="749"/>
      <c r="C41" s="749"/>
      <c r="D41" s="749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3.25</v>
      </c>
      <c r="D43" s="378">
        <f>ROUND((C43*44)-(D29*6%),2)</f>
        <v>86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384</v>
      </c>
    </row>
    <row r="50" spans="1:5" ht="13.5" customHeight="1" x14ac:dyDescent="0.2">
      <c r="A50" s="398"/>
    </row>
    <row r="51" spans="1:5" ht="13.5" customHeight="1" x14ac:dyDescent="0.2">
      <c r="A51" s="749" t="s">
        <v>100</v>
      </c>
      <c r="B51" s="749"/>
      <c r="C51" s="749"/>
      <c r="D51" s="749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749" t="s">
        <v>101</v>
      </c>
      <c r="B59" s="749"/>
      <c r="C59" s="749"/>
      <c r="D59" s="749"/>
    </row>
    <row r="60" spans="1:5" x14ac:dyDescent="0.2">
      <c r="A60" s="726" t="s">
        <v>102</v>
      </c>
      <c r="B60" s="727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673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6" t="s">
        <v>103</v>
      </c>
      <c r="B71" s="727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672" t="s">
        <v>49</v>
      </c>
      <c r="B74" s="673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672" t="s">
        <v>46</v>
      </c>
      <c r="B76" s="673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672" t="s">
        <v>46</v>
      </c>
      <c r="B85" s="673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672" t="s">
        <v>49</v>
      </c>
      <c r="B94" s="673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672" t="s">
        <v>46</v>
      </c>
      <c r="B96" s="673"/>
      <c r="C96" s="402">
        <f>C95+C94</f>
        <v>0.1278</v>
      </c>
      <c r="D96" s="388">
        <f>ROUND(D95+D94,2)</f>
        <v>125.82</v>
      </c>
    </row>
    <row r="98" spans="1:5" x14ac:dyDescent="0.2">
      <c r="A98" s="749" t="s">
        <v>62</v>
      </c>
      <c r="B98" s="749"/>
      <c r="C98" s="749"/>
      <c r="D98" s="749"/>
    </row>
    <row r="99" spans="1:5" x14ac:dyDescent="0.2">
      <c r="A99" s="404">
        <v>4</v>
      </c>
      <c r="B99" s="726" t="s">
        <v>68</v>
      </c>
      <c r="C99" s="727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2495.23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38.93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48.13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221.68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87.5</v>
      </c>
      <c r="F114" s="434">
        <f>ROUND(D115+D108+D106,2)</f>
        <v>2559.5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25.34</v>
      </c>
      <c r="F115" s="435">
        <f>ROUND(F114/(1-F113),2)</f>
        <v>2916.81</v>
      </c>
    </row>
    <row r="116" spans="1:6" x14ac:dyDescent="0.2">
      <c r="A116" s="672" t="s">
        <v>46</v>
      </c>
      <c r="B116" s="723"/>
      <c r="C116" s="673"/>
      <c r="D116" s="388">
        <f>ROUND(SUM(D108:D115),2)</f>
        <v>421.58</v>
      </c>
    </row>
    <row r="117" spans="1:6" x14ac:dyDescent="0.2">
      <c r="D117" s="411"/>
    </row>
    <row r="118" spans="1:6" x14ac:dyDescent="0.2">
      <c r="A118" s="749" t="s">
        <v>81</v>
      </c>
      <c r="B118" s="749"/>
      <c r="C118" s="749"/>
      <c r="D118" s="749"/>
    </row>
    <row r="119" spans="1:6" x14ac:dyDescent="0.2">
      <c r="A119" s="672" t="s">
        <v>82</v>
      </c>
      <c r="B119" s="723"/>
      <c r="C119" s="723"/>
      <c r="D119" s="673"/>
    </row>
    <row r="120" spans="1:6" x14ac:dyDescent="0.2">
      <c r="A120" s="370" t="s">
        <v>1</v>
      </c>
      <c r="B120" s="743" t="s">
        <v>83</v>
      </c>
      <c r="C120" s="744"/>
      <c r="D120" s="378">
        <f>D39</f>
        <v>984.5</v>
      </c>
    </row>
    <row r="121" spans="1:6" x14ac:dyDescent="0.2">
      <c r="A121" s="370" t="s">
        <v>2</v>
      </c>
      <c r="B121" s="743" t="s">
        <v>84</v>
      </c>
      <c r="C121" s="744"/>
      <c r="D121" s="378">
        <f>D49</f>
        <v>384</v>
      </c>
    </row>
    <row r="122" spans="1:6" x14ac:dyDescent="0.2">
      <c r="A122" s="370" t="s">
        <v>4</v>
      </c>
      <c r="B122" s="743" t="s">
        <v>85</v>
      </c>
      <c r="C122" s="744"/>
      <c r="D122" s="378">
        <f>D57</f>
        <v>409.72</v>
      </c>
    </row>
    <row r="123" spans="1:6" x14ac:dyDescent="0.2">
      <c r="A123" s="370" t="s">
        <v>3</v>
      </c>
      <c r="B123" s="743" t="s">
        <v>127</v>
      </c>
      <c r="C123" s="744"/>
      <c r="D123" s="378">
        <f>D105</f>
        <v>717.01</v>
      </c>
    </row>
    <row r="124" spans="1:6" x14ac:dyDescent="0.2">
      <c r="A124" s="672" t="s">
        <v>49</v>
      </c>
      <c r="B124" s="723"/>
      <c r="C124" s="673"/>
      <c r="D124" s="388">
        <f>ROUND(SUM(D120:D123),2)</f>
        <v>2495.23</v>
      </c>
    </row>
    <row r="125" spans="1:6" x14ac:dyDescent="0.2">
      <c r="A125" s="370" t="s">
        <v>18</v>
      </c>
      <c r="B125" s="747" t="s">
        <v>86</v>
      </c>
      <c r="C125" s="748"/>
      <c r="D125" s="378">
        <f>D116</f>
        <v>421.58</v>
      </c>
    </row>
    <row r="126" spans="1:6" x14ac:dyDescent="0.2">
      <c r="A126" s="672" t="s">
        <v>87</v>
      </c>
      <c r="B126" s="723"/>
      <c r="C126" s="673"/>
      <c r="D126" s="388">
        <f>ROUND(D125+D124,2)</f>
        <v>2916.81</v>
      </c>
    </row>
    <row r="128" spans="1:6" x14ac:dyDescent="0.2">
      <c r="A128" s="672" t="s">
        <v>110</v>
      </c>
      <c r="B128" s="723"/>
      <c r="C128" s="723"/>
      <c r="D128" s="673"/>
    </row>
    <row r="129" spans="1:5" x14ac:dyDescent="0.2">
      <c r="A129" s="743" t="s">
        <v>13</v>
      </c>
      <c r="B129" s="746"/>
      <c r="C129" s="744"/>
      <c r="D129" s="378"/>
    </row>
    <row r="130" spans="1:5" x14ac:dyDescent="0.2">
      <c r="A130" s="743" t="s">
        <v>88</v>
      </c>
      <c r="B130" s="746"/>
      <c r="C130" s="744"/>
      <c r="D130" s="378">
        <f>D126</f>
        <v>2916.81</v>
      </c>
      <c r="E130" s="414"/>
    </row>
    <row r="131" spans="1:5" x14ac:dyDescent="0.2">
      <c r="A131" s="743" t="s">
        <v>89</v>
      </c>
      <c r="B131" s="746"/>
      <c r="C131" s="744"/>
      <c r="D131" s="378">
        <v>1</v>
      </c>
      <c r="E131" s="414"/>
    </row>
    <row r="132" spans="1:5" x14ac:dyDescent="0.2">
      <c r="A132" s="743" t="s">
        <v>90</v>
      </c>
      <c r="B132" s="746"/>
      <c r="C132" s="744"/>
      <c r="D132" s="378">
        <f>ROUND(D131*D130,2)</f>
        <v>2916.81</v>
      </c>
      <c r="E132" s="414"/>
    </row>
    <row r="133" spans="1:5" x14ac:dyDescent="0.2">
      <c r="A133" s="743" t="s">
        <v>91</v>
      </c>
      <c r="B133" s="746"/>
      <c r="C133" s="744"/>
      <c r="D133" s="378">
        <f>C16</f>
        <v>4</v>
      </c>
      <c r="E133" s="414"/>
    </row>
    <row r="134" spans="1:5" x14ac:dyDescent="0.2">
      <c r="A134" s="726" t="s">
        <v>92</v>
      </c>
      <c r="B134" s="741"/>
      <c r="C134" s="727"/>
      <c r="D134" s="388">
        <f>ROUND(D133*D132,2)</f>
        <v>11667.24</v>
      </c>
      <c r="E134" s="414"/>
    </row>
    <row r="135" spans="1:5" x14ac:dyDescent="0.2">
      <c r="E135" s="414"/>
    </row>
    <row r="136" spans="1:5" x14ac:dyDescent="0.2">
      <c r="A136" s="672" t="s">
        <v>111</v>
      </c>
      <c r="B136" s="723"/>
      <c r="C136" s="723"/>
      <c r="D136" s="673"/>
    </row>
    <row r="137" spans="1:5" x14ac:dyDescent="0.2">
      <c r="A137" s="370" t="s">
        <v>1</v>
      </c>
      <c r="B137" s="743" t="s">
        <v>93</v>
      </c>
      <c r="C137" s="744"/>
      <c r="D137" s="378">
        <f>D130</f>
        <v>2916.81</v>
      </c>
    </row>
    <row r="138" spans="1:5" x14ac:dyDescent="0.2">
      <c r="A138" s="370" t="s">
        <v>2</v>
      </c>
      <c r="B138" s="743" t="s">
        <v>94</v>
      </c>
      <c r="C138" s="744"/>
      <c r="D138" s="378">
        <f>D134</f>
        <v>11667.24</v>
      </c>
    </row>
    <row r="139" spans="1:5" x14ac:dyDescent="0.2">
      <c r="A139" s="404" t="s">
        <v>4</v>
      </c>
      <c r="B139" s="726" t="s">
        <v>95</v>
      </c>
      <c r="C139" s="727"/>
      <c r="D139" s="388">
        <f>ROUND(D138*12,2)</f>
        <v>140006.88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7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showGridLines="0" view="pageBreakPreview" topLeftCell="A31" zoomScaleNormal="100" zoomScaleSheetLayoutView="100" workbookViewId="0">
      <selection activeCell="D38" sqref="D38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128" bestFit="1" customWidth="1"/>
    <col min="6" max="6" width="9.28515625" style="37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138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2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2.5</v>
      </c>
      <c r="D43" s="378">
        <f>ROUND((C43*44)-(D29*6%),2)</f>
        <v>53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351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24" t="s">
        <v>4</v>
      </c>
      <c r="B55" s="4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124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128" t="s">
        <v>125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2580.4499999999998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27.35</v>
      </c>
    </row>
    <row r="109" spans="1:5" x14ac:dyDescent="0.2">
      <c r="A109" s="124" t="s">
        <v>2</v>
      </c>
      <c r="B109" s="4" t="s">
        <v>74</v>
      </c>
      <c r="C109" s="10"/>
      <c r="D109" s="13"/>
      <c r="E109" s="198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49.28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226.99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89.6</v>
      </c>
      <c r="F114" s="40">
        <f>ROUND(D115+D108+D106,2)</f>
        <v>2620.84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13.04</v>
      </c>
      <c r="F115" s="41">
        <f>ROUND(F114/(1-F113),2)</f>
        <v>2986.71</v>
      </c>
    </row>
    <row r="116" spans="1:6" x14ac:dyDescent="0.2">
      <c r="A116" s="677" t="s">
        <v>46</v>
      </c>
      <c r="B116" s="682"/>
      <c r="C116" s="678"/>
      <c r="D116" s="22">
        <f>ROUND(SUM(D108:D115),2)</f>
        <v>406.26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351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2580.4499999999998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406.26</v>
      </c>
    </row>
    <row r="126" spans="1:6" x14ac:dyDescent="0.2">
      <c r="A126" s="655" t="s">
        <v>87</v>
      </c>
      <c r="B126" s="655"/>
      <c r="C126" s="655"/>
      <c r="D126" s="22">
        <f>ROUND(D125+D124,2)</f>
        <v>2986.71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2986.71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2986.71</v>
      </c>
      <c r="E132" s="200"/>
    </row>
    <row r="133" spans="1:5" x14ac:dyDescent="0.2">
      <c r="A133" s="658" t="s">
        <v>91</v>
      </c>
      <c r="B133" s="658"/>
      <c r="C133" s="658"/>
      <c r="D133" s="13">
        <v>2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5973.42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2986.71</v>
      </c>
      <c r="E137" s="201">
        <v>2261.56</v>
      </c>
    </row>
    <row r="138" spans="1:5" x14ac:dyDescent="0.2">
      <c r="A138" s="124" t="s">
        <v>2</v>
      </c>
      <c r="B138" s="658" t="s">
        <v>94</v>
      </c>
      <c r="C138" s="658"/>
      <c r="D138" s="13">
        <f>D134</f>
        <v>5973.42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71681.039999999994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4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370" t="s">
        <v>1</v>
      </c>
      <c r="B8" s="368" t="s">
        <v>5</v>
      </c>
      <c r="C8" s="669"/>
      <c r="D8" s="668"/>
    </row>
    <row r="9" spans="1:4" x14ac:dyDescent="0.2">
      <c r="A9" s="370" t="s">
        <v>2</v>
      </c>
      <c r="B9" s="368" t="s">
        <v>114</v>
      </c>
      <c r="C9" s="725" t="s">
        <v>138</v>
      </c>
      <c r="D9" s="725"/>
    </row>
    <row r="10" spans="1:4" x14ac:dyDescent="0.2">
      <c r="A10" s="370" t="s">
        <v>4</v>
      </c>
      <c r="B10" s="368" t="s">
        <v>6</v>
      </c>
      <c r="C10" s="669">
        <v>40909</v>
      </c>
      <c r="D10" s="668"/>
    </row>
    <row r="11" spans="1:4" x14ac:dyDescent="0.2">
      <c r="A11" s="370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20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7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370">
        <v>1</v>
      </c>
      <c r="B22" s="368" t="s">
        <v>131</v>
      </c>
      <c r="C22" s="742" t="s">
        <v>145</v>
      </c>
      <c r="D22" s="668"/>
    </row>
    <row r="23" spans="1:5" x14ac:dyDescent="0.2">
      <c r="A23" s="370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370">
        <v>3</v>
      </c>
      <c r="B24" s="368" t="s">
        <v>15</v>
      </c>
      <c r="C24" s="667" t="s">
        <v>146</v>
      </c>
      <c r="D24" s="668"/>
    </row>
    <row r="25" spans="1:5" x14ac:dyDescent="0.2">
      <c r="A25" s="370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04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370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370" t="s">
        <v>2</v>
      </c>
      <c r="B30" s="368" t="s">
        <v>23</v>
      </c>
      <c r="C30" s="380"/>
      <c r="D30" s="378"/>
    </row>
    <row r="31" spans="1:5" x14ac:dyDescent="0.2">
      <c r="A31" s="370" t="s">
        <v>4</v>
      </c>
      <c r="B31" s="368" t="s">
        <v>24</v>
      </c>
      <c r="C31" s="380"/>
      <c r="D31" s="378"/>
      <c r="E31" s="381"/>
    </row>
    <row r="32" spans="1:5" x14ac:dyDescent="0.2">
      <c r="A32" s="370" t="s">
        <v>3</v>
      </c>
      <c r="B32" s="368" t="s">
        <v>25</v>
      </c>
      <c r="C32" s="382"/>
      <c r="D32" s="378"/>
      <c r="E32" s="379"/>
    </row>
    <row r="33" spans="1:5" x14ac:dyDescent="0.2">
      <c r="A33" s="370" t="s">
        <v>18</v>
      </c>
      <c r="B33" s="368" t="s">
        <v>26</v>
      </c>
      <c r="C33" s="382"/>
      <c r="D33" s="378"/>
      <c r="E33" s="379"/>
    </row>
    <row r="34" spans="1:5" x14ac:dyDescent="0.2">
      <c r="A34" s="370" t="s">
        <v>19</v>
      </c>
      <c r="B34" s="368" t="s">
        <v>27</v>
      </c>
      <c r="C34" s="377"/>
      <c r="D34" s="378"/>
      <c r="E34" s="381"/>
    </row>
    <row r="35" spans="1:5" x14ac:dyDescent="0.2">
      <c r="A35" s="370" t="s">
        <v>20</v>
      </c>
      <c r="B35" s="368" t="s">
        <v>28</v>
      </c>
      <c r="C35" s="382"/>
      <c r="D35" s="378"/>
      <c r="E35" s="379"/>
    </row>
    <row r="36" spans="1:5" x14ac:dyDescent="0.2">
      <c r="A36" s="370" t="s">
        <v>21</v>
      </c>
      <c r="B36" s="368" t="s">
        <v>119</v>
      </c>
      <c r="C36" s="377"/>
      <c r="D36" s="378"/>
    </row>
    <row r="37" spans="1:5" x14ac:dyDescent="0.2">
      <c r="A37" s="370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04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370" t="s">
        <v>1</v>
      </c>
      <c r="B43" s="393" t="s">
        <v>133</v>
      </c>
      <c r="C43" s="378">
        <v>2.5</v>
      </c>
      <c r="D43" s="378">
        <f>ROUND((C43*44)-(D29*6%),2)</f>
        <v>53</v>
      </c>
      <c r="E43" s="394"/>
    </row>
    <row r="44" spans="1:5" ht="13.5" customHeight="1" x14ac:dyDescent="0.2">
      <c r="A44" s="370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370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370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370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370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351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04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370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370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370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370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370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370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370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370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370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370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370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370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370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370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04">
        <v>4</v>
      </c>
      <c r="B99" s="722" t="s">
        <v>68</v>
      </c>
      <c r="C99" s="722"/>
      <c r="D99" s="376" t="s">
        <v>98</v>
      </c>
    </row>
    <row r="100" spans="1:5" x14ac:dyDescent="0.2">
      <c r="A100" s="370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370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13"/>
      <c r="D104" s="378"/>
    </row>
    <row r="105" spans="1:5" x14ac:dyDescent="0.2">
      <c r="A105" s="370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2462.23</v>
      </c>
    </row>
    <row r="107" spans="1:5" x14ac:dyDescent="0.2">
      <c r="A107" s="404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370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38.409999999999997</v>
      </c>
    </row>
    <row r="109" spans="1:5" x14ac:dyDescent="0.2">
      <c r="A109" s="370" t="s">
        <v>2</v>
      </c>
      <c r="B109" s="368" t="s">
        <v>74</v>
      </c>
      <c r="C109" s="397"/>
      <c r="D109" s="378"/>
      <c r="E109" s="396"/>
    </row>
    <row r="110" spans="1:5" x14ac:dyDescent="0.2">
      <c r="A110" s="370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370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370" t="s">
        <v>107</v>
      </c>
      <c r="B112" s="368" t="s">
        <v>77</v>
      </c>
      <c r="C112" s="397">
        <v>1.6500000000000001E-2</v>
      </c>
      <c r="D112" s="378">
        <f>ROUND($F$115*C112,2)</f>
        <v>47.49</v>
      </c>
    </row>
    <row r="113" spans="1:6" x14ac:dyDescent="0.2">
      <c r="A113" s="370" t="s">
        <v>108</v>
      </c>
      <c r="B113" s="368" t="s">
        <v>78</v>
      </c>
      <c r="C113" s="397">
        <v>7.5999999999999998E-2</v>
      </c>
      <c r="D113" s="378">
        <f>ROUND($F$115*C113,2)</f>
        <v>218.75</v>
      </c>
      <c r="F113" s="433">
        <f>SUM(C110:C114)</f>
        <v>0.1225</v>
      </c>
    </row>
    <row r="114" spans="1:6" x14ac:dyDescent="0.2">
      <c r="A114" s="370" t="s">
        <v>109</v>
      </c>
      <c r="B114" s="368" t="s">
        <v>79</v>
      </c>
      <c r="C114" s="412">
        <v>0.03</v>
      </c>
      <c r="D114" s="378">
        <f>ROUND($F$115*C114,2)</f>
        <v>86.35</v>
      </c>
      <c r="F114" s="434">
        <f>ROUND(D115+D108+D106,2)</f>
        <v>2525.65</v>
      </c>
    </row>
    <row r="115" spans="1:6" x14ac:dyDescent="0.2">
      <c r="A115" s="370" t="s">
        <v>4</v>
      </c>
      <c r="B115" s="368" t="s">
        <v>80</v>
      </c>
      <c r="C115" s="397">
        <f>CURITIBA!C115</f>
        <v>0.01</v>
      </c>
      <c r="D115" s="378">
        <f>ROUND(($D$106+D108)*C115,2)</f>
        <v>25.01</v>
      </c>
      <c r="F115" s="435">
        <f>ROUND(F114/(1-F113),2)</f>
        <v>2878.23</v>
      </c>
    </row>
    <row r="116" spans="1:6" x14ac:dyDescent="0.2">
      <c r="A116" s="672" t="s">
        <v>46</v>
      </c>
      <c r="B116" s="723"/>
      <c r="C116" s="673"/>
      <c r="D116" s="388">
        <f>ROUND(SUM(D108:D115),2)</f>
        <v>416.01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370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370" t="s">
        <v>2</v>
      </c>
      <c r="B121" s="728" t="s">
        <v>84</v>
      </c>
      <c r="C121" s="728"/>
      <c r="D121" s="378">
        <f>D49</f>
        <v>351</v>
      </c>
    </row>
    <row r="122" spans="1:6" x14ac:dyDescent="0.2">
      <c r="A122" s="370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370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2462.23</v>
      </c>
    </row>
    <row r="125" spans="1:6" x14ac:dyDescent="0.2">
      <c r="A125" s="370" t="s">
        <v>18</v>
      </c>
      <c r="B125" s="729" t="s">
        <v>86</v>
      </c>
      <c r="C125" s="729"/>
      <c r="D125" s="378">
        <f>D116</f>
        <v>416.01</v>
      </c>
    </row>
    <row r="126" spans="1:6" x14ac:dyDescent="0.2">
      <c r="A126" s="725" t="s">
        <v>87</v>
      </c>
      <c r="B126" s="725"/>
      <c r="C126" s="725"/>
      <c r="D126" s="388">
        <f>ROUND(D125+D124,2)</f>
        <v>2878.24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2878.24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2878.24</v>
      </c>
      <c r="E132" s="414"/>
    </row>
    <row r="133" spans="1:5" x14ac:dyDescent="0.2">
      <c r="A133" s="728" t="s">
        <v>91</v>
      </c>
      <c r="B133" s="728"/>
      <c r="C133" s="728"/>
      <c r="D133" s="378">
        <v>20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57564.800000000003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370" t="s">
        <v>1</v>
      </c>
      <c r="B137" s="728" t="s">
        <v>93</v>
      </c>
      <c r="C137" s="728"/>
      <c r="D137" s="378">
        <f>D130</f>
        <v>2878.24</v>
      </c>
    </row>
    <row r="138" spans="1:5" x14ac:dyDescent="0.2">
      <c r="A138" s="370" t="s">
        <v>2</v>
      </c>
      <c r="B138" s="728" t="s">
        <v>94</v>
      </c>
      <c r="C138" s="728"/>
      <c r="D138" s="378">
        <f>D134</f>
        <v>57564.800000000003</v>
      </c>
    </row>
    <row r="139" spans="1:5" x14ac:dyDescent="0.2">
      <c r="A139" s="404" t="s">
        <v>4</v>
      </c>
      <c r="B139" s="722" t="s">
        <v>95</v>
      </c>
      <c r="C139" s="722"/>
      <c r="D139" s="388">
        <f>ROUND(D138*12,2)</f>
        <v>690777.59999999998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9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496" t="s">
        <v>1</v>
      </c>
      <c r="B8" s="368" t="s">
        <v>5</v>
      </c>
      <c r="C8" s="669"/>
      <c r="D8" s="668"/>
    </row>
    <row r="9" spans="1:4" x14ac:dyDescent="0.2">
      <c r="A9" s="496" t="s">
        <v>2</v>
      </c>
      <c r="B9" s="368" t="s">
        <v>114</v>
      </c>
      <c r="C9" s="725" t="s">
        <v>537</v>
      </c>
      <c r="D9" s="725"/>
    </row>
    <row r="10" spans="1:4" x14ac:dyDescent="0.2">
      <c r="A10" s="496" t="s">
        <v>4</v>
      </c>
      <c r="B10" s="368" t="s">
        <v>6</v>
      </c>
      <c r="C10" s="669">
        <v>40909</v>
      </c>
      <c r="D10" s="668"/>
    </row>
    <row r="11" spans="1:4" x14ac:dyDescent="0.2">
      <c r="A11" s="496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1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503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496">
        <v>1</v>
      </c>
      <c r="B22" s="368" t="s">
        <v>131</v>
      </c>
      <c r="C22" s="742" t="s">
        <v>145</v>
      </c>
      <c r="D22" s="668"/>
    </row>
    <row r="23" spans="1:5" x14ac:dyDescent="0.2">
      <c r="A23" s="496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496">
        <v>3</v>
      </c>
      <c r="B24" s="368" t="s">
        <v>15</v>
      </c>
      <c r="C24" s="667" t="s">
        <v>146</v>
      </c>
      <c r="D24" s="668"/>
    </row>
    <row r="25" spans="1:5" x14ac:dyDescent="0.2">
      <c r="A25" s="496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98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496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496" t="s">
        <v>2</v>
      </c>
      <c r="B30" s="368" t="s">
        <v>23</v>
      </c>
      <c r="C30" s="380"/>
      <c r="D30" s="378"/>
    </row>
    <row r="31" spans="1:5" x14ac:dyDescent="0.2">
      <c r="A31" s="496" t="s">
        <v>4</v>
      </c>
      <c r="B31" s="368" t="s">
        <v>24</v>
      </c>
      <c r="C31" s="380"/>
      <c r="D31" s="378"/>
      <c r="E31" s="381"/>
    </row>
    <row r="32" spans="1:5" x14ac:dyDescent="0.2">
      <c r="A32" s="496" t="s">
        <v>3</v>
      </c>
      <c r="B32" s="368" t="s">
        <v>25</v>
      </c>
      <c r="C32" s="382"/>
      <c r="D32" s="378"/>
      <c r="E32" s="379"/>
    </row>
    <row r="33" spans="1:5" x14ac:dyDescent="0.2">
      <c r="A33" s="496" t="s">
        <v>18</v>
      </c>
      <c r="B33" s="368" t="s">
        <v>26</v>
      </c>
      <c r="C33" s="382"/>
      <c r="D33" s="378"/>
      <c r="E33" s="379"/>
    </row>
    <row r="34" spans="1:5" x14ac:dyDescent="0.2">
      <c r="A34" s="496" t="s">
        <v>19</v>
      </c>
      <c r="B34" s="368" t="s">
        <v>27</v>
      </c>
      <c r="C34" s="377"/>
      <c r="D34" s="378"/>
      <c r="E34" s="381"/>
    </row>
    <row r="35" spans="1:5" x14ac:dyDescent="0.2">
      <c r="A35" s="496" t="s">
        <v>20</v>
      </c>
      <c r="B35" s="368" t="s">
        <v>28</v>
      </c>
      <c r="C35" s="382"/>
      <c r="D35" s="378"/>
      <c r="E35" s="379"/>
    </row>
    <row r="36" spans="1:5" x14ac:dyDescent="0.2">
      <c r="A36" s="496" t="s">
        <v>21</v>
      </c>
      <c r="B36" s="368" t="s">
        <v>119</v>
      </c>
      <c r="C36" s="377"/>
      <c r="D36" s="378"/>
    </row>
    <row r="37" spans="1:5" x14ac:dyDescent="0.2">
      <c r="A37" s="496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98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496" t="s">
        <v>1</v>
      </c>
      <c r="B43" s="393" t="s">
        <v>133</v>
      </c>
      <c r="C43" s="378">
        <v>2.2999999999999998</v>
      </c>
      <c r="D43" s="378">
        <f>ROUND((C43*44)-(D29*6%),2)</f>
        <v>44.2</v>
      </c>
      <c r="E43" s="394"/>
    </row>
    <row r="44" spans="1:5" ht="13.5" customHeight="1" x14ac:dyDescent="0.2">
      <c r="A44" s="496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496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496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496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496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342.2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98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496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496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496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496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504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504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504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504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504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504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504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504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504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504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504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504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504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504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496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496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496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496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496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496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496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496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496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496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98">
        <v>4</v>
      </c>
      <c r="B99" s="722" t="s">
        <v>68</v>
      </c>
      <c r="C99" s="722"/>
      <c r="D99" s="376" t="s">
        <v>98</v>
      </c>
    </row>
    <row r="100" spans="1:5" x14ac:dyDescent="0.2">
      <c r="A100" s="496" t="s">
        <v>63</v>
      </c>
      <c r="B100" s="505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496" t="s">
        <v>64</v>
      </c>
      <c r="B101" s="505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504" t="s">
        <v>65</v>
      </c>
      <c r="B102" s="505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504" t="s">
        <v>66</v>
      </c>
      <c r="B103" s="505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504" t="s">
        <v>67</v>
      </c>
      <c r="B104" s="505" t="s">
        <v>29</v>
      </c>
      <c r="C104" s="499"/>
      <c r="D104" s="378"/>
    </row>
    <row r="105" spans="1:5" x14ac:dyDescent="0.2">
      <c r="A105" s="496"/>
      <c r="B105" s="497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2453.4299999999998</v>
      </c>
    </row>
    <row r="107" spans="1:5" x14ac:dyDescent="0.2">
      <c r="A107" s="498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496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38.270000000000003</v>
      </c>
    </row>
    <row r="109" spans="1:5" x14ac:dyDescent="0.2">
      <c r="A109" s="496" t="s">
        <v>2</v>
      </c>
      <c r="B109" s="368" t="s">
        <v>74</v>
      </c>
      <c r="C109" s="397"/>
      <c r="D109" s="378"/>
      <c r="E109" s="396"/>
    </row>
    <row r="110" spans="1:5" x14ac:dyDescent="0.2">
      <c r="A110" s="496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496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496" t="s">
        <v>107</v>
      </c>
      <c r="B112" s="368" t="s">
        <v>77</v>
      </c>
      <c r="C112" s="397">
        <v>1.6500000000000001E-2</v>
      </c>
      <c r="D112" s="378">
        <f>ROUND($F$115*C112,2)</f>
        <v>47.32</v>
      </c>
    </row>
    <row r="113" spans="1:6" x14ac:dyDescent="0.2">
      <c r="A113" s="496" t="s">
        <v>108</v>
      </c>
      <c r="B113" s="368" t="s">
        <v>78</v>
      </c>
      <c r="C113" s="397">
        <v>7.5999999999999998E-2</v>
      </c>
      <c r="D113" s="378">
        <f>ROUND($F$115*C113,2)</f>
        <v>217.96</v>
      </c>
      <c r="F113" s="433">
        <f>SUM(C110:C114)</f>
        <v>0.1225</v>
      </c>
    </row>
    <row r="114" spans="1:6" x14ac:dyDescent="0.2">
      <c r="A114" s="496" t="s">
        <v>109</v>
      </c>
      <c r="B114" s="368" t="s">
        <v>79</v>
      </c>
      <c r="C114" s="412">
        <v>0.03</v>
      </c>
      <c r="D114" s="378">
        <f>ROUND($F$115*C114,2)</f>
        <v>86.04</v>
      </c>
      <c r="F114" s="434">
        <f>ROUND(D115+D108+D106,2)</f>
        <v>2516.62</v>
      </c>
    </row>
    <row r="115" spans="1:6" x14ac:dyDescent="0.2">
      <c r="A115" s="496" t="s">
        <v>4</v>
      </c>
      <c r="B115" s="368" t="s">
        <v>80</v>
      </c>
      <c r="C115" s="397">
        <f>CURITIBA!C115</f>
        <v>0.01</v>
      </c>
      <c r="D115" s="378">
        <f>ROUND(($D$106+D108)*C115,2)</f>
        <v>24.92</v>
      </c>
      <c r="F115" s="435">
        <f>ROUND(F114/(1-F113),2)</f>
        <v>2867.94</v>
      </c>
    </row>
    <row r="116" spans="1:6" x14ac:dyDescent="0.2">
      <c r="A116" s="672" t="s">
        <v>46</v>
      </c>
      <c r="B116" s="723"/>
      <c r="C116" s="673"/>
      <c r="D116" s="388">
        <f>ROUND(SUM(D108:D115),2)</f>
        <v>414.51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496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496" t="s">
        <v>2</v>
      </c>
      <c r="B121" s="728" t="s">
        <v>84</v>
      </c>
      <c r="C121" s="728"/>
      <c r="D121" s="378">
        <f>D49</f>
        <v>342.2</v>
      </c>
    </row>
    <row r="122" spans="1:6" x14ac:dyDescent="0.2">
      <c r="A122" s="496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496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2453.4299999999998</v>
      </c>
    </row>
    <row r="125" spans="1:6" x14ac:dyDescent="0.2">
      <c r="A125" s="496" t="s">
        <v>18</v>
      </c>
      <c r="B125" s="729" t="s">
        <v>86</v>
      </c>
      <c r="C125" s="729"/>
      <c r="D125" s="378">
        <f>D116</f>
        <v>414.51</v>
      </c>
    </row>
    <row r="126" spans="1:6" x14ac:dyDescent="0.2">
      <c r="A126" s="725" t="s">
        <v>87</v>
      </c>
      <c r="B126" s="725"/>
      <c r="C126" s="725"/>
      <c r="D126" s="388">
        <f>ROUND(D125+D124,2)</f>
        <v>2867.94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2867.94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2867.94</v>
      </c>
      <c r="E132" s="414"/>
    </row>
    <row r="133" spans="1:5" x14ac:dyDescent="0.2">
      <c r="A133" s="728" t="s">
        <v>91</v>
      </c>
      <c r="B133" s="728"/>
      <c r="C133" s="728"/>
      <c r="D133" s="378">
        <v>1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2867.94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496" t="s">
        <v>1</v>
      </c>
      <c r="B137" s="728" t="s">
        <v>93</v>
      </c>
      <c r="C137" s="728"/>
      <c r="D137" s="378">
        <f>D130</f>
        <v>2867.94</v>
      </c>
    </row>
    <row r="138" spans="1:5" x14ac:dyDescent="0.2">
      <c r="A138" s="496" t="s">
        <v>2</v>
      </c>
      <c r="B138" s="728" t="s">
        <v>94</v>
      </c>
      <c r="C138" s="728"/>
      <c r="D138" s="378">
        <f>D134</f>
        <v>2867.94</v>
      </c>
    </row>
    <row r="139" spans="1:5" x14ac:dyDescent="0.2">
      <c r="A139" s="498" t="s">
        <v>4</v>
      </c>
      <c r="B139" s="722" t="s">
        <v>95</v>
      </c>
      <c r="C139" s="722"/>
      <c r="D139" s="388">
        <f>ROUND(D138*12,2)</f>
        <v>34415.279999999999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showGridLines="0" view="pageBreakPreview" topLeftCell="A25" zoomScaleNormal="100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128" bestFit="1" customWidth="1"/>
    <col min="6" max="6" width="9.28515625" style="37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493" t="s">
        <v>1</v>
      </c>
      <c r="B8" s="4" t="s">
        <v>5</v>
      </c>
      <c r="C8" s="654">
        <v>41015</v>
      </c>
      <c r="D8" s="651"/>
    </row>
    <row r="9" spans="1:4" x14ac:dyDescent="0.2">
      <c r="A9" s="493" t="s">
        <v>2</v>
      </c>
      <c r="B9" s="4" t="s">
        <v>114</v>
      </c>
      <c r="C9" s="655" t="s">
        <v>537</v>
      </c>
      <c r="D9" s="655"/>
    </row>
    <row r="10" spans="1:4" x14ac:dyDescent="0.2">
      <c r="A10" s="493" t="s">
        <v>4</v>
      </c>
      <c r="B10" s="4" t="s">
        <v>6</v>
      </c>
      <c r="C10" s="654">
        <v>40544</v>
      </c>
      <c r="D10" s="651"/>
    </row>
    <row r="11" spans="1:4" x14ac:dyDescent="0.2">
      <c r="A11" s="493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500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493">
        <v>1</v>
      </c>
      <c r="B22" s="4" t="s">
        <v>131</v>
      </c>
      <c r="C22" s="650" t="s">
        <v>145</v>
      </c>
      <c r="D22" s="651"/>
    </row>
    <row r="23" spans="1:5" x14ac:dyDescent="0.2">
      <c r="A23" s="496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496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496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498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496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496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496" t="s">
        <v>4</v>
      </c>
      <c r="B31" s="368" t="s">
        <v>24</v>
      </c>
      <c r="C31" s="380"/>
      <c r="D31" s="378"/>
      <c r="E31" s="381"/>
    </row>
    <row r="32" spans="1:5" x14ac:dyDescent="0.2">
      <c r="A32" s="496" t="s">
        <v>3</v>
      </c>
      <c r="B32" s="368" t="s">
        <v>25</v>
      </c>
      <c r="C32" s="382"/>
      <c r="D32" s="378"/>
      <c r="E32" s="379"/>
    </row>
    <row r="33" spans="1:5" x14ac:dyDescent="0.2">
      <c r="A33" s="496" t="s">
        <v>18</v>
      </c>
      <c r="B33" s="368" t="s">
        <v>26</v>
      </c>
      <c r="C33" s="382"/>
      <c r="D33" s="378"/>
      <c r="E33" s="379"/>
    </row>
    <row r="34" spans="1:5" x14ac:dyDescent="0.2">
      <c r="A34" s="496" t="s">
        <v>19</v>
      </c>
      <c r="B34" s="368" t="s">
        <v>27</v>
      </c>
      <c r="C34" s="377"/>
      <c r="D34" s="378"/>
      <c r="E34" s="381"/>
    </row>
    <row r="35" spans="1:5" x14ac:dyDescent="0.2">
      <c r="A35" s="496" t="s">
        <v>20</v>
      </c>
      <c r="B35" s="368" t="s">
        <v>28</v>
      </c>
      <c r="C35" s="382"/>
      <c r="D35" s="378"/>
      <c r="E35" s="379"/>
    </row>
    <row r="36" spans="1:5" x14ac:dyDescent="0.2">
      <c r="A36" s="496" t="s">
        <v>21</v>
      </c>
      <c r="B36" s="368" t="s">
        <v>119</v>
      </c>
      <c r="C36" s="377"/>
      <c r="D36" s="378"/>
      <c r="E36" s="369"/>
    </row>
    <row r="37" spans="1:5" x14ac:dyDescent="0.2">
      <c r="A37" s="496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498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496" t="s">
        <v>1</v>
      </c>
      <c r="B43" s="393" t="s">
        <v>133</v>
      </c>
      <c r="C43" s="378">
        <v>2.2999999999999998</v>
      </c>
      <c r="D43" s="378">
        <f>ROUND((C43*44)-(D29*6%),2)</f>
        <v>44.2</v>
      </c>
      <c r="E43" s="394"/>
    </row>
    <row r="44" spans="1:5" ht="13.5" customHeight="1" x14ac:dyDescent="0.2">
      <c r="A44" s="496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496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496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496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496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342.2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498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496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496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493" t="s">
        <v>4</v>
      </c>
      <c r="B55" s="4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493" t="s">
        <v>3</v>
      </c>
      <c r="B56" s="129" t="s">
        <v>251</v>
      </c>
      <c r="C56" s="13">
        <v>2.8</v>
      </c>
      <c r="D56" s="13">
        <f>C56</f>
        <v>2.8</v>
      </c>
      <c r="E56" s="198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492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492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492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492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492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492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492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492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128" t="s">
        <v>125</v>
      </c>
      <c r="F71" s="38">
        <v>1.5</v>
      </c>
    </row>
    <row r="72" spans="1:6" x14ac:dyDescent="0.2">
      <c r="A72" s="492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492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492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492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492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492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493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493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493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493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493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493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493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493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493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493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495">
        <v>4</v>
      </c>
      <c r="B99" s="665" t="s">
        <v>68</v>
      </c>
      <c r="C99" s="665"/>
      <c r="D99" s="12" t="s">
        <v>98</v>
      </c>
    </row>
    <row r="100" spans="1:5" x14ac:dyDescent="0.2">
      <c r="A100" s="493" t="s">
        <v>63</v>
      </c>
      <c r="B100" s="258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493" t="s">
        <v>64</v>
      </c>
      <c r="B101" s="258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492" t="s">
        <v>65</v>
      </c>
      <c r="B102" s="258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492" t="s">
        <v>66</v>
      </c>
      <c r="B103" s="258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492" t="s">
        <v>67</v>
      </c>
      <c r="B104" s="258" t="s">
        <v>29</v>
      </c>
      <c r="C104" s="502"/>
      <c r="D104" s="13"/>
    </row>
    <row r="105" spans="1:5" x14ac:dyDescent="0.2">
      <c r="A105" s="493"/>
      <c r="B105" s="501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2571.65</v>
      </c>
    </row>
    <row r="107" spans="1:5" x14ac:dyDescent="0.2">
      <c r="A107" s="495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493" t="s">
        <v>1</v>
      </c>
      <c r="B108" s="4" t="s">
        <v>73</v>
      </c>
      <c r="C108" s="10">
        <v>1.06E-2</v>
      </c>
      <c r="D108" s="13">
        <f>ROUND($D$106*C108,2)</f>
        <v>27.26</v>
      </c>
    </row>
    <row r="109" spans="1:5" x14ac:dyDescent="0.2">
      <c r="A109" s="493" t="s">
        <v>2</v>
      </c>
      <c r="B109" s="4" t="s">
        <v>74</v>
      </c>
      <c r="C109" s="10"/>
      <c r="D109" s="13"/>
      <c r="E109" s="198"/>
    </row>
    <row r="110" spans="1:5" x14ac:dyDescent="0.2">
      <c r="A110" s="496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496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496" t="s">
        <v>107</v>
      </c>
      <c r="B112" s="4" t="s">
        <v>77</v>
      </c>
      <c r="C112" s="10">
        <v>1.6500000000000001E-2</v>
      </c>
      <c r="D112" s="13">
        <f>ROUND($F$115*C112,2)</f>
        <v>49.11</v>
      </c>
    </row>
    <row r="113" spans="1:6" x14ac:dyDescent="0.2">
      <c r="A113" s="496" t="s">
        <v>108</v>
      </c>
      <c r="B113" s="4" t="s">
        <v>78</v>
      </c>
      <c r="C113" s="10">
        <v>7.5999999999999998E-2</v>
      </c>
      <c r="D113" s="13">
        <f>ROUND($F$115*C113,2)</f>
        <v>226.22</v>
      </c>
      <c r="F113" s="39">
        <f>SUM(C110:C114)</f>
        <v>0.1225</v>
      </c>
    </row>
    <row r="114" spans="1:6" x14ac:dyDescent="0.2">
      <c r="A114" s="496" t="s">
        <v>109</v>
      </c>
      <c r="B114" s="4" t="s">
        <v>79</v>
      </c>
      <c r="C114" s="131">
        <v>0.03</v>
      </c>
      <c r="D114" s="13">
        <f>ROUND($F$115*C114,2)</f>
        <v>89.3</v>
      </c>
      <c r="F114" s="40">
        <f>ROUND(D115+D108+D106,2)</f>
        <v>2611.9</v>
      </c>
    </row>
    <row r="115" spans="1:6" x14ac:dyDescent="0.2">
      <c r="A115" s="493" t="s">
        <v>4</v>
      </c>
      <c r="B115" s="4" t="s">
        <v>80</v>
      </c>
      <c r="C115" s="10">
        <v>5.0000000000000001E-3</v>
      </c>
      <c r="D115" s="13">
        <f>ROUND(($D$106+D108)*C115,2)</f>
        <v>12.99</v>
      </c>
      <c r="F115" s="41">
        <f>ROUND(F114/(1-F113),2)</f>
        <v>2976.52</v>
      </c>
    </row>
    <row r="116" spans="1:6" x14ac:dyDescent="0.2">
      <c r="A116" s="677" t="s">
        <v>46</v>
      </c>
      <c r="B116" s="682"/>
      <c r="C116" s="678"/>
      <c r="D116" s="22">
        <f>ROUND(SUM(D108:D115),2)</f>
        <v>404.88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493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493" t="s">
        <v>2</v>
      </c>
      <c r="B121" s="658" t="s">
        <v>84</v>
      </c>
      <c r="C121" s="658"/>
      <c r="D121" s="13">
        <f>D49</f>
        <v>342.2</v>
      </c>
    </row>
    <row r="122" spans="1:6" x14ac:dyDescent="0.2">
      <c r="A122" s="493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493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2571.65</v>
      </c>
    </row>
    <row r="125" spans="1:6" x14ac:dyDescent="0.2">
      <c r="A125" s="493" t="s">
        <v>18</v>
      </c>
      <c r="B125" s="683" t="s">
        <v>86</v>
      </c>
      <c r="C125" s="683"/>
      <c r="D125" s="13">
        <f>D116</f>
        <v>404.88</v>
      </c>
    </row>
    <row r="126" spans="1:6" x14ac:dyDescent="0.2">
      <c r="A126" s="655" t="s">
        <v>87</v>
      </c>
      <c r="B126" s="655"/>
      <c r="C126" s="655"/>
      <c r="D126" s="22">
        <f>ROUND(D125+D124,2)</f>
        <v>2976.53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2976.53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2976.53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2976.53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493" t="s">
        <v>1</v>
      </c>
      <c r="B137" s="658" t="s">
        <v>93</v>
      </c>
      <c r="C137" s="658"/>
      <c r="D137" s="202">
        <f>D130</f>
        <v>2976.53</v>
      </c>
      <c r="E137" s="201">
        <v>2261.56</v>
      </c>
    </row>
    <row r="138" spans="1:5" x14ac:dyDescent="0.2">
      <c r="A138" s="493" t="s">
        <v>2</v>
      </c>
      <c r="B138" s="658" t="s">
        <v>94</v>
      </c>
      <c r="C138" s="658"/>
      <c r="D138" s="13">
        <f>D134</f>
        <v>2976.53</v>
      </c>
    </row>
    <row r="139" spans="1:5" x14ac:dyDescent="0.2">
      <c r="A139" s="495" t="s">
        <v>4</v>
      </c>
      <c r="B139" s="665" t="s">
        <v>95</v>
      </c>
      <c r="C139" s="665"/>
      <c r="D139" s="22">
        <f>ROUND(D138*12,2)</f>
        <v>35718.36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22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417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14" t="s">
        <v>1</v>
      </c>
      <c r="B8" s="368" t="s">
        <v>5</v>
      </c>
      <c r="C8" s="669"/>
      <c r="D8" s="668"/>
    </row>
    <row r="9" spans="1:4" x14ac:dyDescent="0.2">
      <c r="A9" s="14" t="s">
        <v>2</v>
      </c>
      <c r="B9" s="368" t="s">
        <v>114</v>
      </c>
      <c r="C9" s="725" t="s">
        <v>384</v>
      </c>
      <c r="D9" s="725"/>
    </row>
    <row r="10" spans="1:4" x14ac:dyDescent="0.2">
      <c r="A10" s="14" t="s">
        <v>4</v>
      </c>
      <c r="B10" s="368" t="s">
        <v>6</v>
      </c>
      <c r="C10" s="669">
        <v>40909</v>
      </c>
      <c r="D10" s="668"/>
    </row>
    <row r="11" spans="1:4" x14ac:dyDescent="0.2">
      <c r="A11" s="14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11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0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14">
        <v>1</v>
      </c>
      <c r="B22" s="368" t="s">
        <v>131</v>
      </c>
      <c r="C22" s="742" t="s">
        <v>145</v>
      </c>
      <c r="D22" s="668"/>
    </row>
    <row r="23" spans="1:5" x14ac:dyDescent="0.2">
      <c r="A23" s="14">
        <v>2</v>
      </c>
      <c r="B23" s="368" t="s">
        <v>14</v>
      </c>
      <c r="C23" s="666">
        <f>'REPACTUAÇÃO 2014'!F5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  <c r="E39" s="369"/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14" t="s">
        <v>1</v>
      </c>
      <c r="B43" s="393" t="s">
        <v>133</v>
      </c>
      <c r="C43" s="378">
        <v>2.75</v>
      </c>
      <c r="D43" s="378">
        <f>ROUND((C43*44)-(D29*6%),2)</f>
        <v>64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362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14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421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421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32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32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32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32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373">
        <v>4</v>
      </c>
      <c r="B99" s="722" t="s">
        <v>68</v>
      </c>
      <c r="C99" s="722"/>
      <c r="D99" s="376" t="s">
        <v>98</v>
      </c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32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08"/>
      <c r="D104" s="378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2473.23</v>
      </c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32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38.58</v>
      </c>
    </row>
    <row r="109" spans="1:5" x14ac:dyDescent="0.2">
      <c r="A109" s="14" t="s">
        <v>2</v>
      </c>
      <c r="B109" s="368" t="s">
        <v>74</v>
      </c>
      <c r="C109" s="397"/>
      <c r="D109" s="378"/>
      <c r="E109" s="421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48.25</v>
      </c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222.26</v>
      </c>
      <c r="F113" s="433">
        <f>SUM(C110:C114)</f>
        <v>0.13250000000000001</v>
      </c>
    </row>
    <row r="114" spans="1:6" x14ac:dyDescent="0.2">
      <c r="A114" s="14" t="s">
        <v>109</v>
      </c>
      <c r="B114" s="368" t="s">
        <v>79</v>
      </c>
      <c r="C114" s="412">
        <v>0.04</v>
      </c>
      <c r="D114" s="378">
        <f>ROUND($F$115*C114,2)</f>
        <v>116.98</v>
      </c>
      <c r="F114" s="434">
        <f>ROUND(D115+D108+D106,2)</f>
        <v>2536.9299999999998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25.12</v>
      </c>
      <c r="F115" s="435">
        <f>ROUND(F114/(1-F113),2)</f>
        <v>2924.41</v>
      </c>
    </row>
    <row r="116" spans="1:6" x14ac:dyDescent="0.2">
      <c r="A116" s="672" t="s">
        <v>46</v>
      </c>
      <c r="B116" s="723"/>
      <c r="C116" s="673"/>
      <c r="D116" s="388">
        <f>ROUND(SUM(D108:D115),2)</f>
        <v>451.19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14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14" t="s">
        <v>2</v>
      </c>
      <c r="B121" s="728" t="s">
        <v>84</v>
      </c>
      <c r="C121" s="728"/>
      <c r="D121" s="378">
        <f>D49</f>
        <v>362</v>
      </c>
    </row>
    <row r="122" spans="1:6" x14ac:dyDescent="0.2">
      <c r="A122" s="14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14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2473.23</v>
      </c>
    </row>
    <row r="125" spans="1:6" x14ac:dyDescent="0.2">
      <c r="A125" s="14" t="s">
        <v>18</v>
      </c>
      <c r="B125" s="729" t="s">
        <v>86</v>
      </c>
      <c r="C125" s="729"/>
      <c r="D125" s="378">
        <f>D116</f>
        <v>451.19</v>
      </c>
    </row>
    <row r="126" spans="1:6" x14ac:dyDescent="0.2">
      <c r="A126" s="725" t="s">
        <v>87</v>
      </c>
      <c r="B126" s="725"/>
      <c r="C126" s="725"/>
      <c r="D126" s="388">
        <f>ROUND(D125+D124,2)</f>
        <v>2924.42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2924.42</v>
      </c>
      <c r="E130" s="436"/>
    </row>
    <row r="131" spans="1:5" x14ac:dyDescent="0.2">
      <c r="A131" s="728" t="s">
        <v>89</v>
      </c>
      <c r="B131" s="728"/>
      <c r="C131" s="728"/>
      <c r="D131" s="378">
        <v>1</v>
      </c>
      <c r="E131" s="436"/>
    </row>
    <row r="132" spans="1:5" x14ac:dyDescent="0.2">
      <c r="A132" s="728" t="s">
        <v>90</v>
      </c>
      <c r="B132" s="728"/>
      <c r="C132" s="728"/>
      <c r="D132" s="378">
        <f>ROUND(D131*D130,2)</f>
        <v>2924.42</v>
      </c>
      <c r="E132" s="436"/>
    </row>
    <row r="133" spans="1:5" x14ac:dyDescent="0.2">
      <c r="A133" s="728" t="s">
        <v>91</v>
      </c>
      <c r="B133" s="728"/>
      <c r="C133" s="728"/>
      <c r="D133" s="378">
        <f>C16</f>
        <v>11</v>
      </c>
      <c r="E133" s="436"/>
    </row>
    <row r="134" spans="1:5" x14ac:dyDescent="0.2">
      <c r="A134" s="722" t="s">
        <v>92</v>
      </c>
      <c r="B134" s="722"/>
      <c r="C134" s="722"/>
      <c r="D134" s="388">
        <f>ROUND(D133*D132,2)</f>
        <v>32168.62</v>
      </c>
      <c r="E134" s="436"/>
    </row>
    <row r="135" spans="1:5" x14ac:dyDescent="0.2">
      <c r="E135" s="436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14" t="s">
        <v>1</v>
      </c>
      <c r="B137" s="728" t="s">
        <v>93</v>
      </c>
      <c r="C137" s="728"/>
      <c r="D137" s="378">
        <f>D130</f>
        <v>2924.42</v>
      </c>
    </row>
    <row r="138" spans="1:5" x14ac:dyDescent="0.2">
      <c r="A138" s="14" t="s">
        <v>2</v>
      </c>
      <c r="B138" s="728" t="s">
        <v>94</v>
      </c>
      <c r="C138" s="728"/>
      <c r="D138" s="378">
        <f>D134</f>
        <v>32168.62</v>
      </c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386023.44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100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33" bestFit="1" customWidth="1"/>
    <col min="6" max="6" width="9.28515625" style="37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385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  <c r="E36" s="417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417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417"/>
    </row>
    <row r="41" spans="1:5" x14ac:dyDescent="0.2">
      <c r="A41" s="674" t="s">
        <v>99</v>
      </c>
      <c r="B41" s="675"/>
      <c r="C41" s="675"/>
      <c r="D41" s="676"/>
      <c r="E41" s="417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417"/>
    </row>
    <row r="43" spans="1:5" ht="13.5" customHeight="1" x14ac:dyDescent="0.2">
      <c r="A43" s="14" t="s">
        <v>1</v>
      </c>
      <c r="B43" s="393" t="s">
        <v>133</v>
      </c>
      <c r="C43" s="378">
        <v>2.7</v>
      </c>
      <c r="D43" s="378">
        <f>ROUND((C43*44)-(D29*6%),2)</f>
        <v>61.8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359.8</v>
      </c>
      <c r="E49" s="417"/>
    </row>
    <row r="50" spans="1:5" ht="13.5" customHeight="1" x14ac:dyDescent="0.2">
      <c r="A50" s="398"/>
      <c r="B50" s="389"/>
      <c r="C50" s="390"/>
      <c r="D50" s="391"/>
      <c r="E50" s="417"/>
    </row>
    <row r="51" spans="1:5" ht="13.5" customHeight="1" x14ac:dyDescent="0.2">
      <c r="A51" s="674" t="s">
        <v>100</v>
      </c>
      <c r="B51" s="675"/>
      <c r="C51" s="675"/>
      <c r="D51" s="676"/>
      <c r="E51" s="417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417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417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417"/>
    </row>
    <row r="56" spans="1:5" x14ac:dyDescent="0.2">
      <c r="A56" s="124" t="s">
        <v>3</v>
      </c>
      <c r="B56" s="129" t="s">
        <v>251</v>
      </c>
      <c r="C56" s="13">
        <v>2.8</v>
      </c>
      <c r="D56" s="13">
        <f>C56</f>
        <v>2.8</v>
      </c>
      <c r="E56" s="34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34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33" t="s">
        <v>125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35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5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35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35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35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2589.25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35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27.45</v>
      </c>
    </row>
    <row r="109" spans="1:5" x14ac:dyDescent="0.2">
      <c r="A109" s="124" t="s">
        <v>2</v>
      </c>
      <c r="B109" s="4" t="s">
        <v>74</v>
      </c>
      <c r="C109" s="10"/>
      <c r="D109" s="13"/>
      <c r="E109" s="34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50.02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230.39</v>
      </c>
      <c r="F113" s="39">
        <f>SUM(C110:C114)</f>
        <v>0.13250000000000001</v>
      </c>
    </row>
    <row r="114" spans="1:6" x14ac:dyDescent="0.2">
      <c r="A114" s="14" t="s">
        <v>109</v>
      </c>
      <c r="B114" s="4" t="s">
        <v>79</v>
      </c>
      <c r="C114" s="131">
        <v>0.04</v>
      </c>
      <c r="D114" s="13">
        <f>ROUND($F$115*C114,2)</f>
        <v>121.26</v>
      </c>
      <c r="F114" s="40">
        <f>ROUND(D115+D108+D106,2)</f>
        <v>2629.78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13.08</v>
      </c>
      <c r="F115" s="41">
        <f>ROUND(F114/(1-F113),2)</f>
        <v>3031.45</v>
      </c>
    </row>
    <row r="116" spans="1:6" x14ac:dyDescent="0.2">
      <c r="A116" s="677" t="s">
        <v>46</v>
      </c>
      <c r="B116" s="682"/>
      <c r="C116" s="678"/>
      <c r="D116" s="22">
        <f>ROUND(SUM(D108:D115),2)</f>
        <v>442.2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359.8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2589.25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442.2</v>
      </c>
    </row>
    <row r="126" spans="1:6" x14ac:dyDescent="0.2">
      <c r="A126" s="655" t="s">
        <v>87</v>
      </c>
      <c r="B126" s="655"/>
      <c r="C126" s="655"/>
      <c r="D126" s="22">
        <f>ROUND(D125+D124,2)</f>
        <v>3031.45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3031.45</v>
      </c>
      <c r="E130" s="36"/>
    </row>
    <row r="131" spans="1:5" x14ac:dyDescent="0.2">
      <c r="A131" s="658" t="s">
        <v>89</v>
      </c>
      <c r="B131" s="658"/>
      <c r="C131" s="658"/>
      <c r="D131" s="13">
        <v>1</v>
      </c>
      <c r="E131" s="36"/>
    </row>
    <row r="132" spans="1:5" x14ac:dyDescent="0.2">
      <c r="A132" s="658" t="s">
        <v>90</v>
      </c>
      <c r="B132" s="658"/>
      <c r="C132" s="658"/>
      <c r="D132" s="13">
        <f>ROUND(D131*D130,2)</f>
        <v>3031.45</v>
      </c>
      <c r="E132" s="36"/>
    </row>
    <row r="133" spans="1:5" x14ac:dyDescent="0.2">
      <c r="A133" s="658" t="s">
        <v>91</v>
      </c>
      <c r="B133" s="658"/>
      <c r="C133" s="658"/>
      <c r="D133" s="13">
        <v>1</v>
      </c>
      <c r="E133" s="36"/>
    </row>
    <row r="134" spans="1:5" x14ac:dyDescent="0.2">
      <c r="A134" s="665" t="s">
        <v>92</v>
      </c>
      <c r="B134" s="665"/>
      <c r="C134" s="665"/>
      <c r="D134" s="22">
        <f>ROUND(D133*D132,2)</f>
        <v>3031.45</v>
      </c>
      <c r="E134" s="36"/>
    </row>
    <row r="135" spans="1:5" x14ac:dyDescent="0.2">
      <c r="E135" s="36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202">
        <f>D130</f>
        <v>3031.45</v>
      </c>
      <c r="E137" s="226">
        <v>2295.42</v>
      </c>
    </row>
    <row r="138" spans="1:5" x14ac:dyDescent="0.2">
      <c r="A138" s="124" t="s">
        <v>2</v>
      </c>
      <c r="B138" s="658" t="s">
        <v>94</v>
      </c>
      <c r="C138" s="658"/>
      <c r="D138" s="13">
        <f>D134</f>
        <v>3031.45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36377.4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3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515" t="s">
        <v>1</v>
      </c>
      <c r="B8" s="332" t="s">
        <v>5</v>
      </c>
      <c r="C8" s="624">
        <v>41015</v>
      </c>
      <c r="D8" s="621"/>
    </row>
    <row r="9" spans="1:4" x14ac:dyDescent="0.2">
      <c r="A9" s="515" t="s">
        <v>2</v>
      </c>
      <c r="B9" s="332" t="s">
        <v>114</v>
      </c>
      <c r="C9" s="625" t="s">
        <v>523</v>
      </c>
      <c r="D9" s="625"/>
    </row>
    <row r="10" spans="1:4" x14ac:dyDescent="0.2">
      <c r="A10" s="515" t="s">
        <v>4</v>
      </c>
      <c r="B10" s="332" t="s">
        <v>6</v>
      </c>
      <c r="C10" s="624">
        <v>41641</v>
      </c>
      <c r="D10" s="621"/>
    </row>
    <row r="11" spans="1:4" x14ac:dyDescent="0.2">
      <c r="A11" s="515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113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510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515">
        <v>1</v>
      </c>
      <c r="B22" s="332" t="s">
        <v>131</v>
      </c>
      <c r="C22" s="620" t="s">
        <v>145</v>
      </c>
      <c r="D22" s="621"/>
    </row>
    <row r="23" spans="1:5" x14ac:dyDescent="0.2">
      <c r="A23" s="515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515">
        <v>3</v>
      </c>
      <c r="B24" s="332" t="s">
        <v>15</v>
      </c>
      <c r="C24" s="620" t="s">
        <v>146</v>
      </c>
      <c r="D24" s="621"/>
    </row>
    <row r="25" spans="1:5" x14ac:dyDescent="0.2">
      <c r="A25" s="515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511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515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515" t="s">
        <v>2</v>
      </c>
      <c r="B30" s="332" t="s">
        <v>438</v>
      </c>
      <c r="C30" s="535"/>
      <c r="D30" s="438"/>
      <c r="E30" s="303">
        <v>62</v>
      </c>
    </row>
    <row r="31" spans="1:5" x14ac:dyDescent="0.2">
      <c r="A31" s="515" t="s">
        <v>4</v>
      </c>
      <c r="B31" s="332" t="s">
        <v>24</v>
      </c>
      <c r="C31" s="535"/>
      <c r="D31" s="438"/>
      <c r="E31" s="196"/>
    </row>
    <row r="32" spans="1:5" x14ac:dyDescent="0.2">
      <c r="A32" s="515" t="s">
        <v>3</v>
      </c>
      <c r="B32" s="332" t="s">
        <v>25</v>
      </c>
      <c r="C32" s="20"/>
      <c r="D32" s="13"/>
      <c r="E32" s="153"/>
    </row>
    <row r="33" spans="1:6" x14ac:dyDescent="0.2">
      <c r="A33" s="515" t="s">
        <v>18</v>
      </c>
      <c r="B33" s="332" t="s">
        <v>26</v>
      </c>
      <c r="C33" s="20"/>
      <c r="D33" s="13"/>
      <c r="E33" s="153"/>
    </row>
    <row r="34" spans="1:6" x14ac:dyDescent="0.2">
      <c r="A34" s="515" t="s">
        <v>19</v>
      </c>
      <c r="B34" s="332" t="s">
        <v>27</v>
      </c>
      <c r="C34" s="18"/>
      <c r="D34" s="13"/>
      <c r="E34" s="196"/>
    </row>
    <row r="35" spans="1:6" x14ac:dyDescent="0.2">
      <c r="A35" s="515" t="s">
        <v>20</v>
      </c>
      <c r="B35" s="332" t="s">
        <v>28</v>
      </c>
      <c r="C35" s="20"/>
      <c r="D35" s="13"/>
      <c r="E35" s="153"/>
    </row>
    <row r="36" spans="1:6" x14ac:dyDescent="0.2">
      <c r="A36" s="515" t="s">
        <v>21</v>
      </c>
      <c r="B36" s="332" t="s">
        <v>119</v>
      </c>
      <c r="C36" s="18"/>
      <c r="D36" s="13"/>
    </row>
    <row r="37" spans="1:6" x14ac:dyDescent="0.2">
      <c r="A37" s="515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514" t="s">
        <v>487</v>
      </c>
      <c r="B38" s="300" t="s">
        <v>488</v>
      </c>
      <c r="C38" s="301"/>
      <c r="D38" s="302">
        <f>(D29+D30)*3.6316%</f>
        <v>34.5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984.5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511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515" t="s">
        <v>1</v>
      </c>
      <c r="B43" s="340" t="s">
        <v>133</v>
      </c>
      <c r="C43" s="13">
        <v>1.9</v>
      </c>
      <c r="D43" s="13">
        <f>ROUND((C43*44)-(D29*6%),2)</f>
        <v>26.6</v>
      </c>
      <c r="E43" s="197"/>
    </row>
    <row r="44" spans="1:6" ht="13.5" customHeight="1" x14ac:dyDescent="0.2">
      <c r="A44" s="515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515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515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515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515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324.60000000000002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511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515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515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515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515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514" t="s">
        <v>1</v>
      </c>
      <c r="B61" s="300" t="s">
        <v>40</v>
      </c>
      <c r="C61" s="10">
        <v>0.2</v>
      </c>
      <c r="D61" s="13">
        <f>ROUND($D$39*C61,2)</f>
        <v>196.9</v>
      </c>
    </row>
    <row r="62" spans="1:5" x14ac:dyDescent="0.2">
      <c r="A62" s="514" t="s">
        <v>2</v>
      </c>
      <c r="B62" s="300" t="s">
        <v>41</v>
      </c>
      <c r="C62" s="10">
        <v>1.4999999999999999E-2</v>
      </c>
      <c r="D62" s="13">
        <f>ROUND($D$39*C62,2)</f>
        <v>14.77</v>
      </c>
    </row>
    <row r="63" spans="1:5" x14ac:dyDescent="0.2">
      <c r="A63" s="514" t="s">
        <v>4</v>
      </c>
      <c r="B63" s="300" t="s">
        <v>123</v>
      </c>
      <c r="C63" s="10">
        <v>0.01</v>
      </c>
      <c r="D63" s="13">
        <f t="shared" ref="D63:D68" si="0">ROUND($D$39*C63,2)</f>
        <v>9.85</v>
      </c>
    </row>
    <row r="64" spans="1:5" x14ac:dyDescent="0.2">
      <c r="A64" s="514" t="s">
        <v>3</v>
      </c>
      <c r="B64" s="300" t="s">
        <v>42</v>
      </c>
      <c r="C64" s="10">
        <v>2E-3</v>
      </c>
      <c r="D64" s="13">
        <f t="shared" si="0"/>
        <v>1.97</v>
      </c>
    </row>
    <row r="65" spans="1:6" x14ac:dyDescent="0.2">
      <c r="A65" s="514" t="s">
        <v>18</v>
      </c>
      <c r="B65" s="300" t="s">
        <v>43</v>
      </c>
      <c r="C65" s="10">
        <v>2.5000000000000001E-2</v>
      </c>
      <c r="D65" s="13">
        <f t="shared" si="0"/>
        <v>24.61</v>
      </c>
    </row>
    <row r="66" spans="1:6" x14ac:dyDescent="0.2">
      <c r="A66" s="514" t="s">
        <v>19</v>
      </c>
      <c r="B66" s="300" t="s">
        <v>44</v>
      </c>
      <c r="C66" s="10">
        <v>0.08</v>
      </c>
      <c r="D66" s="13">
        <f t="shared" si="0"/>
        <v>78.760000000000005</v>
      </c>
    </row>
    <row r="67" spans="1:6" x14ac:dyDescent="0.2">
      <c r="A67" s="514" t="s">
        <v>20</v>
      </c>
      <c r="B67" s="300" t="s">
        <v>124</v>
      </c>
      <c r="C67" s="10">
        <f>2%*F71</f>
        <v>0.03</v>
      </c>
      <c r="D67" s="13">
        <f t="shared" si="0"/>
        <v>29.54</v>
      </c>
    </row>
    <row r="68" spans="1:6" x14ac:dyDescent="0.2">
      <c r="A68" s="514" t="s">
        <v>21</v>
      </c>
      <c r="B68" s="300" t="s">
        <v>45</v>
      </c>
      <c r="C68" s="10">
        <v>6.0000000000000001E-3</v>
      </c>
      <c r="D68" s="13">
        <f t="shared" si="0"/>
        <v>5.91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362.31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514" t="s">
        <v>1</v>
      </c>
      <c r="B72" s="300" t="s">
        <v>47</v>
      </c>
      <c r="C72" s="10">
        <v>8.3299999999999999E-2</v>
      </c>
      <c r="D72" s="13">
        <f>ROUND($D$39*C72,2)</f>
        <v>82.01</v>
      </c>
    </row>
    <row r="73" spans="1:6" x14ac:dyDescent="0.2">
      <c r="A73" s="514" t="s">
        <v>2</v>
      </c>
      <c r="B73" s="300" t="s">
        <v>48</v>
      </c>
      <c r="C73" s="10">
        <f>C88/3</f>
        <v>2.7799999999999998E-2</v>
      </c>
      <c r="D73" s="13">
        <f>ROUND($D$39*C73,2)</f>
        <v>27.37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109.38</v>
      </c>
    </row>
    <row r="75" spans="1:6" x14ac:dyDescent="0.2">
      <c r="A75" s="514" t="s">
        <v>4</v>
      </c>
      <c r="B75" s="300" t="s">
        <v>50</v>
      </c>
      <c r="C75" s="10">
        <f>C69*C74</f>
        <v>4.0899999999999999E-2</v>
      </c>
      <c r="D75" s="13">
        <f>ROUND($D$39*C75,2)</f>
        <v>40.270000000000003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149.65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514" t="s">
        <v>1</v>
      </c>
      <c r="B79" s="300" t="s">
        <v>52</v>
      </c>
      <c r="C79" s="10">
        <v>1.6999999999999999E-3</v>
      </c>
      <c r="D79" s="13">
        <f t="shared" ref="D79:D84" si="1">ROUND($D$39*C79,2)</f>
        <v>1.67</v>
      </c>
    </row>
    <row r="80" spans="1:6" x14ac:dyDescent="0.2">
      <c r="A80" s="514" t="s">
        <v>2</v>
      </c>
      <c r="B80" s="300" t="s">
        <v>53</v>
      </c>
      <c r="C80" s="10">
        <f>C66*C79</f>
        <v>1E-4</v>
      </c>
      <c r="D80" s="13">
        <f t="shared" si="1"/>
        <v>0.1</v>
      </c>
    </row>
    <row r="81" spans="1:5" x14ac:dyDescent="0.2">
      <c r="A81" s="514" t="s">
        <v>4</v>
      </c>
      <c r="B81" s="300" t="s">
        <v>54</v>
      </c>
      <c r="C81" s="10">
        <f>C66*10%</f>
        <v>8.0000000000000002E-3</v>
      </c>
      <c r="D81" s="13">
        <f t="shared" si="1"/>
        <v>7.88</v>
      </c>
    </row>
    <row r="82" spans="1:5" x14ac:dyDescent="0.2">
      <c r="A82" s="515" t="s">
        <v>3</v>
      </c>
      <c r="B82" s="332" t="s">
        <v>55</v>
      </c>
      <c r="C82" s="10">
        <v>1.9400000000000001E-2</v>
      </c>
      <c r="D82" s="13">
        <f t="shared" si="1"/>
        <v>19.100000000000001</v>
      </c>
    </row>
    <row r="83" spans="1:5" x14ac:dyDescent="0.2">
      <c r="A83" s="515" t="s">
        <v>18</v>
      </c>
      <c r="B83" s="332" t="s">
        <v>56</v>
      </c>
      <c r="C83" s="10">
        <f>C69*C82</f>
        <v>7.1000000000000004E-3</v>
      </c>
      <c r="D83" s="13">
        <f t="shared" si="1"/>
        <v>6.99</v>
      </c>
    </row>
    <row r="84" spans="1:5" x14ac:dyDescent="0.2">
      <c r="A84" s="515" t="s">
        <v>19</v>
      </c>
      <c r="B84" s="332" t="s">
        <v>57</v>
      </c>
      <c r="C84" s="10">
        <v>4.4200000000000003E-2</v>
      </c>
      <c r="D84" s="13">
        <f t="shared" si="1"/>
        <v>43.51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79.25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515" t="s">
        <v>1</v>
      </c>
      <c r="B88" s="332" t="s">
        <v>58</v>
      </c>
      <c r="C88" s="10">
        <v>8.3299999999999999E-2</v>
      </c>
      <c r="D88" s="13">
        <f t="shared" ref="D88:D95" si="2">ROUND($D$39*C88,2)</f>
        <v>82.01</v>
      </c>
      <c r="E88" s="346"/>
    </row>
    <row r="89" spans="1:5" x14ac:dyDescent="0.2">
      <c r="A89" s="515" t="s">
        <v>2</v>
      </c>
      <c r="B89" s="332" t="s">
        <v>59</v>
      </c>
      <c r="C89" s="10">
        <v>5.5999999999999999E-3</v>
      </c>
      <c r="D89" s="13">
        <f t="shared" si="2"/>
        <v>5.51</v>
      </c>
    </row>
    <row r="90" spans="1:5" x14ac:dyDescent="0.2">
      <c r="A90" s="515" t="s">
        <v>4</v>
      </c>
      <c r="B90" s="300" t="s">
        <v>360</v>
      </c>
      <c r="C90" s="10">
        <v>6.9999999999999999E-4</v>
      </c>
      <c r="D90" s="13">
        <f t="shared" si="2"/>
        <v>0.69</v>
      </c>
    </row>
    <row r="91" spans="1:5" x14ac:dyDescent="0.2">
      <c r="A91" s="515" t="s">
        <v>3</v>
      </c>
      <c r="B91" s="332" t="s">
        <v>60</v>
      </c>
      <c r="C91" s="10">
        <v>2.8E-3</v>
      </c>
      <c r="D91" s="13">
        <f t="shared" si="2"/>
        <v>2.76</v>
      </c>
    </row>
    <row r="92" spans="1:5" x14ac:dyDescent="0.2">
      <c r="A92" s="515" t="s">
        <v>18</v>
      </c>
      <c r="B92" s="332" t="s">
        <v>61</v>
      </c>
      <c r="C92" s="10">
        <v>8.0000000000000004E-4</v>
      </c>
      <c r="D92" s="13">
        <f t="shared" si="2"/>
        <v>0.79</v>
      </c>
    </row>
    <row r="93" spans="1:5" x14ac:dyDescent="0.2">
      <c r="A93" s="515" t="s">
        <v>19</v>
      </c>
      <c r="B93" s="300" t="s">
        <v>367</v>
      </c>
      <c r="C93" s="10">
        <v>2.0000000000000001E-4</v>
      </c>
      <c r="D93" s="13">
        <f t="shared" si="2"/>
        <v>0.2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91.95</v>
      </c>
    </row>
    <row r="95" spans="1:5" x14ac:dyDescent="0.2">
      <c r="A95" s="515" t="s">
        <v>20</v>
      </c>
      <c r="B95" s="332" t="s">
        <v>104</v>
      </c>
      <c r="C95" s="10">
        <f>C69*C94</f>
        <v>3.44E-2</v>
      </c>
      <c r="D95" s="13">
        <f t="shared" si="2"/>
        <v>33.869999999999997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125.82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511">
        <v>4</v>
      </c>
      <c r="B99" s="633" t="s">
        <v>68</v>
      </c>
      <c r="C99" s="633"/>
      <c r="D99" s="12" t="s">
        <v>98</v>
      </c>
    </row>
    <row r="100" spans="1:5" x14ac:dyDescent="0.2">
      <c r="A100" s="515" t="s">
        <v>63</v>
      </c>
      <c r="B100" s="347" t="s">
        <v>69</v>
      </c>
      <c r="C100" s="348">
        <f>C76</f>
        <v>0.152</v>
      </c>
      <c r="D100" s="13">
        <f>ROUND($D$39*C100,2)</f>
        <v>149.63999999999999</v>
      </c>
      <c r="E100" s="346"/>
    </row>
    <row r="101" spans="1:5" x14ac:dyDescent="0.2">
      <c r="A101" s="515" t="s">
        <v>64</v>
      </c>
      <c r="B101" s="347" t="s">
        <v>126</v>
      </c>
      <c r="C101" s="348">
        <f>C69</f>
        <v>0.36799999999999999</v>
      </c>
      <c r="D101" s="13">
        <f>ROUND($D$39*C101,2)</f>
        <v>362.3</v>
      </c>
    </row>
    <row r="102" spans="1:5" x14ac:dyDescent="0.2">
      <c r="A102" s="514" t="s">
        <v>65</v>
      </c>
      <c r="B102" s="347" t="s">
        <v>70</v>
      </c>
      <c r="C102" s="348">
        <f>C85</f>
        <v>8.0500000000000002E-2</v>
      </c>
      <c r="D102" s="13">
        <f>ROUND($D$39*C102,2)</f>
        <v>79.25</v>
      </c>
    </row>
    <row r="103" spans="1:5" x14ac:dyDescent="0.2">
      <c r="A103" s="514" t="s">
        <v>66</v>
      </c>
      <c r="B103" s="347" t="s">
        <v>71</v>
      </c>
      <c r="C103" s="348">
        <f>C96</f>
        <v>0.1278</v>
      </c>
      <c r="D103" s="13">
        <f>ROUND($D$39*C103,2)</f>
        <v>125.82</v>
      </c>
    </row>
    <row r="104" spans="1:5" x14ac:dyDescent="0.2">
      <c r="A104" s="514" t="s">
        <v>67</v>
      </c>
      <c r="B104" s="347" t="s">
        <v>29</v>
      </c>
      <c r="C104" s="512"/>
      <c r="D104" s="13"/>
    </row>
    <row r="105" spans="1:5" x14ac:dyDescent="0.2">
      <c r="A105" s="515"/>
      <c r="B105" s="513" t="s">
        <v>46</v>
      </c>
      <c r="C105" s="351">
        <f>SUM(C100:C104)</f>
        <v>0.72829999999999995</v>
      </c>
      <c r="D105" s="22">
        <f>ROUND($D$39*C105,2)</f>
        <v>717.01</v>
      </c>
    </row>
    <row r="106" spans="1:5" x14ac:dyDescent="0.2">
      <c r="D106" s="28">
        <f>ROUND(D105+D57+D49+D39,2)</f>
        <v>2435.83</v>
      </c>
    </row>
    <row r="107" spans="1:5" x14ac:dyDescent="0.2">
      <c r="A107" s="511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515" t="s">
        <v>1</v>
      </c>
      <c r="B108" s="332" t="s">
        <v>73</v>
      </c>
      <c r="C108" s="10">
        <v>1.06E-2</v>
      </c>
      <c r="D108" s="13">
        <f>ROUND($D$106*C108,2)</f>
        <v>25.82</v>
      </c>
    </row>
    <row r="109" spans="1:5" x14ac:dyDescent="0.2">
      <c r="A109" s="515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47.06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216.74</v>
      </c>
      <c r="F113" s="353">
        <f>SUM(C110:C114)</f>
        <v>0.13250000000000001</v>
      </c>
    </row>
    <row r="114" spans="1:9" x14ac:dyDescent="0.2">
      <c r="A114" s="352" t="s">
        <v>109</v>
      </c>
      <c r="B114" s="332" t="s">
        <v>79</v>
      </c>
      <c r="C114" s="131">
        <v>0.04</v>
      </c>
      <c r="D114" s="13">
        <f>ROUND($F$115*C114,2)</f>
        <v>114.07</v>
      </c>
      <c r="F114" s="354">
        <f>ROUND(D115+D108+D106,2)</f>
        <v>2473.96</v>
      </c>
    </row>
    <row r="115" spans="1:9" x14ac:dyDescent="0.2">
      <c r="A115" s="515" t="s">
        <v>4</v>
      </c>
      <c r="B115" s="332" t="s">
        <v>80</v>
      </c>
      <c r="C115" s="10">
        <v>5.0000000000000001E-3</v>
      </c>
      <c r="D115" s="13">
        <f>ROUND(($D$106+D108)*C115,2)</f>
        <v>12.31</v>
      </c>
      <c r="F115" s="41">
        <f>ROUND(F114/(1-F113),2)</f>
        <v>2851.83</v>
      </c>
    </row>
    <row r="116" spans="1:9" x14ac:dyDescent="0.2">
      <c r="A116" s="638" t="s">
        <v>46</v>
      </c>
      <c r="B116" s="643"/>
      <c r="C116" s="639"/>
      <c r="D116" s="22">
        <f>ROUND(SUM(D108:D115),2)</f>
        <v>416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515" t="s">
        <v>1</v>
      </c>
      <c r="B120" s="626" t="s">
        <v>83</v>
      </c>
      <c r="C120" s="626"/>
      <c r="D120" s="13">
        <f>D39</f>
        <v>984.5</v>
      </c>
    </row>
    <row r="121" spans="1:9" x14ac:dyDescent="0.2">
      <c r="A121" s="515" t="s">
        <v>2</v>
      </c>
      <c r="B121" s="626" t="s">
        <v>84</v>
      </c>
      <c r="C121" s="626"/>
      <c r="D121" s="13">
        <f>D49</f>
        <v>324.60000000000002</v>
      </c>
    </row>
    <row r="122" spans="1:9" x14ac:dyDescent="0.2">
      <c r="A122" s="515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515" t="s">
        <v>3</v>
      </c>
      <c r="B123" s="626" t="s">
        <v>127</v>
      </c>
      <c r="C123" s="626"/>
      <c r="D123" s="13">
        <f>D105</f>
        <v>717.01</v>
      </c>
    </row>
    <row r="124" spans="1:9" x14ac:dyDescent="0.2">
      <c r="A124" s="625" t="s">
        <v>49</v>
      </c>
      <c r="B124" s="625"/>
      <c r="C124" s="625"/>
      <c r="D124" s="22">
        <f>ROUND(SUM(D120:D123),2)</f>
        <v>2435.83</v>
      </c>
    </row>
    <row r="125" spans="1:9" ht="18.75" x14ac:dyDescent="0.3">
      <c r="A125" s="515" t="s">
        <v>18</v>
      </c>
      <c r="B125" s="645" t="s">
        <v>86</v>
      </c>
      <c r="C125" s="645"/>
      <c r="D125" s="13">
        <f>D116</f>
        <v>416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2851.83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2851.83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2851.83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2851.83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515" t="s">
        <v>1</v>
      </c>
      <c r="B137" s="626" t="s">
        <v>93</v>
      </c>
      <c r="C137" s="626"/>
      <c r="D137" s="297">
        <f>D130</f>
        <v>2851.83</v>
      </c>
      <c r="E137" s="303">
        <v>2279.4299999999998</v>
      </c>
    </row>
    <row r="138" spans="1:9" x14ac:dyDescent="0.2">
      <c r="A138" s="515" t="s">
        <v>2</v>
      </c>
      <c r="B138" s="626" t="s">
        <v>94</v>
      </c>
      <c r="C138" s="626"/>
      <c r="D138" s="13">
        <f>D134</f>
        <v>2851.83</v>
      </c>
    </row>
    <row r="139" spans="1:9" x14ac:dyDescent="0.2">
      <c r="A139" s="511" t="s">
        <v>4</v>
      </c>
      <c r="B139" s="633" t="s">
        <v>95</v>
      </c>
      <c r="C139" s="633"/>
      <c r="D139" s="22">
        <f>ROUND(D138*12,2)</f>
        <v>34221.96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417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14" t="s">
        <v>1</v>
      </c>
      <c r="B8" s="368" t="s">
        <v>5</v>
      </c>
      <c r="C8" s="669"/>
      <c r="D8" s="668"/>
    </row>
    <row r="9" spans="1:4" x14ac:dyDescent="0.2">
      <c r="A9" s="14" t="s">
        <v>2</v>
      </c>
      <c r="B9" s="368" t="s">
        <v>114</v>
      </c>
      <c r="C9" s="725" t="s">
        <v>385</v>
      </c>
      <c r="D9" s="725"/>
    </row>
    <row r="10" spans="1:4" x14ac:dyDescent="0.2">
      <c r="A10" s="14" t="s">
        <v>4</v>
      </c>
      <c r="B10" s="368" t="s">
        <v>6</v>
      </c>
      <c r="C10" s="669">
        <v>40909</v>
      </c>
      <c r="D10" s="668"/>
    </row>
    <row r="11" spans="1:4" x14ac:dyDescent="0.2">
      <c r="A11" s="14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6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0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14">
        <v>1</v>
      </c>
      <c r="B22" s="368" t="s">
        <v>131</v>
      </c>
      <c r="C22" s="750" t="s">
        <v>145</v>
      </c>
      <c r="D22" s="740"/>
    </row>
    <row r="23" spans="1:5" x14ac:dyDescent="0.2">
      <c r="A23" s="14">
        <v>2</v>
      </c>
      <c r="B23" s="368" t="s">
        <v>14</v>
      </c>
      <c r="C23" s="666">
        <f>'REPACTUAÇÃO 2014'!F5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  <c r="E39" s="369"/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14" t="s">
        <v>1</v>
      </c>
      <c r="B43" s="393" t="s">
        <v>133</v>
      </c>
      <c r="C43" s="378">
        <v>2.7</v>
      </c>
      <c r="D43" s="378">
        <f>ROUND((C43*44)-(D29*6%),2)</f>
        <v>61.8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359.8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14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421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421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32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32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32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32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373">
        <v>4</v>
      </c>
      <c r="B99" s="722" t="s">
        <v>68</v>
      </c>
      <c r="C99" s="722"/>
      <c r="D99" s="376" t="s">
        <v>98</v>
      </c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32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08"/>
      <c r="D104" s="378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2471.0300000000002</v>
      </c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32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38.549999999999997</v>
      </c>
    </row>
    <row r="109" spans="1:5" x14ac:dyDescent="0.2">
      <c r="A109" s="14" t="s">
        <v>2</v>
      </c>
      <c r="B109" s="368" t="s">
        <v>74</v>
      </c>
      <c r="C109" s="397"/>
      <c r="D109" s="378"/>
      <c r="E109" s="421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48.21</v>
      </c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222.06</v>
      </c>
      <c r="F113" s="433">
        <f>SUM(C110:C114)</f>
        <v>0.13250000000000001</v>
      </c>
    </row>
    <row r="114" spans="1:6" x14ac:dyDescent="0.2">
      <c r="A114" s="14" t="s">
        <v>109</v>
      </c>
      <c r="B114" s="368" t="s">
        <v>79</v>
      </c>
      <c r="C114" s="412">
        <v>0.04</v>
      </c>
      <c r="D114" s="378">
        <f>ROUND($F$115*C114,2)</f>
        <v>116.87</v>
      </c>
      <c r="F114" s="434">
        <f>ROUND(D115+D108+D106,2)</f>
        <v>2534.6799999999998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25.1</v>
      </c>
      <c r="F115" s="435">
        <f>ROUND(F114/(1-F113),2)</f>
        <v>2921.82</v>
      </c>
    </row>
    <row r="116" spans="1:6" x14ac:dyDescent="0.2">
      <c r="A116" s="672" t="s">
        <v>46</v>
      </c>
      <c r="B116" s="723"/>
      <c r="C116" s="673"/>
      <c r="D116" s="388">
        <f>ROUND(SUM(D108:D115),2)</f>
        <v>450.79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14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14" t="s">
        <v>2</v>
      </c>
      <c r="B121" s="728" t="s">
        <v>84</v>
      </c>
      <c r="C121" s="728"/>
      <c r="D121" s="378">
        <f>D49</f>
        <v>359.8</v>
      </c>
    </row>
    <row r="122" spans="1:6" x14ac:dyDescent="0.2">
      <c r="A122" s="14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14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2471.0300000000002</v>
      </c>
    </row>
    <row r="125" spans="1:6" x14ac:dyDescent="0.2">
      <c r="A125" s="14" t="s">
        <v>18</v>
      </c>
      <c r="B125" s="729" t="s">
        <v>86</v>
      </c>
      <c r="C125" s="729"/>
      <c r="D125" s="378">
        <f>D116</f>
        <v>450.79</v>
      </c>
    </row>
    <row r="126" spans="1:6" x14ac:dyDescent="0.2">
      <c r="A126" s="725" t="s">
        <v>87</v>
      </c>
      <c r="B126" s="725"/>
      <c r="C126" s="725"/>
      <c r="D126" s="388">
        <f>ROUND(D125+D124,2)</f>
        <v>2921.82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2921.82</v>
      </c>
      <c r="E130" s="436"/>
    </row>
    <row r="131" spans="1:5" x14ac:dyDescent="0.2">
      <c r="A131" s="728" t="s">
        <v>89</v>
      </c>
      <c r="B131" s="728"/>
      <c r="C131" s="728"/>
      <c r="D131" s="378">
        <v>1</v>
      </c>
      <c r="E131" s="436"/>
    </row>
    <row r="132" spans="1:5" x14ac:dyDescent="0.2">
      <c r="A132" s="728" t="s">
        <v>90</v>
      </c>
      <c r="B132" s="728"/>
      <c r="C132" s="728"/>
      <c r="D132" s="378">
        <f>ROUND(D131*D130,2)</f>
        <v>2921.82</v>
      </c>
      <c r="E132" s="436"/>
    </row>
    <row r="133" spans="1:5" x14ac:dyDescent="0.2">
      <c r="A133" s="728" t="s">
        <v>91</v>
      </c>
      <c r="B133" s="728"/>
      <c r="C133" s="728"/>
      <c r="D133" s="378">
        <v>6</v>
      </c>
      <c r="E133" s="436"/>
    </row>
    <row r="134" spans="1:5" x14ac:dyDescent="0.2">
      <c r="A134" s="722" t="s">
        <v>92</v>
      </c>
      <c r="B134" s="722"/>
      <c r="C134" s="722"/>
      <c r="D134" s="388">
        <f>ROUND(D133*D132,2)</f>
        <v>17530.919999999998</v>
      </c>
      <c r="E134" s="436"/>
    </row>
    <row r="135" spans="1:5" x14ac:dyDescent="0.2">
      <c r="E135" s="436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14" t="s">
        <v>1</v>
      </c>
      <c r="B137" s="728" t="s">
        <v>93</v>
      </c>
      <c r="C137" s="728"/>
      <c r="D137" s="438">
        <f>D130</f>
        <v>2921.82</v>
      </c>
      <c r="E137" s="369"/>
    </row>
    <row r="138" spans="1:5" x14ac:dyDescent="0.2">
      <c r="A138" s="14" t="s">
        <v>2</v>
      </c>
      <c r="B138" s="728" t="s">
        <v>94</v>
      </c>
      <c r="C138" s="728"/>
      <c r="D138" s="378">
        <f>D134</f>
        <v>17530.919999999998</v>
      </c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210371.04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496" t="s">
        <v>1</v>
      </c>
      <c r="B8" s="368" t="s">
        <v>5</v>
      </c>
      <c r="C8" s="669"/>
      <c r="D8" s="668"/>
    </row>
    <row r="9" spans="1:4" x14ac:dyDescent="0.2">
      <c r="A9" s="496" t="s">
        <v>2</v>
      </c>
      <c r="B9" s="368" t="s">
        <v>114</v>
      </c>
      <c r="C9" s="725" t="s">
        <v>460</v>
      </c>
      <c r="D9" s="725"/>
    </row>
    <row r="10" spans="1:4" x14ac:dyDescent="0.2">
      <c r="A10" s="496" t="s">
        <v>4</v>
      </c>
      <c r="B10" s="368" t="s">
        <v>6</v>
      </c>
      <c r="C10" s="669">
        <v>40909</v>
      </c>
      <c r="D10" s="668"/>
    </row>
    <row r="11" spans="1:4" x14ac:dyDescent="0.2">
      <c r="A11" s="496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3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503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496">
        <v>1</v>
      </c>
      <c r="B22" s="368" t="s">
        <v>131</v>
      </c>
      <c r="C22" s="742" t="s">
        <v>145</v>
      </c>
      <c r="D22" s="668"/>
    </row>
    <row r="23" spans="1:5" x14ac:dyDescent="0.2">
      <c r="A23" s="496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496">
        <v>3</v>
      </c>
      <c r="B24" s="368" t="s">
        <v>15</v>
      </c>
      <c r="C24" s="667" t="s">
        <v>146</v>
      </c>
      <c r="D24" s="668"/>
    </row>
    <row r="25" spans="1:5" x14ac:dyDescent="0.2">
      <c r="A25" s="496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498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496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496" t="s">
        <v>2</v>
      </c>
      <c r="B30" s="368" t="s">
        <v>23</v>
      </c>
      <c r="C30" s="380"/>
      <c r="D30" s="378"/>
    </row>
    <row r="31" spans="1:5" x14ac:dyDescent="0.2">
      <c r="A31" s="496" t="s">
        <v>4</v>
      </c>
      <c r="B31" s="368" t="s">
        <v>24</v>
      </c>
      <c r="C31" s="380"/>
      <c r="D31" s="378"/>
      <c r="E31" s="381"/>
    </row>
    <row r="32" spans="1:5" x14ac:dyDescent="0.2">
      <c r="A32" s="496" t="s">
        <v>3</v>
      </c>
      <c r="B32" s="368" t="s">
        <v>25</v>
      </c>
      <c r="C32" s="382"/>
      <c r="D32" s="378"/>
      <c r="E32" s="379"/>
    </row>
    <row r="33" spans="1:5" x14ac:dyDescent="0.2">
      <c r="A33" s="496" t="s">
        <v>18</v>
      </c>
      <c r="B33" s="368" t="s">
        <v>26</v>
      </c>
      <c r="C33" s="382"/>
      <c r="D33" s="378"/>
      <c r="E33" s="379"/>
    </row>
    <row r="34" spans="1:5" x14ac:dyDescent="0.2">
      <c r="A34" s="496" t="s">
        <v>19</v>
      </c>
      <c r="B34" s="368" t="s">
        <v>27</v>
      </c>
      <c r="C34" s="377"/>
      <c r="D34" s="378"/>
      <c r="E34" s="381"/>
    </row>
    <row r="35" spans="1:5" x14ac:dyDescent="0.2">
      <c r="A35" s="496" t="s">
        <v>20</v>
      </c>
      <c r="B35" s="368" t="s">
        <v>28</v>
      </c>
      <c r="C35" s="382"/>
      <c r="D35" s="378"/>
      <c r="E35" s="379"/>
    </row>
    <row r="36" spans="1:5" x14ac:dyDescent="0.2">
      <c r="A36" s="496" t="s">
        <v>21</v>
      </c>
      <c r="B36" s="368" t="s">
        <v>119</v>
      </c>
      <c r="C36" s="377"/>
      <c r="D36" s="378"/>
    </row>
    <row r="37" spans="1:5" x14ac:dyDescent="0.2">
      <c r="A37" s="496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498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496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496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496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496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496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496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498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496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496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496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496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504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504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504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504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504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504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504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504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504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504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504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504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504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504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496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496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496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496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496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496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496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496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496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496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498">
        <v>4</v>
      </c>
      <c r="B99" s="722" t="s">
        <v>68</v>
      </c>
      <c r="C99" s="722"/>
      <c r="D99" s="376" t="s">
        <v>98</v>
      </c>
    </row>
    <row r="100" spans="1:5" x14ac:dyDescent="0.2">
      <c r="A100" s="496" t="s">
        <v>63</v>
      </c>
      <c r="B100" s="505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496" t="s">
        <v>64</v>
      </c>
      <c r="B101" s="505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504" t="s">
        <v>65</v>
      </c>
      <c r="B102" s="505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504" t="s">
        <v>66</v>
      </c>
      <c r="B103" s="505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504" t="s">
        <v>67</v>
      </c>
      <c r="B104" s="505" t="s">
        <v>29</v>
      </c>
      <c r="C104" s="499"/>
      <c r="D104" s="378"/>
    </row>
    <row r="105" spans="1:5" x14ac:dyDescent="0.2">
      <c r="A105" s="496"/>
      <c r="B105" s="497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2479.83</v>
      </c>
    </row>
    <row r="107" spans="1:5" x14ac:dyDescent="0.2">
      <c r="A107" s="498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496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38.69</v>
      </c>
    </row>
    <row r="109" spans="1:5" x14ac:dyDescent="0.2">
      <c r="A109" s="496" t="s">
        <v>2</v>
      </c>
      <c r="B109" s="368" t="s">
        <v>74</v>
      </c>
      <c r="C109" s="397"/>
      <c r="D109" s="378"/>
      <c r="E109" s="396"/>
    </row>
    <row r="110" spans="1:5" x14ac:dyDescent="0.2">
      <c r="A110" s="496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496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496" t="s">
        <v>107</v>
      </c>
      <c r="B112" s="368" t="s">
        <v>77</v>
      </c>
      <c r="C112" s="397">
        <v>1.6500000000000001E-2</v>
      </c>
      <c r="D112" s="378">
        <f>ROUND($F$115*C112,2)</f>
        <v>47.83</v>
      </c>
    </row>
    <row r="113" spans="1:6" x14ac:dyDescent="0.2">
      <c r="A113" s="496" t="s">
        <v>108</v>
      </c>
      <c r="B113" s="368" t="s">
        <v>78</v>
      </c>
      <c r="C113" s="397">
        <v>7.5999999999999998E-2</v>
      </c>
      <c r="D113" s="378">
        <f>ROUND($F$115*C113,2)</f>
        <v>220.31</v>
      </c>
      <c r="F113" s="433">
        <f>SUM(C110:C114)</f>
        <v>0.1225</v>
      </c>
    </row>
    <row r="114" spans="1:6" x14ac:dyDescent="0.2">
      <c r="A114" s="496" t="s">
        <v>109</v>
      </c>
      <c r="B114" s="368" t="s">
        <v>79</v>
      </c>
      <c r="C114" s="412">
        <v>0.03</v>
      </c>
      <c r="D114" s="378">
        <f>ROUND($F$115*C114,2)</f>
        <v>86.96</v>
      </c>
      <c r="F114" s="434">
        <f>ROUND(D115+D108+D106,2)</f>
        <v>2543.71</v>
      </c>
    </row>
    <row r="115" spans="1:6" x14ac:dyDescent="0.2">
      <c r="A115" s="496" t="s">
        <v>4</v>
      </c>
      <c r="B115" s="368" t="s">
        <v>80</v>
      </c>
      <c r="C115" s="397">
        <f>CURITIBA!C115</f>
        <v>0.01</v>
      </c>
      <c r="D115" s="378">
        <f>ROUND(($D$106+D108)*C115,2)</f>
        <v>25.19</v>
      </c>
      <c r="F115" s="435">
        <f>ROUND(F114/(1-F113),2)</f>
        <v>2898.81</v>
      </c>
    </row>
    <row r="116" spans="1:6" x14ac:dyDescent="0.2">
      <c r="A116" s="672" t="s">
        <v>46</v>
      </c>
      <c r="B116" s="723"/>
      <c r="C116" s="673"/>
      <c r="D116" s="388">
        <f>ROUND(SUM(D108:D115),2)</f>
        <v>418.98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496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496" t="s">
        <v>2</v>
      </c>
      <c r="B121" s="728" t="s">
        <v>84</v>
      </c>
      <c r="C121" s="728"/>
      <c r="D121" s="378">
        <f>D49</f>
        <v>368.6</v>
      </c>
    </row>
    <row r="122" spans="1:6" x14ac:dyDescent="0.2">
      <c r="A122" s="496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496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2479.83</v>
      </c>
    </row>
    <row r="125" spans="1:6" x14ac:dyDescent="0.2">
      <c r="A125" s="496" t="s">
        <v>18</v>
      </c>
      <c r="B125" s="729" t="s">
        <v>86</v>
      </c>
      <c r="C125" s="729"/>
      <c r="D125" s="378">
        <f>D116</f>
        <v>418.98</v>
      </c>
    </row>
    <row r="126" spans="1:6" x14ac:dyDescent="0.2">
      <c r="A126" s="725" t="s">
        <v>87</v>
      </c>
      <c r="B126" s="725"/>
      <c r="C126" s="725"/>
      <c r="D126" s="388">
        <f>ROUND(D125+D124,2)</f>
        <v>2898.81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2898.81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2898.81</v>
      </c>
      <c r="E132" s="414"/>
    </row>
    <row r="133" spans="1:5" x14ac:dyDescent="0.2">
      <c r="A133" s="728" t="s">
        <v>91</v>
      </c>
      <c r="B133" s="728"/>
      <c r="C133" s="728"/>
      <c r="D133" s="378">
        <v>3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8696.43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496" t="s">
        <v>1</v>
      </c>
      <c r="B137" s="728" t="s">
        <v>93</v>
      </c>
      <c r="C137" s="728"/>
      <c r="D137" s="378">
        <f>D130</f>
        <v>2898.81</v>
      </c>
    </row>
    <row r="138" spans="1:5" x14ac:dyDescent="0.2">
      <c r="A138" s="496" t="s">
        <v>2</v>
      </c>
      <c r="B138" s="728" t="s">
        <v>94</v>
      </c>
      <c r="C138" s="728"/>
      <c r="D138" s="378">
        <f>D134</f>
        <v>8696.43</v>
      </c>
    </row>
    <row r="139" spans="1:5" x14ac:dyDescent="0.2">
      <c r="A139" s="498" t="s">
        <v>4</v>
      </c>
      <c r="B139" s="722" t="s">
        <v>95</v>
      </c>
      <c r="C139" s="722"/>
      <c r="D139" s="388">
        <f>ROUND(D138*12,2)</f>
        <v>104357.16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="75" zoomScaleNormal="100" zoomScaleSheetLayoutView="75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33" bestFit="1" customWidth="1"/>
    <col min="6" max="6" width="9.28515625" style="37" hidden="1" customWidth="1"/>
    <col min="7" max="7" width="0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75" t="s">
        <v>1</v>
      </c>
      <c r="B8" s="4" t="s">
        <v>5</v>
      </c>
      <c r="C8" s="654">
        <v>41015</v>
      </c>
      <c r="D8" s="651"/>
    </row>
    <row r="9" spans="1:4" x14ac:dyDescent="0.2">
      <c r="A9" s="175" t="s">
        <v>2</v>
      </c>
      <c r="B9" s="4" t="s">
        <v>114</v>
      </c>
      <c r="C9" s="655" t="s">
        <v>460</v>
      </c>
      <c r="D9" s="655"/>
    </row>
    <row r="10" spans="1:4" x14ac:dyDescent="0.2">
      <c r="A10" s="175" t="s">
        <v>4</v>
      </c>
      <c r="B10" s="4" t="s">
        <v>6</v>
      </c>
      <c r="C10" s="654">
        <v>40544</v>
      </c>
      <c r="D10" s="651"/>
    </row>
    <row r="11" spans="1:4" x14ac:dyDescent="0.2">
      <c r="A11" s="175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79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75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  <c r="E36" s="417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417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417"/>
    </row>
    <row r="41" spans="1:5" x14ac:dyDescent="0.2">
      <c r="A41" s="674" t="s">
        <v>99</v>
      </c>
      <c r="B41" s="675"/>
      <c r="C41" s="675"/>
      <c r="D41" s="676"/>
      <c r="E41" s="417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417"/>
    </row>
    <row r="43" spans="1:5" ht="13.5" customHeight="1" x14ac:dyDescent="0.2">
      <c r="A43" s="14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  <c r="E49" s="417"/>
    </row>
    <row r="50" spans="1:5" ht="13.5" customHeight="1" x14ac:dyDescent="0.2">
      <c r="A50" s="398"/>
      <c r="B50" s="389"/>
      <c r="C50" s="390"/>
      <c r="D50" s="391"/>
      <c r="E50" s="417"/>
    </row>
    <row r="51" spans="1:5" ht="13.5" customHeight="1" x14ac:dyDescent="0.2">
      <c r="A51" s="674" t="s">
        <v>100</v>
      </c>
      <c r="B51" s="675"/>
      <c r="C51" s="675"/>
      <c r="D51" s="676"/>
      <c r="E51" s="417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417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417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417"/>
    </row>
    <row r="56" spans="1:5" x14ac:dyDescent="0.2">
      <c r="A56" s="175" t="s">
        <v>3</v>
      </c>
      <c r="B56" s="129" t="s">
        <v>251</v>
      </c>
      <c r="C56" s="13">
        <v>2.8</v>
      </c>
      <c r="D56" s="13">
        <f>C56</f>
        <v>2.8</v>
      </c>
      <c r="E56" s="34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34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74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74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74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74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74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74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74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74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33" t="s">
        <v>125</v>
      </c>
      <c r="F71" s="38">
        <v>1.5</v>
      </c>
    </row>
    <row r="72" spans="1:6" x14ac:dyDescent="0.2">
      <c r="A72" s="174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74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74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35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74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74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74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75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75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75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5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35"/>
    </row>
    <row r="88" spans="1:5" x14ac:dyDescent="0.2">
      <c r="A88" s="175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35"/>
    </row>
    <row r="89" spans="1:5" x14ac:dyDescent="0.2">
      <c r="A89" s="175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75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75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75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75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75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76">
        <v>4</v>
      </c>
      <c r="B99" s="665" t="s">
        <v>68</v>
      </c>
      <c r="C99" s="665"/>
      <c r="D99" s="12" t="s">
        <v>98</v>
      </c>
    </row>
    <row r="100" spans="1:5" x14ac:dyDescent="0.2">
      <c r="A100" s="175" t="s">
        <v>63</v>
      </c>
      <c r="B100" s="180" t="s">
        <v>69</v>
      </c>
      <c r="C100" s="26">
        <f>C76</f>
        <v>0.152</v>
      </c>
      <c r="D100" s="13">
        <f>ROUND($D$39*C100,2)</f>
        <v>160.04</v>
      </c>
      <c r="E100" s="35"/>
    </row>
    <row r="101" spans="1:5" x14ac:dyDescent="0.2">
      <c r="A101" s="175" t="s">
        <v>64</v>
      </c>
      <c r="B101" s="180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74" t="s">
        <v>65</v>
      </c>
      <c r="B102" s="180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74" t="s">
        <v>66</v>
      </c>
      <c r="B103" s="180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74" t="s">
        <v>67</v>
      </c>
      <c r="B104" s="180" t="s">
        <v>29</v>
      </c>
      <c r="C104" s="178"/>
      <c r="D104" s="13"/>
    </row>
    <row r="105" spans="1:5" x14ac:dyDescent="0.2">
      <c r="A105" s="175"/>
      <c r="B105" s="177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2598.0500000000002</v>
      </c>
    </row>
    <row r="107" spans="1:5" x14ac:dyDescent="0.2">
      <c r="A107" s="176">
        <v>5</v>
      </c>
      <c r="B107" s="6" t="s">
        <v>72</v>
      </c>
      <c r="C107" s="9" t="s">
        <v>97</v>
      </c>
      <c r="D107" s="12" t="s">
        <v>98</v>
      </c>
      <c r="E107" s="35"/>
    </row>
    <row r="108" spans="1:5" x14ac:dyDescent="0.2">
      <c r="A108" s="175" t="s">
        <v>1</v>
      </c>
      <c r="B108" s="4" t="s">
        <v>73</v>
      </c>
      <c r="C108" s="10">
        <v>1.06E-2</v>
      </c>
      <c r="D108" s="13">
        <f>ROUND($D$106*C108,2)</f>
        <v>27.54</v>
      </c>
    </row>
    <row r="109" spans="1:5" x14ac:dyDescent="0.2">
      <c r="A109" s="175" t="s">
        <v>2</v>
      </c>
      <c r="B109" s="4" t="s">
        <v>74</v>
      </c>
      <c r="C109" s="10"/>
      <c r="D109" s="13"/>
      <c r="E109" s="34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49.62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228.54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90.21</v>
      </c>
      <c r="F114" s="40">
        <f>ROUND(D115+D108+D106,2)</f>
        <v>2638.72</v>
      </c>
    </row>
    <row r="115" spans="1:6" x14ac:dyDescent="0.2">
      <c r="A115" s="175" t="s">
        <v>4</v>
      </c>
      <c r="B115" s="4" t="s">
        <v>80</v>
      </c>
      <c r="C115" s="10">
        <v>5.0000000000000001E-3</v>
      </c>
      <c r="D115" s="13">
        <f>ROUND(($D$106+D108)*C115,2)</f>
        <v>13.13</v>
      </c>
      <c r="F115" s="41">
        <f>ROUND(F114/(1-F113),2)</f>
        <v>3007.09</v>
      </c>
    </row>
    <row r="116" spans="1:6" x14ac:dyDescent="0.2">
      <c r="A116" s="677" t="s">
        <v>46</v>
      </c>
      <c r="B116" s="682"/>
      <c r="C116" s="678"/>
      <c r="D116" s="22">
        <f>ROUND(SUM(D108:D115),2)</f>
        <v>409.04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75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75" t="s">
        <v>2</v>
      </c>
      <c r="B121" s="658" t="s">
        <v>84</v>
      </c>
      <c r="C121" s="658"/>
      <c r="D121" s="13">
        <f>D49</f>
        <v>368.6</v>
      </c>
    </row>
    <row r="122" spans="1:6" x14ac:dyDescent="0.2">
      <c r="A122" s="175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75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2598.0500000000002</v>
      </c>
    </row>
    <row r="125" spans="1:6" x14ac:dyDescent="0.2">
      <c r="A125" s="175" t="s">
        <v>18</v>
      </c>
      <c r="B125" s="683" t="s">
        <v>86</v>
      </c>
      <c r="C125" s="683"/>
      <c r="D125" s="13">
        <f>D116</f>
        <v>409.04</v>
      </c>
    </row>
    <row r="126" spans="1:6" x14ac:dyDescent="0.2">
      <c r="A126" s="655" t="s">
        <v>87</v>
      </c>
      <c r="B126" s="655"/>
      <c r="C126" s="655"/>
      <c r="D126" s="22">
        <f>ROUND(D125+D124,2)</f>
        <v>3007.09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3007.09</v>
      </c>
      <c r="E130" s="36"/>
    </row>
    <row r="131" spans="1:5" x14ac:dyDescent="0.2">
      <c r="A131" s="658" t="s">
        <v>89</v>
      </c>
      <c r="B131" s="658"/>
      <c r="C131" s="658"/>
      <c r="D131" s="13">
        <v>1</v>
      </c>
      <c r="E131" s="36"/>
    </row>
    <row r="132" spans="1:5" x14ac:dyDescent="0.2">
      <c r="A132" s="658" t="s">
        <v>90</v>
      </c>
      <c r="B132" s="658"/>
      <c r="C132" s="658"/>
      <c r="D132" s="13">
        <f>ROUND(D131*D130,2)</f>
        <v>3007.09</v>
      </c>
      <c r="E132" s="36"/>
    </row>
    <row r="133" spans="1:5" x14ac:dyDescent="0.2">
      <c r="A133" s="658" t="s">
        <v>91</v>
      </c>
      <c r="B133" s="658"/>
      <c r="C133" s="658"/>
      <c r="D133" s="13">
        <v>1</v>
      </c>
      <c r="E133" s="36"/>
    </row>
    <row r="134" spans="1:5" x14ac:dyDescent="0.2">
      <c r="A134" s="665" t="s">
        <v>92</v>
      </c>
      <c r="B134" s="665"/>
      <c r="C134" s="665"/>
      <c r="D134" s="22">
        <f>ROUND(D133*D132,2)</f>
        <v>3007.09</v>
      </c>
      <c r="E134" s="36"/>
    </row>
    <row r="135" spans="1:5" x14ac:dyDescent="0.2">
      <c r="E135" s="36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75" t="s">
        <v>1</v>
      </c>
      <c r="B137" s="658" t="s">
        <v>93</v>
      </c>
      <c r="C137" s="658"/>
      <c r="D137" s="212">
        <f>D130</f>
        <v>3007.09</v>
      </c>
    </row>
    <row r="138" spans="1:5" x14ac:dyDescent="0.2">
      <c r="A138" s="175" t="s">
        <v>2</v>
      </c>
      <c r="B138" s="658" t="s">
        <v>94</v>
      </c>
      <c r="C138" s="658"/>
      <c r="D138" s="212">
        <f>D134</f>
        <v>3007.09</v>
      </c>
    </row>
    <row r="139" spans="1:5" x14ac:dyDescent="0.2">
      <c r="A139" s="176" t="s">
        <v>4</v>
      </c>
      <c r="B139" s="665" t="s">
        <v>95</v>
      </c>
      <c r="C139" s="665"/>
      <c r="D139" s="215">
        <f>ROUND(D138*12,2)</f>
        <v>36085.08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="75" zoomScaleNormal="100" zoomScaleSheetLayoutView="75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7.5703125" style="33" bestFit="1" customWidth="1"/>
    <col min="6" max="6" width="9.28515625" style="37" hidden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124" t="s">
        <v>1</v>
      </c>
      <c r="B8" s="4" t="s">
        <v>5</v>
      </c>
      <c r="C8" s="654">
        <v>41015</v>
      </c>
      <c r="D8" s="651"/>
    </row>
    <row r="9" spans="1:4" x14ac:dyDescent="0.2">
      <c r="A9" s="124" t="s">
        <v>2</v>
      </c>
      <c r="B9" s="4" t="s">
        <v>114</v>
      </c>
      <c r="C9" s="655" t="s">
        <v>386</v>
      </c>
      <c r="D9" s="655"/>
    </row>
    <row r="10" spans="1:4" x14ac:dyDescent="0.2">
      <c r="A10" s="124" t="s">
        <v>4</v>
      </c>
      <c r="B10" s="4" t="s">
        <v>6</v>
      </c>
      <c r="C10" s="654">
        <v>40544</v>
      </c>
      <c r="D10" s="651"/>
    </row>
    <row r="11" spans="1:4" x14ac:dyDescent="0.2">
      <c r="A11" s="124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123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124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  <c r="E36" s="417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417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417"/>
    </row>
    <row r="41" spans="1:5" x14ac:dyDescent="0.2">
      <c r="A41" s="674" t="s">
        <v>99</v>
      </c>
      <c r="B41" s="675"/>
      <c r="C41" s="675"/>
      <c r="D41" s="676"/>
      <c r="E41" s="417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417"/>
    </row>
    <row r="43" spans="1:5" ht="13.5" customHeight="1" x14ac:dyDescent="0.2">
      <c r="A43" s="14" t="s">
        <v>1</v>
      </c>
      <c r="B43" s="393" t="s">
        <v>133</v>
      </c>
      <c r="C43" s="378">
        <v>2.8</v>
      </c>
      <c r="D43" s="378">
        <f>ROUND((C43*44)-(D29*6%),2)</f>
        <v>66.2</v>
      </c>
      <c r="E43" s="418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364.2</v>
      </c>
      <c r="E49" s="417"/>
    </row>
    <row r="50" spans="1:5" ht="13.5" customHeight="1" x14ac:dyDescent="0.2">
      <c r="A50" s="398"/>
      <c r="B50" s="389"/>
      <c r="C50" s="390"/>
      <c r="D50" s="391"/>
      <c r="E50" s="417"/>
    </row>
    <row r="51" spans="1:5" ht="13.5" customHeight="1" x14ac:dyDescent="0.2">
      <c r="A51" s="674" t="s">
        <v>100</v>
      </c>
      <c r="B51" s="675"/>
      <c r="C51" s="675"/>
      <c r="D51" s="676"/>
      <c r="E51" s="417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417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417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417"/>
    </row>
    <row r="56" spans="1:5" x14ac:dyDescent="0.2">
      <c r="A56" s="14" t="s">
        <v>3</v>
      </c>
      <c r="B56" s="420" t="s">
        <v>251</v>
      </c>
      <c r="C56" s="378">
        <v>2.8</v>
      </c>
      <c r="D56" s="378">
        <f>C56</f>
        <v>2.8</v>
      </c>
      <c r="E56" s="421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421"/>
    </row>
    <row r="58" spans="1:5" x14ac:dyDescent="0.2">
      <c r="A58" s="389"/>
      <c r="B58" s="389"/>
      <c r="C58" s="390"/>
      <c r="D58" s="391"/>
      <c r="E58" s="417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13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13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13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13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13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13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13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13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33" t="s">
        <v>125</v>
      </c>
      <c r="F71" s="38">
        <v>1.5</v>
      </c>
    </row>
    <row r="72" spans="1:6" x14ac:dyDescent="0.2">
      <c r="A72" s="13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13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13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35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13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13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13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124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124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124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5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35"/>
    </row>
    <row r="88" spans="1:5" x14ac:dyDescent="0.2">
      <c r="A88" s="124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35"/>
    </row>
    <row r="89" spans="1:5" x14ac:dyDescent="0.2">
      <c r="A89" s="124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124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124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124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124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124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126">
        <v>4</v>
      </c>
      <c r="B99" s="665" t="s">
        <v>68</v>
      </c>
      <c r="C99" s="665"/>
      <c r="D99" s="12" t="s">
        <v>98</v>
      </c>
    </row>
    <row r="100" spans="1:5" x14ac:dyDescent="0.2">
      <c r="A100" s="124" t="s">
        <v>63</v>
      </c>
      <c r="B100" s="25" t="s">
        <v>69</v>
      </c>
      <c r="C100" s="26">
        <f>C76</f>
        <v>0.152</v>
      </c>
      <c r="D100" s="13">
        <f>ROUND($D$39*C100,2)</f>
        <v>160.04</v>
      </c>
      <c r="E100" s="35"/>
    </row>
    <row r="101" spans="1:5" x14ac:dyDescent="0.2">
      <c r="A101" s="124" t="s">
        <v>64</v>
      </c>
      <c r="B101" s="25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130" t="s">
        <v>65</v>
      </c>
      <c r="B102" s="25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130" t="s">
        <v>66</v>
      </c>
      <c r="B103" s="25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130" t="s">
        <v>67</v>
      </c>
      <c r="B104" s="25" t="s">
        <v>29</v>
      </c>
      <c r="C104" s="127"/>
      <c r="D104" s="13"/>
    </row>
    <row r="105" spans="1:5" x14ac:dyDescent="0.2">
      <c r="A105" s="124"/>
      <c r="B105" s="1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2593.65</v>
      </c>
    </row>
    <row r="107" spans="1:5" x14ac:dyDescent="0.2">
      <c r="A107" s="126">
        <v>5</v>
      </c>
      <c r="B107" s="6" t="s">
        <v>72</v>
      </c>
      <c r="C107" s="9" t="s">
        <v>97</v>
      </c>
      <c r="D107" s="12" t="s">
        <v>98</v>
      </c>
      <c r="E107" s="35"/>
    </row>
    <row r="108" spans="1:5" x14ac:dyDescent="0.2">
      <c r="A108" s="124" t="s">
        <v>1</v>
      </c>
      <c r="B108" s="4" t="s">
        <v>73</v>
      </c>
      <c r="C108" s="10">
        <v>1.06E-2</v>
      </c>
      <c r="D108" s="13">
        <f>ROUND($D$106*C108,2)</f>
        <v>27.49</v>
      </c>
    </row>
    <row r="109" spans="1:5" x14ac:dyDescent="0.2">
      <c r="A109" s="124" t="s">
        <v>2</v>
      </c>
      <c r="B109" s="4" t="s">
        <v>74</v>
      </c>
      <c r="C109" s="10"/>
      <c r="D109" s="13"/>
      <c r="E109" s="34"/>
    </row>
    <row r="110" spans="1:5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49.53</v>
      </c>
    </row>
    <row r="113" spans="1:6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228.15</v>
      </c>
      <c r="F113" s="39">
        <f>SUM(C110:C114)</f>
        <v>0.1225</v>
      </c>
    </row>
    <row r="114" spans="1:6" x14ac:dyDescent="0.2">
      <c r="A114" s="14" t="s">
        <v>109</v>
      </c>
      <c r="B114" s="4" t="s">
        <v>79</v>
      </c>
      <c r="C114" s="131">
        <v>0.03</v>
      </c>
      <c r="D114" s="13">
        <f>ROUND($F$115*C114,2)</f>
        <v>90.06</v>
      </c>
      <c r="F114" s="40">
        <f>ROUND(D115+D108+D106,2)</f>
        <v>2634.25</v>
      </c>
    </row>
    <row r="115" spans="1:6" x14ac:dyDescent="0.2">
      <c r="A115" s="124" t="s">
        <v>4</v>
      </c>
      <c r="B115" s="4" t="s">
        <v>80</v>
      </c>
      <c r="C115" s="10">
        <v>5.0000000000000001E-3</v>
      </c>
      <c r="D115" s="13">
        <f>ROUND(($D$106+D108)*C115,2)</f>
        <v>13.11</v>
      </c>
      <c r="F115" s="41">
        <f>ROUND(F114/(1-F113),2)</f>
        <v>3001.99</v>
      </c>
    </row>
    <row r="116" spans="1:6" x14ac:dyDescent="0.2">
      <c r="A116" s="677" t="s">
        <v>46</v>
      </c>
      <c r="B116" s="682"/>
      <c r="C116" s="678"/>
      <c r="D116" s="22">
        <f>ROUND(SUM(D108:D115),2)</f>
        <v>408.34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124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124" t="s">
        <v>2</v>
      </c>
      <c r="B121" s="658" t="s">
        <v>84</v>
      </c>
      <c r="C121" s="658"/>
      <c r="D121" s="13">
        <f>D49</f>
        <v>364.2</v>
      </c>
    </row>
    <row r="122" spans="1:6" x14ac:dyDescent="0.2">
      <c r="A122" s="124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124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2593.65</v>
      </c>
    </row>
    <row r="125" spans="1:6" x14ac:dyDescent="0.2">
      <c r="A125" s="124" t="s">
        <v>18</v>
      </c>
      <c r="B125" s="683" t="s">
        <v>86</v>
      </c>
      <c r="C125" s="683"/>
      <c r="D125" s="13">
        <f>D116</f>
        <v>408.34</v>
      </c>
    </row>
    <row r="126" spans="1:6" x14ac:dyDescent="0.2">
      <c r="A126" s="655" t="s">
        <v>87</v>
      </c>
      <c r="B126" s="655"/>
      <c r="C126" s="655"/>
      <c r="D126" s="22">
        <f>ROUND(D125+D124,2)</f>
        <v>3001.99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3001.99</v>
      </c>
      <c r="E130" s="36"/>
    </row>
    <row r="131" spans="1:5" x14ac:dyDescent="0.2">
      <c r="A131" s="658" t="s">
        <v>89</v>
      </c>
      <c r="B131" s="658"/>
      <c r="C131" s="658"/>
      <c r="D131" s="13">
        <v>1</v>
      </c>
      <c r="E131" s="36"/>
    </row>
    <row r="132" spans="1:5" x14ac:dyDescent="0.2">
      <c r="A132" s="658" t="s">
        <v>90</v>
      </c>
      <c r="B132" s="658"/>
      <c r="C132" s="658"/>
      <c r="D132" s="13">
        <f>ROUND(D131*D130,2)</f>
        <v>3001.99</v>
      </c>
      <c r="E132" s="36"/>
    </row>
    <row r="133" spans="1:5" x14ac:dyDescent="0.2">
      <c r="A133" s="658" t="s">
        <v>91</v>
      </c>
      <c r="B133" s="658"/>
      <c r="C133" s="658"/>
      <c r="D133" s="13">
        <v>1</v>
      </c>
      <c r="E133" s="36"/>
    </row>
    <row r="134" spans="1:5" x14ac:dyDescent="0.2">
      <c r="A134" s="665" t="s">
        <v>92</v>
      </c>
      <c r="B134" s="665"/>
      <c r="C134" s="665"/>
      <c r="D134" s="22">
        <f>ROUND(D133*D132,2)</f>
        <v>3001.99</v>
      </c>
      <c r="E134" s="36"/>
    </row>
    <row r="135" spans="1:5" x14ac:dyDescent="0.2">
      <c r="E135" s="36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124" t="s">
        <v>1</v>
      </c>
      <c r="B137" s="658" t="s">
        <v>93</v>
      </c>
      <c r="C137" s="658"/>
      <c r="D137" s="13">
        <f>D130</f>
        <v>3001.99</v>
      </c>
    </row>
    <row r="138" spans="1:5" x14ac:dyDescent="0.2">
      <c r="A138" s="124" t="s">
        <v>2</v>
      </c>
      <c r="B138" s="658" t="s">
        <v>94</v>
      </c>
      <c r="C138" s="658"/>
      <c r="D138" s="13">
        <f>D134</f>
        <v>3001.99</v>
      </c>
    </row>
    <row r="139" spans="1:5" x14ac:dyDescent="0.2">
      <c r="A139" s="126" t="s">
        <v>4</v>
      </c>
      <c r="B139" s="665" t="s">
        <v>95</v>
      </c>
      <c r="C139" s="665"/>
      <c r="D139" s="22">
        <f>ROUND(D138*12,2)</f>
        <v>36023.879999999997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C11:D11"/>
    <mergeCell ref="A1:D1"/>
    <mergeCell ref="A7:D7"/>
    <mergeCell ref="C8:D8"/>
    <mergeCell ref="C9:D9"/>
    <mergeCell ref="C10:D10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14" t="s">
        <v>1</v>
      </c>
      <c r="B8" s="368" t="s">
        <v>5</v>
      </c>
      <c r="C8" s="669"/>
      <c r="D8" s="668"/>
    </row>
    <row r="9" spans="1:4" x14ac:dyDescent="0.2">
      <c r="A9" s="14" t="s">
        <v>2</v>
      </c>
      <c r="B9" s="368" t="s">
        <v>114</v>
      </c>
      <c r="C9" s="725" t="s">
        <v>386</v>
      </c>
      <c r="D9" s="725"/>
    </row>
    <row r="10" spans="1:4" x14ac:dyDescent="0.2">
      <c r="A10" s="14" t="s">
        <v>4</v>
      </c>
      <c r="B10" s="368" t="s">
        <v>6</v>
      </c>
      <c r="C10" s="669">
        <v>40909</v>
      </c>
      <c r="D10" s="668"/>
    </row>
    <row r="11" spans="1:4" x14ac:dyDescent="0.2">
      <c r="A11" s="14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11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0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14">
        <v>1</v>
      </c>
      <c r="B22" s="368" t="s">
        <v>131</v>
      </c>
      <c r="C22" s="742" t="s">
        <v>145</v>
      </c>
      <c r="D22" s="668"/>
    </row>
    <row r="23" spans="1:5" x14ac:dyDescent="0.2">
      <c r="A23" s="14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14">
        <v>3</v>
      </c>
      <c r="B24" s="368" t="s">
        <v>15</v>
      </c>
      <c r="C24" s="667" t="s">
        <v>146</v>
      </c>
      <c r="D24" s="668"/>
    </row>
    <row r="25" spans="1:5" x14ac:dyDescent="0.2">
      <c r="A25" s="14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14" t="s">
        <v>1</v>
      </c>
      <c r="B43" s="393" t="s">
        <v>133</v>
      </c>
      <c r="C43" s="378">
        <v>2.8</v>
      </c>
      <c r="D43" s="378">
        <f>ROUND((C43*44)-(D29*6%),2)</f>
        <v>66.2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364.2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14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373">
        <v>4</v>
      </c>
      <c r="B99" s="722" t="s">
        <v>68</v>
      </c>
      <c r="C99" s="722"/>
      <c r="D99" s="376" t="s">
        <v>98</v>
      </c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08"/>
      <c r="D104" s="378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2475.4299999999998</v>
      </c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38.619999999999997</v>
      </c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47.75</v>
      </c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219.92</v>
      </c>
      <c r="F113" s="433">
        <f>SUM(C110:C114)</f>
        <v>0.1225</v>
      </c>
    </row>
    <row r="114" spans="1:6" x14ac:dyDescent="0.2">
      <c r="A114" s="14" t="s">
        <v>109</v>
      </c>
      <c r="B114" s="368" t="s">
        <v>79</v>
      </c>
      <c r="C114" s="412">
        <v>0.03</v>
      </c>
      <c r="D114" s="378">
        <f>ROUND($F$115*C114,2)</f>
        <v>86.81</v>
      </c>
      <c r="F114" s="434">
        <f>ROUND(D115+D108+D106,2)</f>
        <v>2539.19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25.14</v>
      </c>
      <c r="F115" s="435">
        <f>ROUND(F114/(1-F113),2)</f>
        <v>2893.66</v>
      </c>
    </row>
    <row r="116" spans="1:6" x14ac:dyDescent="0.2">
      <c r="A116" s="672" t="s">
        <v>46</v>
      </c>
      <c r="B116" s="723"/>
      <c r="C116" s="673"/>
      <c r="D116" s="388">
        <f>ROUND(SUM(D108:D115),2)</f>
        <v>418.24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14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14" t="s">
        <v>2</v>
      </c>
      <c r="B121" s="728" t="s">
        <v>84</v>
      </c>
      <c r="C121" s="728"/>
      <c r="D121" s="378">
        <f>D49</f>
        <v>364.2</v>
      </c>
    </row>
    <row r="122" spans="1:6" x14ac:dyDescent="0.2">
      <c r="A122" s="14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14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2475.4299999999998</v>
      </c>
    </row>
    <row r="125" spans="1:6" x14ac:dyDescent="0.2">
      <c r="A125" s="14" t="s">
        <v>18</v>
      </c>
      <c r="B125" s="729" t="s">
        <v>86</v>
      </c>
      <c r="C125" s="729"/>
      <c r="D125" s="378">
        <f>D116</f>
        <v>418.24</v>
      </c>
    </row>
    <row r="126" spans="1:6" x14ac:dyDescent="0.2">
      <c r="A126" s="725" t="s">
        <v>87</v>
      </c>
      <c r="B126" s="725"/>
      <c r="C126" s="725"/>
      <c r="D126" s="388">
        <f>ROUND(D125+D124,2)</f>
        <v>2893.67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2893.67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2893.67</v>
      </c>
      <c r="E132" s="414"/>
    </row>
    <row r="133" spans="1:5" x14ac:dyDescent="0.2">
      <c r="A133" s="728" t="s">
        <v>91</v>
      </c>
      <c r="B133" s="728"/>
      <c r="C133" s="728"/>
      <c r="D133" s="378">
        <f>C16+4</f>
        <v>15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43405.05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14" t="s">
        <v>1</v>
      </c>
      <c r="B137" s="728" t="s">
        <v>93</v>
      </c>
      <c r="C137" s="728"/>
      <c r="D137" s="378">
        <f>D130</f>
        <v>2893.67</v>
      </c>
    </row>
    <row r="138" spans="1:5" x14ac:dyDescent="0.2">
      <c r="A138" s="14" t="s">
        <v>2</v>
      </c>
      <c r="B138" s="728" t="s">
        <v>94</v>
      </c>
      <c r="C138" s="728"/>
      <c r="D138" s="378">
        <f>D134</f>
        <v>43405.05</v>
      </c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520860.6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69" orientation="portrait" r:id="rId1"/>
  <headerFooter alignWithMargins="0"/>
  <rowBreaks count="2" manualBreakCount="2">
    <brk id="58" max="4" man="1"/>
    <brk id="96" max="4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89" customWidth="1"/>
    <col min="2" max="2" width="60.140625" style="389" customWidth="1"/>
    <col min="3" max="3" width="11.5703125" style="390" customWidth="1"/>
    <col min="4" max="4" width="22.85546875" style="391" customWidth="1"/>
    <col min="5" max="5" width="25.5703125" style="369" bestFit="1" customWidth="1"/>
    <col min="6" max="6" width="9.28515625" style="427" bestFit="1" customWidth="1"/>
    <col min="7" max="16384" width="9.140625" style="389"/>
  </cols>
  <sheetData>
    <row r="1" spans="1:4" x14ac:dyDescent="0.2">
      <c r="A1" s="671" t="s">
        <v>0</v>
      </c>
      <c r="B1" s="671"/>
      <c r="C1" s="671"/>
      <c r="D1" s="671"/>
    </row>
    <row r="4" spans="1:4" x14ac:dyDescent="0.2">
      <c r="A4" s="403" t="s">
        <v>143</v>
      </c>
    </row>
    <row r="5" spans="1:4" x14ac:dyDescent="0.2">
      <c r="A5" s="403" t="s">
        <v>144</v>
      </c>
    </row>
    <row r="6" spans="1:4" x14ac:dyDescent="0.2">
      <c r="C6" s="428" t="s">
        <v>118</v>
      </c>
      <c r="D6" s="429" t="s">
        <v>117</v>
      </c>
    </row>
    <row r="7" spans="1:4" x14ac:dyDescent="0.2">
      <c r="A7" s="725" t="s">
        <v>128</v>
      </c>
      <c r="B7" s="725"/>
      <c r="C7" s="725"/>
      <c r="D7" s="725"/>
    </row>
    <row r="8" spans="1:4" x14ac:dyDescent="0.2">
      <c r="A8" s="14" t="s">
        <v>1</v>
      </c>
      <c r="B8" s="368" t="s">
        <v>5</v>
      </c>
      <c r="C8" s="669"/>
      <c r="D8" s="668"/>
    </row>
    <row r="9" spans="1:4" x14ac:dyDescent="0.2">
      <c r="A9" s="14" t="s">
        <v>2</v>
      </c>
      <c r="B9" s="368" t="s">
        <v>114</v>
      </c>
      <c r="C9" s="725" t="s">
        <v>139</v>
      </c>
      <c r="D9" s="725"/>
    </row>
    <row r="10" spans="1:4" x14ac:dyDescent="0.2">
      <c r="A10" s="14" t="s">
        <v>4</v>
      </c>
      <c r="B10" s="368" t="s">
        <v>6</v>
      </c>
      <c r="C10" s="669">
        <v>40909</v>
      </c>
      <c r="D10" s="668"/>
    </row>
    <row r="11" spans="1:4" x14ac:dyDescent="0.2">
      <c r="A11" s="14" t="s">
        <v>3</v>
      </c>
      <c r="B11" s="368" t="s">
        <v>7</v>
      </c>
      <c r="C11" s="742" t="s">
        <v>141</v>
      </c>
      <c r="D11" s="668"/>
    </row>
    <row r="13" spans="1:4" x14ac:dyDescent="0.2">
      <c r="A13" s="725" t="s">
        <v>8</v>
      </c>
      <c r="B13" s="725"/>
      <c r="C13" s="725"/>
      <c r="D13" s="725"/>
    </row>
    <row r="14" spans="1:4" x14ac:dyDescent="0.2">
      <c r="A14" s="728" t="s">
        <v>9</v>
      </c>
      <c r="B14" s="728"/>
      <c r="C14" s="742" t="s">
        <v>113</v>
      </c>
      <c r="D14" s="668"/>
    </row>
    <row r="15" spans="1:4" x14ac:dyDescent="0.2">
      <c r="A15" s="728" t="s">
        <v>129</v>
      </c>
      <c r="B15" s="728"/>
      <c r="C15" s="742" t="s">
        <v>142</v>
      </c>
      <c r="D15" s="668"/>
    </row>
    <row r="16" spans="1:4" x14ac:dyDescent="0.2">
      <c r="A16" s="728" t="s">
        <v>10</v>
      </c>
      <c r="B16" s="728"/>
      <c r="C16" s="668">
        <v>6</v>
      </c>
      <c r="D16" s="668"/>
    </row>
    <row r="17" spans="1:5" x14ac:dyDescent="0.2">
      <c r="A17" s="743" t="s">
        <v>253</v>
      </c>
      <c r="B17" s="744"/>
      <c r="C17" s="668" t="s">
        <v>254</v>
      </c>
      <c r="D17" s="668"/>
    </row>
    <row r="18" spans="1:5" x14ac:dyDescent="0.2">
      <c r="A18" s="430"/>
    </row>
    <row r="19" spans="1:5" x14ac:dyDescent="0.2">
      <c r="A19" s="671" t="s">
        <v>130</v>
      </c>
      <c r="B19" s="671"/>
      <c r="C19" s="671"/>
      <c r="D19" s="671"/>
    </row>
    <row r="20" spans="1:5" x14ac:dyDescent="0.2">
      <c r="A20" s="671" t="s">
        <v>11</v>
      </c>
      <c r="B20" s="671"/>
      <c r="C20" s="671"/>
      <c r="D20" s="671"/>
    </row>
    <row r="21" spans="1:5" x14ac:dyDescent="0.2">
      <c r="A21" s="726" t="s">
        <v>12</v>
      </c>
      <c r="B21" s="741"/>
      <c r="C21" s="741"/>
      <c r="D21" s="727"/>
    </row>
    <row r="22" spans="1:5" x14ac:dyDescent="0.2">
      <c r="A22" s="14">
        <v>1</v>
      </c>
      <c r="B22" s="368" t="s">
        <v>131</v>
      </c>
      <c r="C22" s="742" t="s">
        <v>145</v>
      </c>
      <c r="D22" s="668"/>
    </row>
    <row r="23" spans="1:5" x14ac:dyDescent="0.2">
      <c r="A23" s="14">
        <v>2</v>
      </c>
      <c r="B23" s="368" t="s">
        <v>14</v>
      </c>
      <c r="C23" s="666">
        <f>'REPACTUAÇÃO 2014'!F5</f>
        <v>950</v>
      </c>
      <c r="D23" s="666"/>
    </row>
    <row r="24" spans="1:5" x14ac:dyDescent="0.2">
      <c r="A24" s="14">
        <v>3</v>
      </c>
      <c r="B24" s="368" t="s">
        <v>15</v>
      </c>
      <c r="C24" s="667" t="s">
        <v>146</v>
      </c>
      <c r="D24" s="668"/>
    </row>
    <row r="25" spans="1:5" x14ac:dyDescent="0.2">
      <c r="A25" s="14">
        <v>4</v>
      </c>
      <c r="B25" s="368" t="s">
        <v>16</v>
      </c>
      <c r="C25" s="669">
        <v>41306</v>
      </c>
      <c r="D25" s="668"/>
    </row>
    <row r="26" spans="1:5" x14ac:dyDescent="0.2">
      <c r="A26" s="371"/>
      <c r="B26" s="372"/>
      <c r="C26" s="670"/>
      <c r="D26" s="670"/>
    </row>
    <row r="27" spans="1:5" x14ac:dyDescent="0.2">
      <c r="A27" s="671" t="s">
        <v>96</v>
      </c>
      <c r="B27" s="671"/>
      <c r="C27" s="671"/>
      <c r="D27" s="671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</row>
    <row r="38" spans="1:5" x14ac:dyDescent="0.2">
      <c r="A38" s="383" t="s">
        <v>487</v>
      </c>
      <c r="B38" s="384" t="s">
        <v>488</v>
      </c>
      <c r="C38" s="385"/>
      <c r="D38" s="386">
        <f>D29*3.6316%</f>
        <v>34.5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984.5</v>
      </c>
    </row>
    <row r="41" spans="1:5" x14ac:dyDescent="0.2">
      <c r="A41" s="674" t="s">
        <v>99</v>
      </c>
      <c r="B41" s="675"/>
      <c r="C41" s="675"/>
      <c r="D41" s="676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</row>
    <row r="43" spans="1:5" ht="13.5" customHeight="1" x14ac:dyDescent="0.2">
      <c r="A43" s="14" t="s">
        <v>1</v>
      </c>
      <c r="B43" s="393" t="s">
        <v>133</v>
      </c>
      <c r="C43" s="378">
        <v>3.1</v>
      </c>
      <c r="D43" s="378">
        <f>ROUND((C43*44)-(D29*6%),2)</f>
        <v>79.400000000000006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377.4</v>
      </c>
    </row>
    <row r="50" spans="1:5" ht="13.5" customHeight="1" x14ac:dyDescent="0.2">
      <c r="A50" s="398"/>
    </row>
    <row r="51" spans="1:5" ht="13.5" customHeight="1" x14ac:dyDescent="0.2">
      <c r="A51" s="674" t="s">
        <v>100</v>
      </c>
      <c r="B51" s="675"/>
      <c r="C51" s="675"/>
      <c r="D51" s="676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</row>
    <row r="54" spans="1:5" x14ac:dyDescent="0.2">
      <c r="A54" s="14" t="s">
        <v>2</v>
      </c>
      <c r="B54" s="40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f>Equipamentos!D14</f>
        <v>37.479999999999997</v>
      </c>
      <c r="D55" s="378">
        <f>ROUND(C55*$C$29,2)</f>
        <v>37.479999999999997</v>
      </c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396"/>
    </row>
    <row r="59" spans="1:5" x14ac:dyDescent="0.2">
      <c r="A59" s="674" t="s">
        <v>101</v>
      </c>
      <c r="B59" s="675"/>
      <c r="C59" s="675"/>
      <c r="D59" s="676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196.9</v>
      </c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14.77</v>
      </c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9.85</v>
      </c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1.97</v>
      </c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24.61</v>
      </c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78.760000000000005</v>
      </c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29.54</v>
      </c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5.91</v>
      </c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362.31</v>
      </c>
    </row>
    <row r="70" spans="1:6" x14ac:dyDescent="0.2">
      <c r="A70" s="403"/>
      <c r="B70" s="403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F71" s="431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82.01</v>
      </c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27.37</v>
      </c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109.38</v>
      </c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40.270000000000003</v>
      </c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149.65</v>
      </c>
    </row>
    <row r="77" spans="1:6" x14ac:dyDescent="0.2">
      <c r="A77" s="403"/>
      <c r="B77" s="403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1.67</v>
      </c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</v>
      </c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7.88</v>
      </c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19.100000000000001</v>
      </c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6.99</v>
      </c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43.51</v>
      </c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79.25</v>
      </c>
    </row>
    <row r="86" spans="1:5" x14ac:dyDescent="0.2"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82.01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5.51</v>
      </c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0.69</v>
      </c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2.76</v>
      </c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0.79</v>
      </c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</v>
      </c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91.95</v>
      </c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33.869999999999997</v>
      </c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125.82</v>
      </c>
    </row>
    <row r="98" spans="1:5" x14ac:dyDescent="0.2">
      <c r="A98" s="671" t="s">
        <v>62</v>
      </c>
      <c r="B98" s="671"/>
      <c r="C98" s="671"/>
      <c r="D98" s="671"/>
    </row>
    <row r="99" spans="1:5" x14ac:dyDescent="0.2">
      <c r="A99" s="373">
        <v>4</v>
      </c>
      <c r="B99" s="722" t="s">
        <v>68</v>
      </c>
      <c r="C99" s="722"/>
      <c r="D99" s="376" t="s">
        <v>98</v>
      </c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149.63999999999999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362.3</v>
      </c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79.25</v>
      </c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125.82</v>
      </c>
    </row>
    <row r="104" spans="1:5" x14ac:dyDescent="0.2">
      <c r="A104" s="401" t="s">
        <v>67</v>
      </c>
      <c r="B104" s="406" t="s">
        <v>29</v>
      </c>
      <c r="C104" s="408"/>
      <c r="D104" s="378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717.01</v>
      </c>
    </row>
    <row r="106" spans="1:5" x14ac:dyDescent="0.2">
      <c r="D106" s="411">
        <f>ROUND(D105+D57+D49+D39,2)</f>
        <v>2488.63</v>
      </c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38.82</v>
      </c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48</v>
      </c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221.09</v>
      </c>
      <c r="F113" s="433">
        <f>SUM(C110:C114)</f>
        <v>0.1225</v>
      </c>
    </row>
    <row r="114" spans="1:6" x14ac:dyDescent="0.2">
      <c r="A114" s="14" t="s">
        <v>109</v>
      </c>
      <c r="B114" s="368" t="s">
        <v>79</v>
      </c>
      <c r="C114" s="412">
        <v>0.03</v>
      </c>
      <c r="D114" s="378">
        <f>ROUND($F$115*C114,2)</f>
        <v>87.27</v>
      </c>
      <c r="F114" s="434">
        <f>ROUND(D115+D108+D106,2)</f>
        <v>2552.7199999999998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25.27</v>
      </c>
      <c r="F115" s="435">
        <f>ROUND(F114/(1-F113),2)</f>
        <v>2909.08</v>
      </c>
    </row>
    <row r="116" spans="1:6" x14ac:dyDescent="0.2">
      <c r="A116" s="672" t="s">
        <v>46</v>
      </c>
      <c r="B116" s="723"/>
      <c r="C116" s="673"/>
      <c r="D116" s="388">
        <f>ROUND(SUM(D108:D115),2)</f>
        <v>420.45</v>
      </c>
    </row>
    <row r="117" spans="1:6" x14ac:dyDescent="0.2">
      <c r="D117" s="411"/>
    </row>
    <row r="118" spans="1:6" x14ac:dyDescent="0.2">
      <c r="A118" s="671" t="s">
        <v>81</v>
      </c>
      <c r="B118" s="671"/>
      <c r="C118" s="671"/>
      <c r="D118" s="671"/>
    </row>
    <row r="119" spans="1:6" x14ac:dyDescent="0.2">
      <c r="A119" s="725" t="s">
        <v>82</v>
      </c>
      <c r="B119" s="725"/>
      <c r="C119" s="725"/>
      <c r="D119" s="725"/>
    </row>
    <row r="120" spans="1:6" x14ac:dyDescent="0.2">
      <c r="A120" s="14" t="s">
        <v>1</v>
      </c>
      <c r="B120" s="728" t="s">
        <v>83</v>
      </c>
      <c r="C120" s="728"/>
      <c r="D120" s="378">
        <f>D39</f>
        <v>984.5</v>
      </c>
    </row>
    <row r="121" spans="1:6" x14ac:dyDescent="0.2">
      <c r="A121" s="14" t="s">
        <v>2</v>
      </c>
      <c r="B121" s="728" t="s">
        <v>84</v>
      </c>
      <c r="C121" s="728"/>
      <c r="D121" s="378">
        <f>D49</f>
        <v>377.4</v>
      </c>
    </row>
    <row r="122" spans="1:6" x14ac:dyDescent="0.2">
      <c r="A122" s="14" t="s">
        <v>4</v>
      </c>
      <c r="B122" s="728" t="s">
        <v>85</v>
      </c>
      <c r="C122" s="728"/>
      <c r="D122" s="378">
        <f>D57</f>
        <v>409.72</v>
      </c>
    </row>
    <row r="123" spans="1:6" x14ac:dyDescent="0.2">
      <c r="A123" s="14" t="s">
        <v>3</v>
      </c>
      <c r="B123" s="728" t="s">
        <v>127</v>
      </c>
      <c r="C123" s="728"/>
      <c r="D123" s="378">
        <f>D105</f>
        <v>717.01</v>
      </c>
    </row>
    <row r="124" spans="1:6" x14ac:dyDescent="0.2">
      <c r="A124" s="725" t="s">
        <v>49</v>
      </c>
      <c r="B124" s="725"/>
      <c r="C124" s="725"/>
      <c r="D124" s="388">
        <f>ROUND(SUM(D120:D123),2)</f>
        <v>2488.63</v>
      </c>
    </row>
    <row r="125" spans="1:6" x14ac:dyDescent="0.2">
      <c r="A125" s="14" t="s">
        <v>18</v>
      </c>
      <c r="B125" s="729" t="s">
        <v>86</v>
      </c>
      <c r="C125" s="729"/>
      <c r="D125" s="378">
        <f>D116</f>
        <v>420.45</v>
      </c>
    </row>
    <row r="126" spans="1:6" x14ac:dyDescent="0.2">
      <c r="A126" s="725" t="s">
        <v>87</v>
      </c>
      <c r="B126" s="725"/>
      <c r="C126" s="725"/>
      <c r="D126" s="388">
        <f>ROUND(D125+D124,2)</f>
        <v>2909.08</v>
      </c>
    </row>
    <row r="128" spans="1:6" x14ac:dyDescent="0.2">
      <c r="A128" s="725" t="s">
        <v>110</v>
      </c>
      <c r="B128" s="725"/>
      <c r="C128" s="725"/>
      <c r="D128" s="725"/>
    </row>
    <row r="129" spans="1:5" x14ac:dyDescent="0.2">
      <c r="A129" s="728" t="s">
        <v>13</v>
      </c>
      <c r="B129" s="728"/>
      <c r="C129" s="728"/>
      <c r="D129" s="378"/>
    </row>
    <row r="130" spans="1:5" x14ac:dyDescent="0.2">
      <c r="A130" s="728" t="s">
        <v>88</v>
      </c>
      <c r="B130" s="728"/>
      <c r="C130" s="728"/>
      <c r="D130" s="378">
        <f>D126</f>
        <v>2909.08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2909.08</v>
      </c>
      <c r="E132" s="414"/>
    </row>
    <row r="133" spans="1:5" x14ac:dyDescent="0.2">
      <c r="A133" s="728" t="s">
        <v>91</v>
      </c>
      <c r="B133" s="728"/>
      <c r="C133" s="728"/>
      <c r="D133" s="378">
        <v>6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17454.48</v>
      </c>
      <c r="E134" s="414"/>
    </row>
    <row r="135" spans="1:5" x14ac:dyDescent="0.2">
      <c r="E135" s="414"/>
    </row>
    <row r="136" spans="1:5" x14ac:dyDescent="0.2">
      <c r="A136" s="725" t="s">
        <v>111</v>
      </c>
      <c r="B136" s="725"/>
      <c r="C136" s="725"/>
      <c r="D136" s="725"/>
    </row>
    <row r="137" spans="1:5" x14ac:dyDescent="0.2">
      <c r="A137" s="14" t="s">
        <v>1</v>
      </c>
      <c r="B137" s="728" t="s">
        <v>93</v>
      </c>
      <c r="C137" s="728"/>
      <c r="D137" s="378">
        <f>D130</f>
        <v>2909.08</v>
      </c>
    </row>
    <row r="138" spans="1:5" x14ac:dyDescent="0.2">
      <c r="A138" s="14" t="s">
        <v>2</v>
      </c>
      <c r="B138" s="728" t="s">
        <v>94</v>
      </c>
      <c r="C138" s="728"/>
      <c r="D138" s="378">
        <f>D134</f>
        <v>17454.48</v>
      </c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209453.76</v>
      </c>
    </row>
    <row r="140" spans="1:5" x14ac:dyDescent="0.2">
      <c r="A140" s="398"/>
    </row>
    <row r="141" spans="1:5" x14ac:dyDescent="0.2">
      <c r="A141" s="398"/>
    </row>
    <row r="142" spans="1:5" x14ac:dyDescent="0.2">
      <c r="A142" s="737" t="s">
        <v>382</v>
      </c>
      <c r="B142" s="738"/>
    </row>
    <row r="143" spans="1:5" x14ac:dyDescent="0.2">
      <c r="A143" s="398"/>
    </row>
    <row r="144" spans="1:5" x14ac:dyDescent="0.2">
      <c r="A144" s="398"/>
    </row>
    <row r="145" spans="1:2" x14ac:dyDescent="0.2">
      <c r="A145" s="739" t="s">
        <v>381</v>
      </c>
      <c r="B145" s="739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147"/>
  <sheetViews>
    <sheetView view="pageBreakPreview" zoomScaleNormal="100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6.42578125" style="33" bestFit="1" customWidth="1"/>
    <col min="6" max="6" width="11.140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257" t="s">
        <v>1</v>
      </c>
      <c r="B8" s="4" t="s">
        <v>5</v>
      </c>
      <c r="C8" s="654">
        <v>41015</v>
      </c>
      <c r="D8" s="651"/>
    </row>
    <row r="9" spans="1:4" x14ac:dyDescent="0.2">
      <c r="A9" s="257" t="s">
        <v>2</v>
      </c>
      <c r="B9" s="4" t="s">
        <v>114</v>
      </c>
      <c r="C9" s="655" t="s">
        <v>501</v>
      </c>
      <c r="D9" s="655"/>
    </row>
    <row r="10" spans="1:4" x14ac:dyDescent="0.2">
      <c r="A10" s="257" t="s">
        <v>4</v>
      </c>
      <c r="B10" s="4" t="s">
        <v>6</v>
      </c>
      <c r="C10" s="654">
        <v>40909</v>
      </c>
      <c r="D10" s="651"/>
    </row>
    <row r="11" spans="1:4" x14ac:dyDescent="0.2">
      <c r="A11" s="257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25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257">
        <v>1</v>
      </c>
      <c r="B22" s="4" t="s">
        <v>131</v>
      </c>
      <c r="C22" s="650" t="s">
        <v>145</v>
      </c>
      <c r="D22" s="651"/>
    </row>
    <row r="23" spans="1:5" x14ac:dyDescent="0.2">
      <c r="A23" s="14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14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14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415"/>
    </row>
    <row r="32" spans="1:5" x14ac:dyDescent="0.2">
      <c r="A32" s="14" t="s">
        <v>3</v>
      </c>
      <c r="B32" s="368" t="s">
        <v>25</v>
      </c>
      <c r="C32" s="382"/>
      <c r="D32" s="378"/>
      <c r="E32" s="416"/>
    </row>
    <row r="33" spans="1:5" x14ac:dyDescent="0.2">
      <c r="A33" s="14" t="s">
        <v>18</v>
      </c>
      <c r="B33" s="368" t="s">
        <v>26</v>
      </c>
      <c r="C33" s="382"/>
      <c r="D33" s="378"/>
      <c r="E33" s="416"/>
    </row>
    <row r="34" spans="1:5" x14ac:dyDescent="0.2">
      <c r="A34" s="14" t="s">
        <v>19</v>
      </c>
      <c r="B34" s="368" t="s">
        <v>27</v>
      </c>
      <c r="C34" s="377"/>
      <c r="D34" s="378"/>
      <c r="E34" s="415"/>
    </row>
    <row r="35" spans="1:5" x14ac:dyDescent="0.2">
      <c r="A35" s="14" t="s">
        <v>20</v>
      </c>
      <c r="B35" s="368" t="s">
        <v>28</v>
      </c>
      <c r="C35" s="382"/>
      <c r="D35" s="378"/>
      <c r="E35" s="416"/>
    </row>
    <row r="36" spans="1:5" x14ac:dyDescent="0.2">
      <c r="A36" s="14" t="s">
        <v>21</v>
      </c>
      <c r="B36" s="368" t="s">
        <v>119</v>
      </c>
      <c r="C36" s="377"/>
      <c r="D36" s="378"/>
      <c r="E36" s="417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417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417"/>
    </row>
    <row r="41" spans="1:5" x14ac:dyDescent="0.2">
      <c r="A41" s="674" t="s">
        <v>99</v>
      </c>
      <c r="B41" s="675"/>
      <c r="C41" s="675"/>
      <c r="D41" s="676"/>
      <c r="E41" s="417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417"/>
    </row>
    <row r="43" spans="1:5" ht="13.5" customHeight="1" x14ac:dyDescent="0.2">
      <c r="A43" s="14" t="s">
        <v>1</v>
      </c>
      <c r="B43" s="393" t="s">
        <v>133</v>
      </c>
      <c r="C43" s="378">
        <v>3.1</v>
      </c>
      <c r="D43" s="378">
        <f>ROUND((C43*44)-(D29*6%),2)</f>
        <v>79.400000000000006</v>
      </c>
      <c r="E43" s="418"/>
    </row>
    <row r="44" spans="1:5" ht="13.5" customHeight="1" x14ac:dyDescent="0.2">
      <c r="A44" s="14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419" t="s">
        <v>374</v>
      </c>
      <c r="C45" s="378"/>
      <c r="D45" s="440">
        <f>'REPACTUAÇÃO 2014'!F19</f>
        <v>45</v>
      </c>
      <c r="E45" s="396"/>
    </row>
    <row r="46" spans="1:5" ht="13.5" customHeight="1" x14ac:dyDescent="0.2">
      <c r="A46" s="14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419" t="s">
        <v>375</v>
      </c>
      <c r="C47" s="378"/>
      <c r="D47" s="378">
        <f>'REPACTUAÇÃO 2014'!F23</f>
        <v>14.5</v>
      </c>
      <c r="E47" s="369"/>
    </row>
    <row r="48" spans="1:5" ht="13.5" customHeight="1" x14ac:dyDescent="0.2">
      <c r="A48" s="14" t="s">
        <v>19</v>
      </c>
      <c r="B48" s="419" t="s">
        <v>33</v>
      </c>
      <c r="C48" s="378"/>
      <c r="D48" s="378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377.4</v>
      </c>
      <c r="E49" s="417"/>
    </row>
    <row r="50" spans="1:5" ht="13.5" customHeight="1" x14ac:dyDescent="0.2">
      <c r="A50" s="398"/>
      <c r="B50" s="389"/>
      <c r="C50" s="390"/>
      <c r="D50" s="391"/>
      <c r="E50" s="417"/>
    </row>
    <row r="51" spans="1:5" ht="13.5" customHeight="1" x14ac:dyDescent="0.2">
      <c r="A51" s="674" t="s">
        <v>100</v>
      </c>
      <c r="B51" s="675"/>
      <c r="C51" s="675"/>
      <c r="D51" s="676"/>
      <c r="E51" s="417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417"/>
    </row>
    <row r="53" spans="1:5" x14ac:dyDescent="0.2">
      <c r="A53" s="14" t="s">
        <v>1</v>
      </c>
      <c r="B53" s="368" t="s">
        <v>36</v>
      </c>
      <c r="C53" s="399">
        <v>31.1</v>
      </c>
      <c r="D53" s="378">
        <f>ROUND(C53*$C$29,2)</f>
        <v>31.1</v>
      </c>
      <c r="E53" s="417"/>
    </row>
    <row r="54" spans="1:5" x14ac:dyDescent="0.2">
      <c r="A54" s="14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14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417"/>
    </row>
    <row r="56" spans="1:5" x14ac:dyDescent="0.2">
      <c r="A56" s="14" t="s">
        <v>3</v>
      </c>
      <c r="B56" s="420" t="s">
        <v>251</v>
      </c>
      <c r="C56" s="378">
        <v>2.8</v>
      </c>
      <c r="D56" s="378">
        <f>C56</f>
        <v>2.8</v>
      </c>
      <c r="E56" s="421"/>
    </row>
    <row r="57" spans="1:5" x14ac:dyDescent="0.2">
      <c r="A57" s="672" t="s">
        <v>39</v>
      </c>
      <c r="B57" s="673"/>
      <c r="C57" s="397"/>
      <c r="D57" s="388">
        <f>ROUND(SUM(D53:D56),2)</f>
        <v>409.72</v>
      </c>
      <c r="E57" s="421"/>
    </row>
    <row r="58" spans="1:5" x14ac:dyDescent="0.2">
      <c r="A58" s="389"/>
      <c r="B58" s="389"/>
      <c r="C58" s="390"/>
      <c r="D58" s="391"/>
      <c r="E58" s="417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256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256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256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256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256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256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256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256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E71" s="33" t="s">
        <v>125</v>
      </c>
      <c r="F71" s="38">
        <v>1.5</v>
      </c>
    </row>
    <row r="72" spans="1:6" x14ac:dyDescent="0.2">
      <c r="A72" s="256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256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256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35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256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256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256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257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257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257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5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35"/>
    </row>
    <row r="88" spans="1:5" x14ac:dyDescent="0.2">
      <c r="A88" s="257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35"/>
    </row>
    <row r="89" spans="1:5" x14ac:dyDescent="0.2">
      <c r="A89" s="257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257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257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257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257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257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8" x14ac:dyDescent="0.2">
      <c r="A98" s="661" t="s">
        <v>62</v>
      </c>
      <c r="B98" s="661"/>
      <c r="C98" s="661"/>
      <c r="D98" s="661"/>
    </row>
    <row r="99" spans="1:8" x14ac:dyDescent="0.2">
      <c r="A99" s="253">
        <v>4</v>
      </c>
      <c r="B99" s="665" t="s">
        <v>68</v>
      </c>
      <c r="C99" s="665"/>
      <c r="D99" s="12" t="s">
        <v>98</v>
      </c>
    </row>
    <row r="100" spans="1:8" x14ac:dyDescent="0.2">
      <c r="A100" s="257" t="s">
        <v>63</v>
      </c>
      <c r="B100" s="258" t="s">
        <v>69</v>
      </c>
      <c r="C100" s="26">
        <f>C76</f>
        <v>0.152</v>
      </c>
      <c r="D100" s="13">
        <f>ROUND($D$39*C100,2)</f>
        <v>160.04</v>
      </c>
      <c r="E100" s="35"/>
    </row>
    <row r="101" spans="1:8" x14ac:dyDescent="0.2">
      <c r="A101" s="257" t="s">
        <v>64</v>
      </c>
      <c r="B101" s="258" t="s">
        <v>126</v>
      </c>
      <c r="C101" s="26">
        <f>C69</f>
        <v>0.36799999999999999</v>
      </c>
      <c r="D101" s="13">
        <f>ROUND($D$39*C101,2)</f>
        <v>387.47</v>
      </c>
    </row>
    <row r="102" spans="1:8" x14ac:dyDescent="0.2">
      <c r="A102" s="256" t="s">
        <v>65</v>
      </c>
      <c r="B102" s="258" t="s">
        <v>70</v>
      </c>
      <c r="C102" s="26">
        <f>C85</f>
        <v>8.0500000000000002E-2</v>
      </c>
      <c r="D102" s="13">
        <f>ROUND($D$39*C102,2)</f>
        <v>84.76</v>
      </c>
    </row>
    <row r="103" spans="1:8" x14ac:dyDescent="0.2">
      <c r="A103" s="256" t="s">
        <v>66</v>
      </c>
      <c r="B103" s="258" t="s">
        <v>71</v>
      </c>
      <c r="C103" s="26">
        <f>C96</f>
        <v>0.1278</v>
      </c>
      <c r="D103" s="13">
        <f>ROUND($D$39*C103,2)</f>
        <v>134.56</v>
      </c>
    </row>
    <row r="104" spans="1:8" x14ac:dyDescent="0.2">
      <c r="A104" s="256" t="s">
        <v>67</v>
      </c>
      <c r="B104" s="258" t="s">
        <v>29</v>
      </c>
      <c r="C104" s="254"/>
      <c r="D104" s="13"/>
    </row>
    <row r="105" spans="1:8" x14ac:dyDescent="0.2">
      <c r="A105" s="257"/>
      <c r="B105" s="255" t="s">
        <v>46</v>
      </c>
      <c r="C105" s="27">
        <f>SUM(C100:C104)</f>
        <v>0.72829999999999995</v>
      </c>
      <c r="D105" s="22">
        <f>ROUND($D$39*C105,2)</f>
        <v>766.83</v>
      </c>
    </row>
    <row r="106" spans="1:8" x14ac:dyDescent="0.2">
      <c r="D106" s="28">
        <f>ROUND(D105+D57+D49+D39,2)</f>
        <v>2606.85</v>
      </c>
    </row>
    <row r="107" spans="1:8" x14ac:dyDescent="0.2">
      <c r="A107" s="253">
        <v>5</v>
      </c>
      <c r="B107" s="6" t="s">
        <v>72</v>
      </c>
      <c r="C107" s="9" t="s">
        <v>97</v>
      </c>
      <c r="D107" s="12" t="s">
        <v>98</v>
      </c>
      <c r="E107" s="35"/>
    </row>
    <row r="108" spans="1:8" x14ac:dyDescent="0.2">
      <c r="A108" s="257" t="s">
        <v>1</v>
      </c>
      <c r="B108" s="4" t="s">
        <v>73</v>
      </c>
      <c r="C108" s="10">
        <v>1.5599999999999999E-2</v>
      </c>
      <c r="D108" s="13">
        <f>ROUND($D$106*C108,2)</f>
        <v>40.67</v>
      </c>
    </row>
    <row r="109" spans="1:8" x14ac:dyDescent="0.2">
      <c r="A109" s="257" t="s">
        <v>2</v>
      </c>
      <c r="B109" s="4" t="s">
        <v>74</v>
      </c>
      <c r="C109" s="10"/>
      <c r="D109" s="13"/>
      <c r="E109" s="34"/>
    </row>
    <row r="110" spans="1:8" x14ac:dyDescent="0.2">
      <c r="A110" s="14" t="s">
        <v>105</v>
      </c>
      <c r="B110" s="4" t="s">
        <v>75</v>
      </c>
      <c r="C110" s="10">
        <v>0</v>
      </c>
      <c r="D110" s="13">
        <v>0</v>
      </c>
    </row>
    <row r="111" spans="1:8" x14ac:dyDescent="0.2">
      <c r="A111" s="14" t="s">
        <v>106</v>
      </c>
      <c r="B111" s="4" t="s">
        <v>76</v>
      </c>
      <c r="C111" s="10">
        <v>0</v>
      </c>
      <c r="D111" s="13">
        <v>0</v>
      </c>
    </row>
    <row r="112" spans="1:8" x14ac:dyDescent="0.2">
      <c r="A112" s="14" t="s">
        <v>107</v>
      </c>
      <c r="B112" s="4" t="s">
        <v>77</v>
      </c>
      <c r="C112" s="10">
        <v>1.6500000000000001E-2</v>
      </c>
      <c r="D112" s="13">
        <f>ROUND($F$115*C112,2)</f>
        <v>50.28</v>
      </c>
      <c r="E112" s="259"/>
      <c r="F112" s="260"/>
      <c r="G112" s="259"/>
      <c r="H112" s="259"/>
    </row>
    <row r="113" spans="1:8" x14ac:dyDescent="0.2">
      <c r="A113" s="14" t="s">
        <v>108</v>
      </c>
      <c r="B113" s="4" t="s">
        <v>78</v>
      </c>
      <c r="C113" s="10">
        <v>7.5999999999999998E-2</v>
      </c>
      <c r="D113" s="13">
        <f>ROUND($F$115*C113,2)</f>
        <v>231.59</v>
      </c>
      <c r="E113" s="259"/>
      <c r="F113" s="261">
        <f>SUM(C110:C114)</f>
        <v>0.1225</v>
      </c>
      <c r="G113" s="259"/>
      <c r="H113" s="259"/>
    </row>
    <row r="114" spans="1:8" x14ac:dyDescent="0.2">
      <c r="A114" s="14" t="s">
        <v>109</v>
      </c>
      <c r="B114" s="4" t="s">
        <v>79</v>
      </c>
      <c r="C114" s="131">
        <v>0.03</v>
      </c>
      <c r="D114" s="13">
        <f>ROUND($F$115*C114,2)</f>
        <v>91.42</v>
      </c>
      <c r="E114" s="259"/>
      <c r="F114" s="262">
        <f>ROUND(D115+D108+D106,2)</f>
        <v>2674</v>
      </c>
      <c r="G114" s="259"/>
      <c r="H114" s="259"/>
    </row>
    <row r="115" spans="1:8" x14ac:dyDescent="0.2">
      <c r="A115" s="257" t="s">
        <v>4</v>
      </c>
      <c r="B115" s="4" t="s">
        <v>80</v>
      </c>
      <c r="C115" s="10">
        <v>0.01</v>
      </c>
      <c r="D115" s="13">
        <f>ROUND(($D$106+D108)*C115,2)</f>
        <v>26.48</v>
      </c>
      <c r="E115" s="259"/>
      <c r="F115" s="263">
        <f>ROUND(F114/(1-F113),2)</f>
        <v>3047.29</v>
      </c>
      <c r="G115" s="259"/>
      <c r="H115" s="259"/>
    </row>
    <row r="116" spans="1:8" x14ac:dyDescent="0.2">
      <c r="A116" s="677" t="s">
        <v>46</v>
      </c>
      <c r="B116" s="682"/>
      <c r="C116" s="678"/>
      <c r="D116" s="22">
        <f>ROUND(SUM(D108:D115),2)</f>
        <v>440.44</v>
      </c>
      <c r="E116" s="259"/>
      <c r="F116" s="260"/>
      <c r="G116" s="259"/>
      <c r="H116" s="259"/>
    </row>
    <row r="117" spans="1:8" x14ac:dyDescent="0.2">
      <c r="D117" s="28"/>
      <c r="E117" s="259"/>
      <c r="F117" s="260"/>
      <c r="G117" s="259"/>
      <c r="H117" s="259"/>
    </row>
    <row r="118" spans="1:8" x14ac:dyDescent="0.2">
      <c r="A118" s="661" t="s">
        <v>81</v>
      </c>
      <c r="B118" s="661"/>
      <c r="C118" s="661"/>
      <c r="D118" s="661"/>
      <c r="E118" s="259"/>
      <c r="F118" s="260"/>
      <c r="G118" s="259"/>
      <c r="H118" s="259"/>
    </row>
    <row r="119" spans="1:8" x14ac:dyDescent="0.2">
      <c r="A119" s="655" t="s">
        <v>82</v>
      </c>
      <c r="B119" s="655"/>
      <c r="C119" s="655"/>
      <c r="D119" s="655"/>
      <c r="E119" s="259"/>
      <c r="F119" s="260"/>
      <c r="G119" s="259"/>
      <c r="H119" s="259"/>
    </row>
    <row r="120" spans="1:8" x14ac:dyDescent="0.2">
      <c r="A120" s="257" t="s">
        <v>1</v>
      </c>
      <c r="B120" s="658" t="s">
        <v>83</v>
      </c>
      <c r="C120" s="658"/>
      <c r="D120" s="13">
        <f>D39</f>
        <v>1052.9000000000001</v>
      </c>
    </row>
    <row r="121" spans="1:8" x14ac:dyDescent="0.2">
      <c r="A121" s="257" t="s">
        <v>2</v>
      </c>
      <c r="B121" s="658" t="s">
        <v>84</v>
      </c>
      <c r="C121" s="658"/>
      <c r="D121" s="13">
        <f>D49</f>
        <v>377.4</v>
      </c>
    </row>
    <row r="122" spans="1:8" x14ac:dyDescent="0.2">
      <c r="A122" s="257" t="s">
        <v>4</v>
      </c>
      <c r="B122" s="658" t="s">
        <v>85</v>
      </c>
      <c r="C122" s="658"/>
      <c r="D122" s="13">
        <f>D57</f>
        <v>409.72</v>
      </c>
    </row>
    <row r="123" spans="1:8" x14ac:dyDescent="0.2">
      <c r="A123" s="257" t="s">
        <v>3</v>
      </c>
      <c r="B123" s="658" t="s">
        <v>127</v>
      </c>
      <c r="C123" s="658"/>
      <c r="D123" s="13">
        <f>D105</f>
        <v>766.83</v>
      </c>
    </row>
    <row r="124" spans="1:8" x14ac:dyDescent="0.2">
      <c r="A124" s="655" t="s">
        <v>49</v>
      </c>
      <c r="B124" s="655"/>
      <c r="C124" s="655"/>
      <c r="D124" s="22">
        <f>ROUND(SUM(D120:D123),2)</f>
        <v>2606.85</v>
      </c>
    </row>
    <row r="125" spans="1:8" x14ac:dyDescent="0.2">
      <c r="A125" s="257" t="s">
        <v>18</v>
      </c>
      <c r="B125" s="683" t="s">
        <v>86</v>
      </c>
      <c r="C125" s="683"/>
      <c r="D125" s="13">
        <f>D116</f>
        <v>440.44</v>
      </c>
    </row>
    <row r="126" spans="1:8" x14ac:dyDescent="0.2">
      <c r="A126" s="655" t="s">
        <v>87</v>
      </c>
      <c r="B126" s="655"/>
      <c r="C126" s="655"/>
      <c r="D126" s="22">
        <f>ROUND(D125+D124,2)</f>
        <v>3047.29</v>
      </c>
    </row>
    <row r="128" spans="1:8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3047.29</v>
      </c>
      <c r="E130" s="36"/>
    </row>
    <row r="131" spans="1:5" x14ac:dyDescent="0.2">
      <c r="A131" s="658" t="s">
        <v>89</v>
      </c>
      <c r="B131" s="658"/>
      <c r="C131" s="658"/>
      <c r="D131" s="13">
        <v>1</v>
      </c>
      <c r="E131" s="36"/>
    </row>
    <row r="132" spans="1:5" x14ac:dyDescent="0.2">
      <c r="A132" s="658" t="s">
        <v>90</v>
      </c>
      <c r="B132" s="658"/>
      <c r="C132" s="658"/>
      <c r="D132" s="13">
        <f>ROUND(D131*D130,2)</f>
        <v>3047.29</v>
      </c>
      <c r="E132" s="36"/>
    </row>
    <row r="133" spans="1:5" x14ac:dyDescent="0.2">
      <c r="A133" s="658" t="s">
        <v>91</v>
      </c>
      <c r="B133" s="658"/>
      <c r="C133" s="658"/>
      <c r="D133" s="13">
        <v>2</v>
      </c>
      <c r="E133" s="36"/>
    </row>
    <row r="134" spans="1:5" x14ac:dyDescent="0.2">
      <c r="A134" s="665" t="s">
        <v>92</v>
      </c>
      <c r="B134" s="665"/>
      <c r="C134" s="665"/>
      <c r="D134" s="22">
        <f>ROUND(D133*D132,2)</f>
        <v>6094.58</v>
      </c>
      <c r="E134" s="36"/>
    </row>
    <row r="135" spans="1:5" x14ac:dyDescent="0.2">
      <c r="E135" s="36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257" t="s">
        <v>1</v>
      </c>
      <c r="B137" s="658" t="s">
        <v>93</v>
      </c>
      <c r="C137" s="658"/>
      <c r="D137" s="13">
        <f>D130</f>
        <v>3047.29</v>
      </c>
    </row>
    <row r="138" spans="1:5" x14ac:dyDescent="0.2">
      <c r="A138" s="257" t="s">
        <v>2</v>
      </c>
      <c r="B138" s="658" t="s">
        <v>94</v>
      </c>
      <c r="C138" s="658"/>
      <c r="D138" s="13">
        <f>D134</f>
        <v>6094.58</v>
      </c>
    </row>
    <row r="139" spans="1:5" x14ac:dyDescent="0.2">
      <c r="A139" s="253" t="s">
        <v>4</v>
      </c>
      <c r="B139" s="665" t="s">
        <v>95</v>
      </c>
      <c r="C139" s="665"/>
      <c r="D139" s="22">
        <f>ROUND(D138*12,2)</f>
        <v>73134.960000000006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  <rowBreaks count="1" manualBreakCount="1">
    <brk id="139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205" customWidth="1"/>
    <col min="4" max="4" width="22.85546875" style="206" customWidth="1"/>
    <col min="5" max="5" width="25.5703125" style="128" bestFit="1" customWidth="1"/>
    <col min="6" max="6" width="9.28515625" style="37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30" t="s">
        <v>143</v>
      </c>
    </row>
    <row r="5" spans="1:4" x14ac:dyDescent="0.2">
      <c r="A5" s="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3" t="s">
        <v>1</v>
      </c>
      <c r="B8" s="4" t="s">
        <v>5</v>
      </c>
      <c r="C8" s="734"/>
      <c r="D8" s="733"/>
    </row>
    <row r="9" spans="1:4" x14ac:dyDescent="0.2">
      <c r="A9" s="3" t="s">
        <v>2</v>
      </c>
      <c r="B9" s="4" t="s">
        <v>114</v>
      </c>
      <c r="C9" s="735" t="s">
        <v>115</v>
      </c>
      <c r="D9" s="735"/>
    </row>
    <row r="10" spans="1:4" x14ac:dyDescent="0.2">
      <c r="A10" s="3" t="s">
        <v>4</v>
      </c>
      <c r="B10" s="4" t="s">
        <v>6</v>
      </c>
      <c r="C10" s="734">
        <v>40909</v>
      </c>
      <c r="D10" s="733"/>
    </row>
    <row r="11" spans="1:4" x14ac:dyDescent="0.2">
      <c r="A11" s="3" t="s">
        <v>3</v>
      </c>
      <c r="B11" s="4" t="s">
        <v>7</v>
      </c>
      <c r="C11" s="732" t="s">
        <v>141</v>
      </c>
      <c r="D11" s="733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732" t="s">
        <v>434</v>
      </c>
      <c r="D14" s="733"/>
    </row>
    <row r="15" spans="1:4" x14ac:dyDescent="0.2">
      <c r="A15" s="658" t="s">
        <v>129</v>
      </c>
      <c r="B15" s="658"/>
      <c r="C15" s="732" t="s">
        <v>142</v>
      </c>
      <c r="D15" s="733"/>
    </row>
    <row r="16" spans="1:4" x14ac:dyDescent="0.2">
      <c r="A16" s="658" t="s">
        <v>10</v>
      </c>
      <c r="B16" s="658"/>
      <c r="C16" s="733">
        <v>1</v>
      </c>
      <c r="D16" s="733"/>
    </row>
    <row r="17" spans="1:5" x14ac:dyDescent="0.2">
      <c r="A17" s="659" t="s">
        <v>253</v>
      </c>
      <c r="B17" s="660"/>
      <c r="C17" s="733" t="s">
        <v>254</v>
      </c>
      <c r="D17" s="733"/>
    </row>
    <row r="18" spans="1:5" x14ac:dyDescent="0.2">
      <c r="A18" s="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3">
        <v>1</v>
      </c>
      <c r="B22" s="4" t="s">
        <v>131</v>
      </c>
      <c r="C22" s="732" t="s">
        <v>145</v>
      </c>
      <c r="D22" s="733"/>
    </row>
    <row r="23" spans="1:5" x14ac:dyDescent="0.2">
      <c r="A23" s="14">
        <v>2</v>
      </c>
      <c r="B23" s="368" t="s">
        <v>14</v>
      </c>
      <c r="C23" s="666">
        <f>'REPACTUAÇÃO 2014'!F3</f>
        <v>1491</v>
      </c>
      <c r="D23" s="666"/>
      <c r="E23" s="369"/>
    </row>
    <row r="24" spans="1:5" x14ac:dyDescent="0.2">
      <c r="A24" s="14">
        <v>3</v>
      </c>
      <c r="B24" s="368" t="s">
        <v>15</v>
      </c>
      <c r="C24" s="742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1491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D29*3.6316%</f>
        <v>54.15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1545.15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3.3</v>
      </c>
      <c r="D43" s="378">
        <f>ROUND((C43*44)-(D29*6%),2)</f>
        <v>55.74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353.74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60.5</v>
      </c>
      <c r="D53" s="378">
        <f>ROUND(C53*$C$29,2)</f>
        <v>60.5</v>
      </c>
      <c r="E53" s="369"/>
    </row>
    <row r="54" spans="1:5" x14ac:dyDescent="0.2">
      <c r="A54" s="14" t="s">
        <v>2</v>
      </c>
      <c r="B54" s="400" t="s">
        <v>37</v>
      </c>
      <c r="C54" s="399">
        <v>0</v>
      </c>
      <c r="D54" s="378">
        <f>ROUND(C54*$C$29,2)</f>
        <v>0</v>
      </c>
      <c r="E54" s="396"/>
    </row>
    <row r="55" spans="1:5" x14ac:dyDescent="0.2">
      <c r="A55" s="14" t="s">
        <v>4</v>
      </c>
      <c r="B55" s="368" t="s">
        <v>38</v>
      </c>
      <c r="C55" s="399">
        <v>0</v>
      </c>
      <c r="D55" s="378">
        <f>ROUND(C55*$C$29,2)</f>
        <v>0</v>
      </c>
      <c r="E55" s="369"/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63.3</v>
      </c>
      <c r="E57" s="396"/>
    </row>
    <row r="58" spans="1:5" x14ac:dyDescent="0.2">
      <c r="A58" s="389"/>
      <c r="B58" s="389"/>
      <c r="C58" s="390"/>
      <c r="D58" s="391"/>
      <c r="E58" s="369"/>
    </row>
    <row r="59" spans="1:5" x14ac:dyDescent="0.2">
      <c r="A59" s="674" t="s">
        <v>101</v>
      </c>
      <c r="B59" s="675"/>
      <c r="C59" s="675"/>
      <c r="D59" s="676"/>
      <c r="E59" s="369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  <c r="E60" s="369"/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309.02999999999997</v>
      </c>
      <c r="E61" s="369"/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23.18</v>
      </c>
      <c r="E62" s="369"/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15.45</v>
      </c>
      <c r="E63" s="369"/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3.09</v>
      </c>
      <c r="E64" s="369"/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38.630000000000003</v>
      </c>
      <c r="E65" s="369"/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123.61</v>
      </c>
      <c r="E66" s="369"/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46.35</v>
      </c>
      <c r="E67" s="369"/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9.27</v>
      </c>
      <c r="E68" s="369"/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568.61</v>
      </c>
      <c r="E69" s="369"/>
    </row>
    <row r="70" spans="1:6" x14ac:dyDescent="0.2">
      <c r="A70" s="403"/>
      <c r="B70" s="403"/>
      <c r="C70" s="390"/>
      <c r="D70" s="391"/>
      <c r="E70" s="369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/>
      <c r="F71" s="38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128.71</v>
      </c>
      <c r="E72" s="369"/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42.96</v>
      </c>
      <c r="E73" s="369"/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171.67</v>
      </c>
      <c r="E74" s="369"/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63.2</v>
      </c>
      <c r="E75" s="369"/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234.87</v>
      </c>
      <c r="E76" s="369"/>
    </row>
    <row r="77" spans="1:6" x14ac:dyDescent="0.2">
      <c r="A77" s="403"/>
      <c r="B77" s="403"/>
      <c r="C77" s="390"/>
      <c r="D77" s="391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  <c r="E78" s="369"/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2.63</v>
      </c>
      <c r="E79" s="369"/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0.15</v>
      </c>
      <c r="E80" s="369"/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12.36</v>
      </c>
      <c r="E81" s="369"/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29.98</v>
      </c>
      <c r="E82" s="369"/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10.97</v>
      </c>
      <c r="E83" s="369"/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68.3</v>
      </c>
      <c r="E84" s="369"/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124.39</v>
      </c>
      <c r="E85" s="369"/>
    </row>
    <row r="86" spans="1:5" x14ac:dyDescent="0.2">
      <c r="A86" s="389"/>
      <c r="B86" s="389"/>
      <c r="C86" s="390"/>
      <c r="D86" s="391"/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128.71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8.65</v>
      </c>
      <c r="E89" s="369"/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1.08</v>
      </c>
      <c r="E90" s="369"/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4.33</v>
      </c>
      <c r="E91" s="369"/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1.24</v>
      </c>
      <c r="E92" s="369"/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0.31</v>
      </c>
      <c r="E93" s="369"/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144.32</v>
      </c>
      <c r="E94" s="369"/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53.15</v>
      </c>
      <c r="E95" s="369"/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197.47</v>
      </c>
      <c r="E96" s="369"/>
    </row>
    <row r="97" spans="1:5" x14ac:dyDescent="0.2">
      <c r="A97" s="389"/>
      <c r="B97" s="389"/>
      <c r="C97" s="390"/>
      <c r="D97" s="391"/>
      <c r="E97" s="369"/>
    </row>
    <row r="98" spans="1:5" x14ac:dyDescent="0.2">
      <c r="A98" s="671" t="s">
        <v>62</v>
      </c>
      <c r="B98" s="671"/>
      <c r="C98" s="671"/>
      <c r="D98" s="671"/>
      <c r="E98" s="369"/>
    </row>
    <row r="99" spans="1:5" x14ac:dyDescent="0.2">
      <c r="A99" s="373">
        <v>4</v>
      </c>
      <c r="B99" s="722" t="s">
        <v>68</v>
      </c>
      <c r="C99" s="722"/>
      <c r="D99" s="376" t="s">
        <v>98</v>
      </c>
      <c r="E99" s="369"/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234.86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568.62</v>
      </c>
      <c r="E101" s="369"/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124.38</v>
      </c>
      <c r="E102" s="369"/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197.47</v>
      </c>
      <c r="E103" s="369"/>
    </row>
    <row r="104" spans="1:5" x14ac:dyDescent="0.2">
      <c r="A104" s="401" t="s">
        <v>67</v>
      </c>
      <c r="B104" s="406" t="s">
        <v>29</v>
      </c>
      <c r="C104" s="408"/>
      <c r="D104" s="378"/>
      <c r="E104" s="369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1125.33</v>
      </c>
      <c r="E105" s="369"/>
    </row>
    <row r="106" spans="1:5" x14ac:dyDescent="0.2">
      <c r="A106" s="389"/>
      <c r="B106" s="389"/>
      <c r="C106" s="390"/>
      <c r="D106" s="411">
        <f>ROUND(D105+D57+D49+D39,2)</f>
        <v>3087.52</v>
      </c>
      <c r="E106" s="369"/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48.17</v>
      </c>
      <c r="E108" s="369"/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  <c r="E110" s="369"/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  <c r="E111" s="369"/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59.21</v>
      </c>
      <c r="E112" s="369"/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272.74</v>
      </c>
      <c r="E113" s="369"/>
      <c r="F113" s="39">
        <f>SUM(C110:C114)</f>
        <v>0.11749999999999999</v>
      </c>
    </row>
    <row r="114" spans="1:6" x14ac:dyDescent="0.2">
      <c r="A114" s="14" t="s">
        <v>109</v>
      </c>
      <c r="B114" s="368" t="s">
        <v>79</v>
      </c>
      <c r="C114" s="412">
        <v>2.5000000000000001E-2</v>
      </c>
      <c r="D114" s="378">
        <f>ROUND($F$115*C114,2)</f>
        <v>89.72</v>
      </c>
      <c r="E114" s="369"/>
      <c r="F114" s="40">
        <f>ROUND(D115+D108+D106,2)</f>
        <v>3167.05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31.36</v>
      </c>
      <c r="E115" s="369"/>
      <c r="F115" s="41">
        <f>ROUND(F114/(1-F113),2)</f>
        <v>3588.73</v>
      </c>
    </row>
    <row r="116" spans="1:6" x14ac:dyDescent="0.2">
      <c r="A116" s="672" t="s">
        <v>46</v>
      </c>
      <c r="B116" s="723"/>
      <c r="C116" s="673"/>
      <c r="D116" s="388">
        <f>ROUND(SUM(D108:D115),2)</f>
        <v>501.2</v>
      </c>
      <c r="E116" s="369"/>
    </row>
    <row r="117" spans="1:6" x14ac:dyDescent="0.2">
      <c r="A117" s="389"/>
      <c r="B117" s="389"/>
      <c r="C117" s="390"/>
      <c r="D117" s="411"/>
      <c r="E117" s="369"/>
    </row>
    <row r="118" spans="1:6" x14ac:dyDescent="0.2">
      <c r="A118" s="671" t="s">
        <v>81</v>
      </c>
      <c r="B118" s="671"/>
      <c r="C118" s="671"/>
      <c r="D118" s="671"/>
      <c r="E118" s="369"/>
    </row>
    <row r="119" spans="1:6" x14ac:dyDescent="0.2">
      <c r="A119" s="725" t="s">
        <v>82</v>
      </c>
      <c r="B119" s="725"/>
      <c r="C119" s="725"/>
      <c r="D119" s="725"/>
      <c r="E119" s="369"/>
    </row>
    <row r="120" spans="1:6" x14ac:dyDescent="0.2">
      <c r="A120" s="14" t="s">
        <v>1</v>
      </c>
      <c r="B120" s="728" t="s">
        <v>83</v>
      </c>
      <c r="C120" s="728"/>
      <c r="D120" s="378">
        <f>D39</f>
        <v>1545.15</v>
      </c>
      <c r="E120" s="369"/>
    </row>
    <row r="121" spans="1:6" x14ac:dyDescent="0.2">
      <c r="A121" s="14" t="s">
        <v>2</v>
      </c>
      <c r="B121" s="728" t="s">
        <v>84</v>
      </c>
      <c r="C121" s="728"/>
      <c r="D121" s="378">
        <f>D49</f>
        <v>353.74</v>
      </c>
      <c r="E121" s="369"/>
    </row>
    <row r="122" spans="1:6" x14ac:dyDescent="0.2">
      <c r="A122" s="14" t="s">
        <v>4</v>
      </c>
      <c r="B122" s="728" t="s">
        <v>85</v>
      </c>
      <c r="C122" s="728"/>
      <c r="D122" s="378">
        <f>D57</f>
        <v>63.3</v>
      </c>
      <c r="E122" s="369"/>
    </row>
    <row r="123" spans="1:6" x14ac:dyDescent="0.2">
      <c r="A123" s="14" t="s">
        <v>3</v>
      </c>
      <c r="B123" s="728" t="s">
        <v>127</v>
      </c>
      <c r="C123" s="728"/>
      <c r="D123" s="378">
        <f>D105</f>
        <v>1125.33</v>
      </c>
      <c r="E123" s="369"/>
    </row>
    <row r="124" spans="1:6" x14ac:dyDescent="0.2">
      <c r="A124" s="725" t="s">
        <v>49</v>
      </c>
      <c r="B124" s="725"/>
      <c r="C124" s="725"/>
      <c r="D124" s="388">
        <f>ROUND(SUM(D120:D123),2)</f>
        <v>3087.52</v>
      </c>
      <c r="E124" s="369"/>
    </row>
    <row r="125" spans="1:6" x14ac:dyDescent="0.2">
      <c r="A125" s="14" t="s">
        <v>18</v>
      </c>
      <c r="B125" s="729" t="s">
        <v>86</v>
      </c>
      <c r="C125" s="729"/>
      <c r="D125" s="378">
        <f>D116</f>
        <v>501.2</v>
      </c>
      <c r="E125" s="369"/>
    </row>
    <row r="126" spans="1:6" x14ac:dyDescent="0.2">
      <c r="A126" s="725" t="s">
        <v>87</v>
      </c>
      <c r="B126" s="725"/>
      <c r="C126" s="725"/>
      <c r="D126" s="388">
        <f>ROUND(D125+D124,2)</f>
        <v>3588.72</v>
      </c>
      <c r="E126" s="369"/>
    </row>
    <row r="127" spans="1:6" x14ac:dyDescent="0.2">
      <c r="A127" s="389"/>
      <c r="B127" s="389"/>
      <c r="C127" s="390"/>
      <c r="D127" s="391"/>
      <c r="E127" s="369"/>
    </row>
    <row r="128" spans="1:6" x14ac:dyDescent="0.2">
      <c r="A128" s="725" t="s">
        <v>110</v>
      </c>
      <c r="B128" s="725"/>
      <c r="C128" s="725"/>
      <c r="D128" s="725"/>
      <c r="E128" s="369"/>
    </row>
    <row r="129" spans="1:5" x14ac:dyDescent="0.2">
      <c r="A129" s="728" t="s">
        <v>13</v>
      </c>
      <c r="B129" s="728"/>
      <c r="C129" s="728"/>
      <c r="D129" s="378"/>
      <c r="E129" s="369"/>
    </row>
    <row r="130" spans="1:5" x14ac:dyDescent="0.2">
      <c r="A130" s="728" t="s">
        <v>88</v>
      </c>
      <c r="B130" s="728"/>
      <c r="C130" s="728"/>
      <c r="D130" s="378">
        <f>D126</f>
        <v>3588.72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3588.72</v>
      </c>
      <c r="E132" s="414"/>
    </row>
    <row r="133" spans="1:5" x14ac:dyDescent="0.2">
      <c r="A133" s="728" t="s">
        <v>91</v>
      </c>
      <c r="B133" s="728"/>
      <c r="C133" s="728"/>
      <c r="D133" s="378">
        <f>C16</f>
        <v>1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3588.72</v>
      </c>
      <c r="E134" s="414"/>
    </row>
    <row r="135" spans="1:5" x14ac:dyDescent="0.2">
      <c r="A135" s="389"/>
      <c r="B135" s="389"/>
      <c r="C135" s="390"/>
      <c r="D135" s="391"/>
      <c r="E135" s="414"/>
    </row>
    <row r="136" spans="1:5" x14ac:dyDescent="0.2">
      <c r="A136" s="725" t="s">
        <v>111</v>
      </c>
      <c r="B136" s="725"/>
      <c r="C136" s="725"/>
      <c r="D136" s="725"/>
      <c r="E136" s="369"/>
    </row>
    <row r="137" spans="1:5" x14ac:dyDescent="0.2">
      <c r="A137" s="14" t="s">
        <v>1</v>
      </c>
      <c r="B137" s="728" t="s">
        <v>93</v>
      </c>
      <c r="C137" s="728"/>
      <c r="D137" s="378">
        <f>D130</f>
        <v>3588.72</v>
      </c>
      <c r="E137" s="369"/>
    </row>
    <row r="138" spans="1:5" x14ac:dyDescent="0.2">
      <c r="A138" s="14" t="s">
        <v>2</v>
      </c>
      <c r="B138" s="728" t="s">
        <v>94</v>
      </c>
      <c r="C138" s="728"/>
      <c r="D138" s="378">
        <f>D134</f>
        <v>3588.72</v>
      </c>
      <c r="E138" s="369"/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43064.639999999999</v>
      </c>
      <c r="E139" s="369"/>
    </row>
    <row r="140" spans="1:5" x14ac:dyDescent="0.2">
      <c r="A140" s="1"/>
    </row>
    <row r="141" spans="1:5" x14ac:dyDescent="0.2">
      <c r="A141" s="1"/>
    </row>
    <row r="142" spans="1:5" x14ac:dyDescent="0.2">
      <c r="A142" s="731" t="s">
        <v>382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3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205" customWidth="1"/>
    <col min="4" max="4" width="22.85546875" style="206" customWidth="1"/>
    <col min="5" max="5" width="25.5703125" style="128" bestFit="1" customWidth="1"/>
    <col min="6" max="6" width="9.28515625" style="37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30" t="s">
        <v>143</v>
      </c>
    </row>
    <row r="5" spans="1:4" x14ac:dyDescent="0.2">
      <c r="A5" s="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3" t="s">
        <v>1</v>
      </c>
      <c r="B8" s="4" t="s">
        <v>5</v>
      </c>
      <c r="C8" s="734"/>
      <c r="D8" s="733"/>
    </row>
    <row r="9" spans="1:4" x14ac:dyDescent="0.2">
      <c r="A9" s="3" t="s">
        <v>2</v>
      </c>
      <c r="B9" s="4" t="s">
        <v>114</v>
      </c>
      <c r="C9" s="735" t="s">
        <v>135</v>
      </c>
      <c r="D9" s="735"/>
    </row>
    <row r="10" spans="1:4" x14ac:dyDescent="0.2">
      <c r="A10" s="3" t="s">
        <v>4</v>
      </c>
      <c r="B10" s="4" t="s">
        <v>6</v>
      </c>
      <c r="C10" s="734">
        <v>40909</v>
      </c>
      <c r="D10" s="733"/>
    </row>
    <row r="11" spans="1:4" x14ac:dyDescent="0.2">
      <c r="A11" s="3" t="s">
        <v>3</v>
      </c>
      <c r="B11" s="4" t="s">
        <v>7</v>
      </c>
      <c r="C11" s="732" t="s">
        <v>141</v>
      </c>
      <c r="D11" s="733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732" t="s">
        <v>434</v>
      </c>
      <c r="D14" s="733"/>
    </row>
    <row r="15" spans="1:4" x14ac:dyDescent="0.2">
      <c r="A15" s="658" t="s">
        <v>129</v>
      </c>
      <c r="B15" s="658"/>
      <c r="C15" s="732" t="s">
        <v>142</v>
      </c>
      <c r="D15" s="733"/>
    </row>
    <row r="16" spans="1:4" x14ac:dyDescent="0.2">
      <c r="A16" s="658" t="s">
        <v>10</v>
      </c>
      <c r="B16" s="658"/>
      <c r="C16" s="733">
        <v>1</v>
      </c>
      <c r="D16" s="733"/>
    </row>
    <row r="17" spans="1:5" x14ac:dyDescent="0.2">
      <c r="A17" s="659" t="s">
        <v>253</v>
      </c>
      <c r="B17" s="660"/>
      <c r="C17" s="733" t="s">
        <v>254</v>
      </c>
      <c r="D17" s="733"/>
    </row>
    <row r="18" spans="1:5" x14ac:dyDescent="0.2">
      <c r="A18" s="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3">
        <v>1</v>
      </c>
      <c r="B22" s="4" t="s">
        <v>131</v>
      </c>
      <c r="C22" s="732" t="s">
        <v>145</v>
      </c>
      <c r="D22" s="733"/>
    </row>
    <row r="23" spans="1:5" x14ac:dyDescent="0.2">
      <c r="A23" s="14">
        <v>2</v>
      </c>
      <c r="B23" s="368" t="s">
        <v>14</v>
      </c>
      <c r="C23" s="666">
        <f>'REPACTUAÇÃO 2014'!F4</f>
        <v>1270</v>
      </c>
      <c r="D23" s="666"/>
      <c r="E23" s="369"/>
    </row>
    <row r="24" spans="1:5" x14ac:dyDescent="0.2">
      <c r="A24" s="14">
        <v>3</v>
      </c>
      <c r="B24" s="368" t="s">
        <v>15</v>
      </c>
      <c r="C24" s="742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1270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D29*3.6316%</f>
        <v>46.12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1316.12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2.9</v>
      </c>
      <c r="D43" s="378">
        <f>ROUND((C43*44)-(D29*6%),2)</f>
        <v>51.4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349.4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63.5</v>
      </c>
      <c r="D53" s="378">
        <f>ROUND(C53*$C$29,2)</f>
        <v>63.5</v>
      </c>
      <c r="E53" s="369"/>
    </row>
    <row r="54" spans="1:5" x14ac:dyDescent="0.2">
      <c r="A54" s="14" t="s">
        <v>2</v>
      </c>
      <c r="B54" s="400" t="s">
        <v>37</v>
      </c>
      <c r="C54" s="399">
        <v>0</v>
      </c>
      <c r="D54" s="378">
        <f>ROUND(C54*$C$29,2)</f>
        <v>0</v>
      </c>
      <c r="E54" s="396"/>
    </row>
    <row r="55" spans="1:5" x14ac:dyDescent="0.2">
      <c r="A55" s="14" t="s">
        <v>4</v>
      </c>
      <c r="B55" s="368" t="s">
        <v>38</v>
      </c>
      <c r="C55" s="399">
        <v>0</v>
      </c>
      <c r="D55" s="378">
        <f>ROUND(C55*$C$29,2)</f>
        <v>0</v>
      </c>
      <c r="E55" s="369"/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66.3</v>
      </c>
      <c r="E57" s="396"/>
    </row>
    <row r="58" spans="1:5" x14ac:dyDescent="0.2">
      <c r="A58" s="389"/>
      <c r="B58" s="389"/>
      <c r="C58" s="390"/>
      <c r="D58" s="391"/>
      <c r="E58" s="369"/>
    </row>
    <row r="59" spans="1:5" x14ac:dyDescent="0.2">
      <c r="A59" s="674" t="s">
        <v>101</v>
      </c>
      <c r="B59" s="675"/>
      <c r="C59" s="675"/>
      <c r="D59" s="676"/>
      <c r="E59" s="369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  <c r="E60" s="369"/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263.22000000000003</v>
      </c>
      <c r="E61" s="369"/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19.739999999999998</v>
      </c>
      <c r="E62" s="369"/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13.16</v>
      </c>
      <c r="E63" s="369"/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2.63</v>
      </c>
      <c r="E64" s="369"/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32.9</v>
      </c>
      <c r="E65" s="369"/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105.29</v>
      </c>
      <c r="E66" s="369"/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39.479999999999997</v>
      </c>
      <c r="E67" s="369"/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7.9</v>
      </c>
      <c r="E68" s="369"/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484.32</v>
      </c>
      <c r="E69" s="369"/>
    </row>
    <row r="70" spans="1:6" x14ac:dyDescent="0.2">
      <c r="A70" s="403"/>
      <c r="B70" s="403"/>
      <c r="C70" s="390"/>
      <c r="D70" s="391"/>
      <c r="E70" s="369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 t="s">
        <v>125</v>
      </c>
      <c r="F71" s="38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109.63</v>
      </c>
      <c r="E72" s="369"/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36.590000000000003</v>
      </c>
      <c r="E73" s="369"/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146.22</v>
      </c>
      <c r="E74" s="369"/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53.83</v>
      </c>
      <c r="E75" s="369"/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200.05</v>
      </c>
      <c r="E76" s="369"/>
    </row>
    <row r="77" spans="1:6" x14ac:dyDescent="0.2">
      <c r="A77" s="403"/>
      <c r="B77" s="403"/>
      <c r="C77" s="390"/>
      <c r="D77" s="391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  <c r="E78" s="369"/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2.2400000000000002</v>
      </c>
      <c r="E79" s="369"/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0.13</v>
      </c>
      <c r="E80" s="369"/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10.53</v>
      </c>
      <c r="E81" s="369"/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25.53</v>
      </c>
      <c r="E82" s="369"/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9.34</v>
      </c>
      <c r="E83" s="369"/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58.17</v>
      </c>
      <c r="E84" s="369"/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105.94</v>
      </c>
      <c r="E85" s="369"/>
    </row>
    <row r="86" spans="1:5" x14ac:dyDescent="0.2">
      <c r="A86" s="389"/>
      <c r="B86" s="389"/>
      <c r="C86" s="390"/>
      <c r="D86" s="391"/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109.63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7.37</v>
      </c>
      <c r="E89" s="369"/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0.92</v>
      </c>
      <c r="E90" s="369"/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3.69</v>
      </c>
      <c r="E91" s="369"/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1.05</v>
      </c>
      <c r="E92" s="369"/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0.26</v>
      </c>
      <c r="E93" s="369"/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122.93</v>
      </c>
      <c r="E94" s="369"/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45.27</v>
      </c>
      <c r="E95" s="369"/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168.2</v>
      </c>
      <c r="E96" s="369"/>
    </row>
    <row r="97" spans="1:5" x14ac:dyDescent="0.2">
      <c r="A97" s="389"/>
      <c r="B97" s="389"/>
      <c r="C97" s="390"/>
      <c r="D97" s="391"/>
      <c r="E97" s="369"/>
    </row>
    <row r="98" spans="1:5" x14ac:dyDescent="0.2">
      <c r="A98" s="671" t="s">
        <v>62</v>
      </c>
      <c r="B98" s="671"/>
      <c r="C98" s="671"/>
      <c r="D98" s="671"/>
      <c r="E98" s="369"/>
    </row>
    <row r="99" spans="1:5" x14ac:dyDescent="0.2">
      <c r="A99" s="373">
        <v>4</v>
      </c>
      <c r="B99" s="722" t="s">
        <v>68</v>
      </c>
      <c r="C99" s="722"/>
      <c r="D99" s="376" t="s">
        <v>98</v>
      </c>
      <c r="E99" s="369"/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200.05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484.33</v>
      </c>
      <c r="E101" s="369"/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105.95</v>
      </c>
      <c r="E102" s="369"/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168.2</v>
      </c>
      <c r="E103" s="369"/>
    </row>
    <row r="104" spans="1:5" x14ac:dyDescent="0.2">
      <c r="A104" s="401" t="s">
        <v>67</v>
      </c>
      <c r="B104" s="406" t="s">
        <v>29</v>
      </c>
      <c r="C104" s="408"/>
      <c r="D104" s="378"/>
      <c r="E104" s="369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958.53</v>
      </c>
      <c r="E105" s="369"/>
    </row>
    <row r="106" spans="1:5" x14ac:dyDescent="0.2">
      <c r="A106" s="389"/>
      <c r="B106" s="389"/>
      <c r="C106" s="390"/>
      <c r="D106" s="411">
        <f>ROUND(D105+D57+D49+D39,2)</f>
        <v>2690.35</v>
      </c>
      <c r="E106" s="369"/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41.97</v>
      </c>
      <c r="E108" s="369"/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  <c r="E110" s="369"/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  <c r="E111" s="369"/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51.89</v>
      </c>
      <c r="E112" s="369"/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239.01</v>
      </c>
      <c r="E113" s="369"/>
      <c r="F113" s="39">
        <f>SUM(C110:C114)</f>
        <v>0.1225</v>
      </c>
    </row>
    <row r="114" spans="1:6" x14ac:dyDescent="0.2">
      <c r="A114" s="14" t="s">
        <v>109</v>
      </c>
      <c r="B114" s="368" t="s">
        <v>79</v>
      </c>
      <c r="C114" s="412">
        <v>0.03</v>
      </c>
      <c r="D114" s="378">
        <f>ROUND($F$115*C114,2)</f>
        <v>94.35</v>
      </c>
      <c r="E114" s="369"/>
      <c r="F114" s="40">
        <f>ROUND(D115+D108+D106,2)</f>
        <v>2759.64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27.32</v>
      </c>
      <c r="E115" s="369"/>
      <c r="F115" s="41">
        <f>ROUND(F114/(1-F113),2)</f>
        <v>3144.89</v>
      </c>
    </row>
    <row r="116" spans="1:6" x14ac:dyDescent="0.2">
      <c r="A116" s="672" t="s">
        <v>46</v>
      </c>
      <c r="B116" s="723"/>
      <c r="C116" s="673"/>
      <c r="D116" s="388">
        <f>ROUND(SUM(D108:D115),2)</f>
        <v>454.54</v>
      </c>
      <c r="E116" s="369"/>
    </row>
    <row r="117" spans="1:6" x14ac:dyDescent="0.2">
      <c r="A117" s="389"/>
      <c r="B117" s="389"/>
      <c r="C117" s="390"/>
      <c r="D117" s="411"/>
      <c r="E117" s="369"/>
    </row>
    <row r="118" spans="1:6" x14ac:dyDescent="0.2">
      <c r="A118" s="671" t="s">
        <v>81</v>
      </c>
      <c r="B118" s="671"/>
      <c r="C118" s="671"/>
      <c r="D118" s="671"/>
      <c r="E118" s="369"/>
    </row>
    <row r="119" spans="1:6" x14ac:dyDescent="0.2">
      <c r="A119" s="725" t="s">
        <v>82</v>
      </c>
      <c r="B119" s="725"/>
      <c r="C119" s="725"/>
      <c r="D119" s="725"/>
      <c r="E119" s="369"/>
    </row>
    <row r="120" spans="1:6" x14ac:dyDescent="0.2">
      <c r="A120" s="14" t="s">
        <v>1</v>
      </c>
      <c r="B120" s="728" t="s">
        <v>83</v>
      </c>
      <c r="C120" s="728"/>
      <c r="D120" s="378">
        <f>D39</f>
        <v>1316.12</v>
      </c>
      <c r="E120" s="369"/>
    </row>
    <row r="121" spans="1:6" x14ac:dyDescent="0.2">
      <c r="A121" s="14" t="s">
        <v>2</v>
      </c>
      <c r="B121" s="728" t="s">
        <v>84</v>
      </c>
      <c r="C121" s="728"/>
      <c r="D121" s="378">
        <f>D49</f>
        <v>349.4</v>
      </c>
      <c r="E121" s="369"/>
    </row>
    <row r="122" spans="1:6" x14ac:dyDescent="0.2">
      <c r="A122" s="14" t="s">
        <v>4</v>
      </c>
      <c r="B122" s="728" t="s">
        <v>85</v>
      </c>
      <c r="C122" s="728"/>
      <c r="D122" s="378">
        <f>D57</f>
        <v>66.3</v>
      </c>
      <c r="E122" s="369"/>
    </row>
    <row r="123" spans="1:6" x14ac:dyDescent="0.2">
      <c r="A123" s="14" t="s">
        <v>3</v>
      </c>
      <c r="B123" s="728" t="s">
        <v>127</v>
      </c>
      <c r="C123" s="728"/>
      <c r="D123" s="378">
        <f>D105</f>
        <v>958.53</v>
      </c>
      <c r="E123" s="369"/>
    </row>
    <row r="124" spans="1:6" x14ac:dyDescent="0.2">
      <c r="A124" s="725" t="s">
        <v>49</v>
      </c>
      <c r="B124" s="725"/>
      <c r="C124" s="725"/>
      <c r="D124" s="388">
        <f>ROUND(SUM(D120:D123),2)</f>
        <v>2690.35</v>
      </c>
      <c r="E124" s="369"/>
    </row>
    <row r="125" spans="1:6" x14ac:dyDescent="0.2">
      <c r="A125" s="14" t="s">
        <v>18</v>
      </c>
      <c r="B125" s="729" t="s">
        <v>86</v>
      </c>
      <c r="C125" s="729"/>
      <c r="D125" s="378">
        <f>D116</f>
        <v>454.54</v>
      </c>
      <c r="E125" s="369"/>
    </row>
    <row r="126" spans="1:6" x14ac:dyDescent="0.2">
      <c r="A126" s="725" t="s">
        <v>87</v>
      </c>
      <c r="B126" s="725"/>
      <c r="C126" s="725"/>
      <c r="D126" s="388">
        <f>ROUND(D125+D124,2)</f>
        <v>3144.89</v>
      </c>
      <c r="E126" s="369"/>
    </row>
    <row r="127" spans="1:6" x14ac:dyDescent="0.2">
      <c r="A127" s="389"/>
      <c r="B127" s="389"/>
      <c r="C127" s="390"/>
      <c r="D127" s="391"/>
      <c r="E127" s="369"/>
    </row>
    <row r="128" spans="1:6" x14ac:dyDescent="0.2">
      <c r="A128" s="725" t="s">
        <v>110</v>
      </c>
      <c r="B128" s="725"/>
      <c r="C128" s="725"/>
      <c r="D128" s="725"/>
      <c r="E128" s="369"/>
    </row>
    <row r="129" spans="1:5" x14ac:dyDescent="0.2">
      <c r="A129" s="728" t="s">
        <v>13</v>
      </c>
      <c r="B129" s="728"/>
      <c r="C129" s="728"/>
      <c r="D129" s="378"/>
      <c r="E129" s="369"/>
    </row>
    <row r="130" spans="1:5" x14ac:dyDescent="0.2">
      <c r="A130" s="728" t="s">
        <v>88</v>
      </c>
      <c r="B130" s="728"/>
      <c r="C130" s="728"/>
      <c r="D130" s="378">
        <f>D126</f>
        <v>3144.89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3144.89</v>
      </c>
      <c r="E132" s="414"/>
    </row>
    <row r="133" spans="1:5" x14ac:dyDescent="0.2">
      <c r="A133" s="728" t="s">
        <v>91</v>
      </c>
      <c r="B133" s="728"/>
      <c r="C133" s="728"/>
      <c r="D133" s="378">
        <f>C16</f>
        <v>1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3144.89</v>
      </c>
      <c r="E134" s="414"/>
    </row>
    <row r="135" spans="1:5" x14ac:dyDescent="0.2">
      <c r="A135" s="389"/>
      <c r="B135" s="389"/>
      <c r="C135" s="390"/>
      <c r="D135" s="391"/>
      <c r="E135" s="414"/>
    </row>
    <row r="136" spans="1:5" x14ac:dyDescent="0.2">
      <c r="A136" s="725" t="s">
        <v>111</v>
      </c>
      <c r="B136" s="725"/>
      <c r="C136" s="725"/>
      <c r="D136" s="725"/>
      <c r="E136" s="369"/>
    </row>
    <row r="137" spans="1:5" x14ac:dyDescent="0.2">
      <c r="A137" s="14" t="s">
        <v>1</v>
      </c>
      <c r="B137" s="728" t="s">
        <v>93</v>
      </c>
      <c r="C137" s="728"/>
      <c r="D137" s="378">
        <f>D130</f>
        <v>3144.89</v>
      </c>
      <c r="E137" s="369"/>
    </row>
    <row r="138" spans="1:5" x14ac:dyDescent="0.2">
      <c r="A138" s="14" t="s">
        <v>2</v>
      </c>
      <c r="B138" s="728" t="s">
        <v>94</v>
      </c>
      <c r="C138" s="728"/>
      <c r="D138" s="378">
        <f>D134</f>
        <v>3144.89</v>
      </c>
      <c r="E138" s="369"/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37738.68</v>
      </c>
      <c r="E139" s="369"/>
    </row>
    <row r="140" spans="1:5" x14ac:dyDescent="0.2">
      <c r="A140" s="1"/>
    </row>
    <row r="141" spans="1:5" x14ac:dyDescent="0.2">
      <c r="A141" s="1"/>
    </row>
    <row r="142" spans="1:5" x14ac:dyDescent="0.2">
      <c r="A142" s="731" t="s">
        <v>382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205" customWidth="1"/>
    <col min="4" max="4" width="22.85546875" style="206" customWidth="1"/>
    <col min="5" max="5" width="25.5703125" style="128" bestFit="1" customWidth="1"/>
    <col min="6" max="6" width="9.28515625" style="37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30" t="s">
        <v>143</v>
      </c>
    </row>
    <row r="5" spans="1:4" x14ac:dyDescent="0.2">
      <c r="A5" s="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3" t="s">
        <v>1</v>
      </c>
      <c r="B8" s="4" t="s">
        <v>5</v>
      </c>
      <c r="C8" s="734"/>
      <c r="D8" s="733"/>
    </row>
    <row r="9" spans="1:4" x14ac:dyDescent="0.2">
      <c r="A9" s="3" t="s">
        <v>2</v>
      </c>
      <c r="B9" s="4" t="s">
        <v>114</v>
      </c>
      <c r="C9" s="735" t="s">
        <v>138</v>
      </c>
      <c r="D9" s="735"/>
    </row>
    <row r="10" spans="1:4" x14ac:dyDescent="0.2">
      <c r="A10" s="3" t="s">
        <v>4</v>
      </c>
      <c r="B10" s="4" t="s">
        <v>6</v>
      </c>
      <c r="C10" s="734">
        <v>40909</v>
      </c>
      <c r="D10" s="733"/>
    </row>
    <row r="11" spans="1:4" x14ac:dyDescent="0.2">
      <c r="A11" s="3" t="s">
        <v>3</v>
      </c>
      <c r="B11" s="4" t="s">
        <v>7</v>
      </c>
      <c r="C11" s="732" t="s">
        <v>141</v>
      </c>
      <c r="D11" s="733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732" t="s">
        <v>434</v>
      </c>
      <c r="D14" s="733"/>
    </row>
    <row r="15" spans="1:4" x14ac:dyDescent="0.2">
      <c r="A15" s="658" t="s">
        <v>129</v>
      </c>
      <c r="B15" s="658"/>
      <c r="C15" s="732" t="s">
        <v>142</v>
      </c>
      <c r="D15" s="733"/>
    </row>
    <row r="16" spans="1:4" x14ac:dyDescent="0.2">
      <c r="A16" s="658" t="s">
        <v>10</v>
      </c>
      <c r="B16" s="658"/>
      <c r="C16" s="733">
        <v>1</v>
      </c>
      <c r="D16" s="733"/>
    </row>
    <row r="17" spans="1:5" x14ac:dyDescent="0.2">
      <c r="A17" s="659" t="s">
        <v>253</v>
      </c>
      <c r="B17" s="660"/>
      <c r="C17" s="733" t="s">
        <v>254</v>
      </c>
      <c r="D17" s="733"/>
    </row>
    <row r="18" spans="1:5" x14ac:dyDescent="0.2">
      <c r="A18" s="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3">
        <v>1</v>
      </c>
      <c r="B22" s="4" t="s">
        <v>131</v>
      </c>
      <c r="C22" s="732" t="s">
        <v>145</v>
      </c>
      <c r="D22" s="733"/>
    </row>
    <row r="23" spans="1:5" x14ac:dyDescent="0.2">
      <c r="A23" s="14">
        <v>2</v>
      </c>
      <c r="B23" s="368" t="s">
        <v>14</v>
      </c>
      <c r="C23" s="666">
        <f>'REPACTUAÇÃO 2014'!F4</f>
        <v>1270</v>
      </c>
      <c r="D23" s="666"/>
      <c r="E23" s="369"/>
    </row>
    <row r="24" spans="1:5" x14ac:dyDescent="0.2">
      <c r="A24" s="14">
        <v>3</v>
      </c>
      <c r="B24" s="368" t="s">
        <v>15</v>
      </c>
      <c r="C24" s="742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1270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D29*3.6316%</f>
        <v>46.12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1316.12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2.2999999999999998</v>
      </c>
      <c r="D43" s="378">
        <f>ROUND((C43*44)-(D29*6%),2)</f>
        <v>25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323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63.5</v>
      </c>
      <c r="D53" s="378">
        <f>ROUND(C53*$C$29,2)</f>
        <v>63.5</v>
      </c>
      <c r="E53" s="369"/>
    </row>
    <row r="54" spans="1:5" x14ac:dyDescent="0.2">
      <c r="A54" s="14" t="s">
        <v>2</v>
      </c>
      <c r="B54" s="400" t="s">
        <v>37</v>
      </c>
      <c r="C54" s="399">
        <v>0</v>
      </c>
      <c r="D54" s="378">
        <f>ROUND(C54*$C$29,2)</f>
        <v>0</v>
      </c>
      <c r="E54" s="396"/>
    </row>
    <row r="55" spans="1:5" x14ac:dyDescent="0.2">
      <c r="A55" s="14" t="s">
        <v>4</v>
      </c>
      <c r="B55" s="368" t="s">
        <v>38</v>
      </c>
      <c r="C55" s="399">
        <v>0</v>
      </c>
      <c r="D55" s="378">
        <f>ROUND(C55*$C$29,2)</f>
        <v>0</v>
      </c>
      <c r="E55" s="369"/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66.3</v>
      </c>
      <c r="E57" s="396"/>
    </row>
    <row r="58" spans="1:5" x14ac:dyDescent="0.2">
      <c r="A58" s="389"/>
      <c r="B58" s="389"/>
      <c r="C58" s="390"/>
      <c r="D58" s="391"/>
      <c r="E58" s="369"/>
    </row>
    <row r="59" spans="1:5" x14ac:dyDescent="0.2">
      <c r="A59" s="674" t="s">
        <v>101</v>
      </c>
      <c r="B59" s="675"/>
      <c r="C59" s="675"/>
      <c r="D59" s="676"/>
      <c r="E59" s="369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  <c r="E60" s="369"/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263.22000000000003</v>
      </c>
      <c r="E61" s="369"/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19.739999999999998</v>
      </c>
      <c r="E62" s="369"/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13.16</v>
      </c>
      <c r="E63" s="369"/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2.63</v>
      </c>
      <c r="E64" s="369"/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32.9</v>
      </c>
      <c r="E65" s="369"/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105.29</v>
      </c>
      <c r="E66" s="369"/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39.479999999999997</v>
      </c>
      <c r="E67" s="369"/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7.9</v>
      </c>
      <c r="E68" s="369"/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484.32</v>
      </c>
      <c r="E69" s="369"/>
    </row>
    <row r="70" spans="1:6" x14ac:dyDescent="0.2">
      <c r="A70" s="403"/>
      <c r="B70" s="403"/>
      <c r="C70" s="390"/>
      <c r="D70" s="391"/>
      <c r="E70" s="369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/>
      <c r="F71" s="38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109.63</v>
      </c>
      <c r="E72" s="369"/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36.590000000000003</v>
      </c>
      <c r="E73" s="369"/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146.22</v>
      </c>
      <c r="E74" s="369"/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53.83</v>
      </c>
      <c r="E75" s="369"/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200.05</v>
      </c>
      <c r="E76" s="369"/>
    </row>
    <row r="77" spans="1:6" x14ac:dyDescent="0.2">
      <c r="A77" s="403"/>
      <c r="B77" s="403"/>
      <c r="C77" s="390"/>
      <c r="D77" s="391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  <c r="E78" s="369"/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2.2400000000000002</v>
      </c>
      <c r="E79" s="369"/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0.13</v>
      </c>
      <c r="E80" s="369"/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10.53</v>
      </c>
      <c r="E81" s="369"/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25.53</v>
      </c>
      <c r="E82" s="369"/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9.34</v>
      </c>
      <c r="E83" s="369"/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58.17</v>
      </c>
      <c r="E84" s="369"/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105.94</v>
      </c>
      <c r="E85" s="369"/>
    </row>
    <row r="86" spans="1:5" x14ac:dyDescent="0.2">
      <c r="A86" s="389"/>
      <c r="B86" s="389"/>
      <c r="C86" s="390"/>
      <c r="D86" s="391"/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109.63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7.37</v>
      </c>
      <c r="E89" s="369"/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0.92</v>
      </c>
      <c r="E90" s="369"/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3.69</v>
      </c>
      <c r="E91" s="369"/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1.05</v>
      </c>
      <c r="E92" s="369"/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0.26</v>
      </c>
      <c r="E93" s="369"/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122.93</v>
      </c>
      <c r="E94" s="369"/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45.27</v>
      </c>
      <c r="E95" s="369"/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168.2</v>
      </c>
      <c r="E96" s="369"/>
    </row>
    <row r="97" spans="1:5" x14ac:dyDescent="0.2">
      <c r="A97" s="389"/>
      <c r="B97" s="389"/>
      <c r="C97" s="390"/>
      <c r="D97" s="391"/>
      <c r="E97" s="369"/>
    </row>
    <row r="98" spans="1:5" x14ac:dyDescent="0.2">
      <c r="A98" s="671" t="s">
        <v>62</v>
      </c>
      <c r="B98" s="671"/>
      <c r="C98" s="671"/>
      <c r="D98" s="671"/>
      <c r="E98" s="369"/>
    </row>
    <row r="99" spans="1:5" x14ac:dyDescent="0.2">
      <c r="A99" s="373">
        <v>4</v>
      </c>
      <c r="B99" s="722" t="s">
        <v>68</v>
      </c>
      <c r="C99" s="722"/>
      <c r="D99" s="376" t="s">
        <v>98</v>
      </c>
      <c r="E99" s="369"/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200.05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484.33</v>
      </c>
      <c r="E101" s="369"/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105.95</v>
      </c>
      <c r="E102" s="369"/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168.2</v>
      </c>
      <c r="E103" s="369"/>
    </row>
    <row r="104" spans="1:5" x14ac:dyDescent="0.2">
      <c r="A104" s="401" t="s">
        <v>67</v>
      </c>
      <c r="B104" s="406" t="s">
        <v>29</v>
      </c>
      <c r="C104" s="408"/>
      <c r="D104" s="378"/>
      <c r="E104" s="369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958.53</v>
      </c>
      <c r="E105" s="369"/>
    </row>
    <row r="106" spans="1:5" x14ac:dyDescent="0.2">
      <c r="A106" s="389"/>
      <c r="B106" s="389"/>
      <c r="C106" s="390"/>
      <c r="D106" s="411">
        <f>ROUND(D105+D57+D49+D39,2)</f>
        <v>2663.95</v>
      </c>
      <c r="E106" s="369"/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41.56</v>
      </c>
      <c r="E108" s="369"/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  <c r="E110" s="369"/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  <c r="E111" s="369"/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51.38</v>
      </c>
      <c r="E112" s="369"/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236.67</v>
      </c>
      <c r="E113" s="369"/>
      <c r="F113" s="39">
        <f>SUM(C110:C114)</f>
        <v>0.1225</v>
      </c>
    </row>
    <row r="114" spans="1:6" x14ac:dyDescent="0.2">
      <c r="A114" s="14" t="s">
        <v>109</v>
      </c>
      <c r="B114" s="368" t="s">
        <v>79</v>
      </c>
      <c r="C114" s="412">
        <v>0.03</v>
      </c>
      <c r="D114" s="378">
        <f>ROUND($F$115*C114,2)</f>
        <v>93.42</v>
      </c>
      <c r="E114" s="369"/>
      <c r="F114" s="40">
        <f>ROUND(D115+D108+D106,2)</f>
        <v>2732.57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27.06</v>
      </c>
      <c r="E115" s="369"/>
      <c r="F115" s="41">
        <f>ROUND(F114/(1-F113),2)</f>
        <v>3114.04</v>
      </c>
    </row>
    <row r="116" spans="1:6" x14ac:dyDescent="0.2">
      <c r="A116" s="672" t="s">
        <v>46</v>
      </c>
      <c r="B116" s="723"/>
      <c r="C116" s="673"/>
      <c r="D116" s="388">
        <f>ROUND(SUM(D108:D115),2)</f>
        <v>450.09</v>
      </c>
      <c r="E116" s="369"/>
    </row>
    <row r="117" spans="1:6" x14ac:dyDescent="0.2">
      <c r="A117" s="389"/>
      <c r="B117" s="389"/>
      <c r="C117" s="390"/>
      <c r="D117" s="411"/>
      <c r="E117" s="369"/>
    </row>
    <row r="118" spans="1:6" x14ac:dyDescent="0.2">
      <c r="A118" s="671" t="s">
        <v>81</v>
      </c>
      <c r="B118" s="671"/>
      <c r="C118" s="671"/>
      <c r="D118" s="671"/>
      <c r="E118" s="369"/>
    </row>
    <row r="119" spans="1:6" x14ac:dyDescent="0.2">
      <c r="A119" s="725" t="s">
        <v>82</v>
      </c>
      <c r="B119" s="725"/>
      <c r="C119" s="725"/>
      <c r="D119" s="725"/>
      <c r="E119" s="369"/>
    </row>
    <row r="120" spans="1:6" x14ac:dyDescent="0.2">
      <c r="A120" s="14" t="s">
        <v>1</v>
      </c>
      <c r="B120" s="728" t="s">
        <v>83</v>
      </c>
      <c r="C120" s="728"/>
      <c r="D120" s="378">
        <f>D39</f>
        <v>1316.12</v>
      </c>
      <c r="E120" s="369"/>
    </row>
    <row r="121" spans="1:6" x14ac:dyDescent="0.2">
      <c r="A121" s="14" t="s">
        <v>2</v>
      </c>
      <c r="B121" s="728" t="s">
        <v>84</v>
      </c>
      <c r="C121" s="728"/>
      <c r="D121" s="378">
        <f>D49</f>
        <v>323</v>
      </c>
      <c r="E121" s="369"/>
    </row>
    <row r="122" spans="1:6" x14ac:dyDescent="0.2">
      <c r="A122" s="14" t="s">
        <v>4</v>
      </c>
      <c r="B122" s="728" t="s">
        <v>85</v>
      </c>
      <c r="C122" s="728"/>
      <c r="D122" s="378">
        <f>D57</f>
        <v>66.3</v>
      </c>
      <c r="E122" s="369"/>
    </row>
    <row r="123" spans="1:6" x14ac:dyDescent="0.2">
      <c r="A123" s="14" t="s">
        <v>3</v>
      </c>
      <c r="B123" s="728" t="s">
        <v>127</v>
      </c>
      <c r="C123" s="728"/>
      <c r="D123" s="378">
        <f>D105</f>
        <v>958.53</v>
      </c>
      <c r="E123" s="369"/>
    </row>
    <row r="124" spans="1:6" x14ac:dyDescent="0.2">
      <c r="A124" s="725" t="s">
        <v>49</v>
      </c>
      <c r="B124" s="725"/>
      <c r="C124" s="725"/>
      <c r="D124" s="388">
        <f>ROUND(SUM(D120:D123),2)</f>
        <v>2663.95</v>
      </c>
      <c r="E124" s="369"/>
    </row>
    <row r="125" spans="1:6" x14ac:dyDescent="0.2">
      <c r="A125" s="14" t="s">
        <v>18</v>
      </c>
      <c r="B125" s="729" t="s">
        <v>86</v>
      </c>
      <c r="C125" s="729"/>
      <c r="D125" s="378">
        <f>D116</f>
        <v>450.09</v>
      </c>
      <c r="E125" s="369"/>
    </row>
    <row r="126" spans="1:6" x14ac:dyDescent="0.2">
      <c r="A126" s="725" t="s">
        <v>87</v>
      </c>
      <c r="B126" s="725"/>
      <c r="C126" s="725"/>
      <c r="D126" s="388">
        <f>ROUND(D125+D124,2)</f>
        <v>3114.04</v>
      </c>
      <c r="E126" s="369"/>
    </row>
    <row r="127" spans="1:6" x14ac:dyDescent="0.2">
      <c r="A127" s="389"/>
      <c r="B127" s="389"/>
      <c r="C127" s="390"/>
      <c r="D127" s="391"/>
      <c r="E127" s="369"/>
    </row>
    <row r="128" spans="1:6" x14ac:dyDescent="0.2">
      <c r="A128" s="725" t="s">
        <v>110</v>
      </c>
      <c r="B128" s="725"/>
      <c r="C128" s="725"/>
      <c r="D128" s="725"/>
      <c r="E128" s="369"/>
    </row>
    <row r="129" spans="1:5" x14ac:dyDescent="0.2">
      <c r="A129" s="728" t="s">
        <v>13</v>
      </c>
      <c r="B129" s="728"/>
      <c r="C129" s="728"/>
      <c r="D129" s="378"/>
      <c r="E129" s="369"/>
    </row>
    <row r="130" spans="1:5" x14ac:dyDescent="0.2">
      <c r="A130" s="728" t="s">
        <v>88</v>
      </c>
      <c r="B130" s="728"/>
      <c r="C130" s="728"/>
      <c r="D130" s="378">
        <f>D126</f>
        <v>3114.04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3114.04</v>
      </c>
      <c r="E132" s="414"/>
    </row>
    <row r="133" spans="1:5" x14ac:dyDescent="0.2">
      <c r="A133" s="728" t="s">
        <v>91</v>
      </c>
      <c r="B133" s="728"/>
      <c r="C133" s="728"/>
      <c r="D133" s="378">
        <f>C16</f>
        <v>1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3114.04</v>
      </c>
      <c r="E134" s="414"/>
    </row>
    <row r="135" spans="1:5" x14ac:dyDescent="0.2">
      <c r="A135" s="389"/>
      <c r="B135" s="389"/>
      <c r="C135" s="390"/>
      <c r="D135" s="391"/>
      <c r="E135" s="414"/>
    </row>
    <row r="136" spans="1:5" x14ac:dyDescent="0.2">
      <c r="A136" s="725" t="s">
        <v>111</v>
      </c>
      <c r="B136" s="725"/>
      <c r="C136" s="725"/>
      <c r="D136" s="725"/>
      <c r="E136" s="369"/>
    </row>
    <row r="137" spans="1:5" x14ac:dyDescent="0.2">
      <c r="A137" s="14" t="s">
        <v>1</v>
      </c>
      <c r="B137" s="728" t="s">
        <v>93</v>
      </c>
      <c r="C137" s="728"/>
      <c r="D137" s="378">
        <f>D130</f>
        <v>3114.04</v>
      </c>
      <c r="E137" s="369"/>
    </row>
    <row r="138" spans="1:5" x14ac:dyDescent="0.2">
      <c r="A138" s="14" t="s">
        <v>2</v>
      </c>
      <c r="B138" s="728" t="s">
        <v>94</v>
      </c>
      <c r="C138" s="728"/>
      <c r="D138" s="378">
        <f>D134</f>
        <v>3114.04</v>
      </c>
      <c r="E138" s="369"/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37368.480000000003</v>
      </c>
      <c r="E139" s="369"/>
    </row>
    <row r="140" spans="1:5" x14ac:dyDescent="0.2">
      <c r="A140" s="1"/>
    </row>
    <row r="141" spans="1:5" x14ac:dyDescent="0.2">
      <c r="A141" s="1"/>
    </row>
    <row r="142" spans="1:5" x14ac:dyDescent="0.2">
      <c r="A142" s="731" t="s">
        <v>382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  <rowBreaks count="1" manualBreakCount="1">
    <brk id="1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515" t="s">
        <v>1</v>
      </c>
      <c r="B8" s="332" t="s">
        <v>5</v>
      </c>
      <c r="C8" s="624">
        <v>41015</v>
      </c>
      <c r="D8" s="621"/>
    </row>
    <row r="9" spans="1:4" x14ac:dyDescent="0.2">
      <c r="A9" s="515" t="s">
        <v>2</v>
      </c>
      <c r="B9" s="332" t="s">
        <v>114</v>
      </c>
      <c r="C9" s="625" t="s">
        <v>523</v>
      </c>
      <c r="D9" s="625"/>
    </row>
    <row r="10" spans="1:4" x14ac:dyDescent="0.2">
      <c r="A10" s="515" t="s">
        <v>4</v>
      </c>
      <c r="B10" s="332" t="s">
        <v>6</v>
      </c>
      <c r="C10" s="624">
        <v>41641</v>
      </c>
      <c r="D10" s="621"/>
    </row>
    <row r="11" spans="1:4" x14ac:dyDescent="0.2">
      <c r="A11" s="515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440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510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515">
        <v>1</v>
      </c>
      <c r="B22" s="332" t="s">
        <v>131</v>
      </c>
      <c r="C22" s="620" t="s">
        <v>145</v>
      </c>
      <c r="D22" s="621"/>
    </row>
    <row r="23" spans="1:5" x14ac:dyDescent="0.2">
      <c r="A23" s="515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515">
        <v>3</v>
      </c>
      <c r="B24" s="332" t="s">
        <v>15</v>
      </c>
      <c r="C24" s="620" t="s">
        <v>146</v>
      </c>
      <c r="D24" s="621"/>
    </row>
    <row r="25" spans="1:5" x14ac:dyDescent="0.2">
      <c r="A25" s="515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511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515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515" t="s">
        <v>2</v>
      </c>
      <c r="B30" s="332" t="s">
        <v>438</v>
      </c>
      <c r="C30" s="298"/>
      <c r="D30" s="297">
        <f>'REPACTUAÇÃO 2014'!G6</f>
        <v>66</v>
      </c>
      <c r="E30" s="303">
        <v>62</v>
      </c>
    </row>
    <row r="31" spans="1:5" x14ac:dyDescent="0.2">
      <c r="A31" s="515" t="s">
        <v>4</v>
      </c>
      <c r="B31" s="332" t="s">
        <v>24</v>
      </c>
      <c r="C31" s="19"/>
      <c r="D31" s="13"/>
      <c r="E31" s="196"/>
    </row>
    <row r="32" spans="1:5" x14ac:dyDescent="0.2">
      <c r="A32" s="515" t="s">
        <v>3</v>
      </c>
      <c r="B32" s="332" t="s">
        <v>25</v>
      </c>
      <c r="C32" s="20"/>
      <c r="D32" s="13"/>
      <c r="E32" s="153"/>
    </row>
    <row r="33" spans="1:6" x14ac:dyDescent="0.2">
      <c r="A33" s="515" t="s">
        <v>18</v>
      </c>
      <c r="B33" s="332" t="s">
        <v>26</v>
      </c>
      <c r="C33" s="20"/>
      <c r="D33" s="13"/>
      <c r="E33" s="153"/>
    </row>
    <row r="34" spans="1:6" x14ac:dyDescent="0.2">
      <c r="A34" s="515" t="s">
        <v>19</v>
      </c>
      <c r="B34" s="332" t="s">
        <v>27</v>
      </c>
      <c r="C34" s="18"/>
      <c r="D34" s="13"/>
      <c r="E34" s="196"/>
    </row>
    <row r="35" spans="1:6" x14ac:dyDescent="0.2">
      <c r="A35" s="515" t="s">
        <v>20</v>
      </c>
      <c r="B35" s="332" t="s">
        <v>28</v>
      </c>
      <c r="C35" s="20"/>
      <c r="D35" s="13"/>
      <c r="E35" s="153"/>
    </row>
    <row r="36" spans="1:6" x14ac:dyDescent="0.2">
      <c r="A36" s="515" t="s">
        <v>21</v>
      </c>
      <c r="B36" s="332" t="s">
        <v>119</v>
      </c>
      <c r="C36" s="18"/>
      <c r="D36" s="13"/>
    </row>
    <row r="37" spans="1:6" x14ac:dyDescent="0.2">
      <c r="A37" s="515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514" t="s">
        <v>487</v>
      </c>
      <c r="B38" s="300" t="s">
        <v>488</v>
      </c>
      <c r="C38" s="301"/>
      <c r="D38" s="302">
        <f>(D29+D30)*3.6316%</f>
        <v>36.9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1052.9000000000001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511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515" t="s">
        <v>1</v>
      </c>
      <c r="B43" s="340" t="s">
        <v>133</v>
      </c>
      <c r="C43" s="13">
        <v>1.9</v>
      </c>
      <c r="D43" s="13">
        <f>ROUND((C43*44)-(D29*6%),2)</f>
        <v>26.6</v>
      </c>
      <c r="E43" s="197"/>
    </row>
    <row r="44" spans="1:6" ht="13.5" customHeight="1" x14ac:dyDescent="0.2">
      <c r="A44" s="515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515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515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515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515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324.60000000000002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511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515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515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515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515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514" t="s">
        <v>1</v>
      </c>
      <c r="B61" s="300" t="s">
        <v>40</v>
      </c>
      <c r="C61" s="10">
        <v>0.2</v>
      </c>
      <c r="D61" s="13">
        <f>ROUND($D$39*C61,2)</f>
        <v>210.58</v>
      </c>
    </row>
    <row r="62" spans="1:5" x14ac:dyDescent="0.2">
      <c r="A62" s="514" t="s">
        <v>2</v>
      </c>
      <c r="B62" s="300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514" t="s">
        <v>4</v>
      </c>
      <c r="B63" s="300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514" t="s">
        <v>3</v>
      </c>
      <c r="B64" s="300" t="s">
        <v>42</v>
      </c>
      <c r="C64" s="10">
        <v>2E-3</v>
      </c>
      <c r="D64" s="13">
        <f t="shared" si="0"/>
        <v>2.11</v>
      </c>
    </row>
    <row r="65" spans="1:6" x14ac:dyDescent="0.2">
      <c r="A65" s="514" t="s">
        <v>18</v>
      </c>
      <c r="B65" s="300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514" t="s">
        <v>19</v>
      </c>
      <c r="B66" s="300" t="s">
        <v>44</v>
      </c>
      <c r="C66" s="10">
        <v>0.08</v>
      </c>
      <c r="D66" s="13">
        <f t="shared" si="0"/>
        <v>84.23</v>
      </c>
    </row>
    <row r="67" spans="1:6" x14ac:dyDescent="0.2">
      <c r="A67" s="514" t="s">
        <v>20</v>
      </c>
      <c r="B67" s="300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514" t="s">
        <v>21</v>
      </c>
      <c r="B68" s="300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514" t="s">
        <v>1</v>
      </c>
      <c r="B72" s="300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514" t="s">
        <v>2</v>
      </c>
      <c r="B73" s="300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116.98</v>
      </c>
    </row>
    <row r="75" spans="1:6" x14ac:dyDescent="0.2">
      <c r="A75" s="514" t="s">
        <v>4</v>
      </c>
      <c r="B75" s="300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160.04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514" t="s">
        <v>1</v>
      </c>
      <c r="B79" s="300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514" t="s">
        <v>2</v>
      </c>
      <c r="B80" s="300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514" t="s">
        <v>4</v>
      </c>
      <c r="B81" s="300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515" t="s">
        <v>3</v>
      </c>
      <c r="B82" s="332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515" t="s">
        <v>18</v>
      </c>
      <c r="B83" s="332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515" t="s">
        <v>19</v>
      </c>
      <c r="B84" s="332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515" t="s">
        <v>1</v>
      </c>
      <c r="B88" s="332" t="s">
        <v>58</v>
      </c>
      <c r="C88" s="10">
        <v>8.3299999999999999E-2</v>
      </c>
      <c r="D88" s="13">
        <f t="shared" ref="D88:D95" si="2">ROUND($D$39*C88,2)</f>
        <v>87.71</v>
      </c>
      <c r="E88" s="346"/>
    </row>
    <row r="89" spans="1:5" x14ac:dyDescent="0.2">
      <c r="A89" s="515" t="s">
        <v>2</v>
      </c>
      <c r="B89" s="332" t="s">
        <v>59</v>
      </c>
      <c r="C89" s="10">
        <v>5.5999999999999999E-3</v>
      </c>
      <c r="D89" s="13">
        <f t="shared" si="2"/>
        <v>5.9</v>
      </c>
    </row>
    <row r="90" spans="1:5" x14ac:dyDescent="0.2">
      <c r="A90" s="515" t="s">
        <v>4</v>
      </c>
      <c r="B90" s="300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515" t="s">
        <v>3</v>
      </c>
      <c r="B91" s="332" t="s">
        <v>60</v>
      </c>
      <c r="C91" s="10">
        <v>2.8E-3</v>
      </c>
      <c r="D91" s="13">
        <f t="shared" si="2"/>
        <v>2.95</v>
      </c>
    </row>
    <row r="92" spans="1:5" x14ac:dyDescent="0.2">
      <c r="A92" s="515" t="s">
        <v>18</v>
      </c>
      <c r="B92" s="332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515" t="s">
        <v>19</v>
      </c>
      <c r="B93" s="300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98.34</v>
      </c>
    </row>
    <row r="95" spans="1:5" x14ac:dyDescent="0.2">
      <c r="A95" s="515" t="s">
        <v>20</v>
      </c>
      <c r="B95" s="332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134.56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511">
        <v>4</v>
      </c>
      <c r="B99" s="633" t="s">
        <v>68</v>
      </c>
      <c r="C99" s="633"/>
      <c r="D99" s="12" t="s">
        <v>98</v>
      </c>
    </row>
    <row r="100" spans="1:5" x14ac:dyDescent="0.2">
      <c r="A100" s="515" t="s">
        <v>63</v>
      </c>
      <c r="B100" s="347" t="s">
        <v>69</v>
      </c>
      <c r="C100" s="348">
        <f>C76</f>
        <v>0.152</v>
      </c>
      <c r="D100" s="13">
        <f>ROUND($D$39*C100,2)</f>
        <v>160.04</v>
      </c>
      <c r="E100" s="346"/>
    </row>
    <row r="101" spans="1:5" x14ac:dyDescent="0.2">
      <c r="A101" s="515" t="s">
        <v>64</v>
      </c>
      <c r="B101" s="347" t="s">
        <v>126</v>
      </c>
      <c r="C101" s="348">
        <f>C69</f>
        <v>0.36799999999999999</v>
      </c>
      <c r="D101" s="13">
        <f>ROUND($D$39*C101,2)</f>
        <v>387.47</v>
      </c>
    </row>
    <row r="102" spans="1:5" x14ac:dyDescent="0.2">
      <c r="A102" s="514" t="s">
        <v>65</v>
      </c>
      <c r="B102" s="347" t="s">
        <v>70</v>
      </c>
      <c r="C102" s="348">
        <f>C85</f>
        <v>8.0500000000000002E-2</v>
      </c>
      <c r="D102" s="13">
        <f>ROUND($D$39*C102,2)</f>
        <v>84.76</v>
      </c>
    </row>
    <row r="103" spans="1:5" x14ac:dyDescent="0.2">
      <c r="A103" s="514" t="s">
        <v>66</v>
      </c>
      <c r="B103" s="347" t="s">
        <v>71</v>
      </c>
      <c r="C103" s="348">
        <f>C96</f>
        <v>0.1278</v>
      </c>
      <c r="D103" s="13">
        <f>ROUND($D$39*C103,2)</f>
        <v>134.56</v>
      </c>
    </row>
    <row r="104" spans="1:5" x14ac:dyDescent="0.2">
      <c r="A104" s="514" t="s">
        <v>67</v>
      </c>
      <c r="B104" s="347" t="s">
        <v>29</v>
      </c>
      <c r="C104" s="512"/>
      <c r="D104" s="13"/>
    </row>
    <row r="105" spans="1:5" x14ac:dyDescent="0.2">
      <c r="A105" s="515"/>
      <c r="B105" s="513" t="s">
        <v>46</v>
      </c>
      <c r="C105" s="351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2554.0500000000002</v>
      </c>
    </row>
    <row r="107" spans="1:5" x14ac:dyDescent="0.2">
      <c r="A107" s="511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515" t="s">
        <v>1</v>
      </c>
      <c r="B108" s="332" t="s">
        <v>73</v>
      </c>
      <c r="C108" s="10">
        <v>1.06E-2</v>
      </c>
      <c r="D108" s="13">
        <f>ROUND($D$106*C108,2)</f>
        <v>27.07</v>
      </c>
    </row>
    <row r="109" spans="1:5" x14ac:dyDescent="0.2">
      <c r="A109" s="515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49.34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227.26</v>
      </c>
      <c r="F113" s="353">
        <f>SUM(C110:C114)</f>
        <v>0.13250000000000001</v>
      </c>
    </row>
    <row r="114" spans="1:9" x14ac:dyDescent="0.2">
      <c r="A114" s="352" t="s">
        <v>109</v>
      </c>
      <c r="B114" s="332" t="s">
        <v>79</v>
      </c>
      <c r="C114" s="131">
        <v>0.04</v>
      </c>
      <c r="D114" s="13">
        <f>ROUND($F$115*C114,2)</f>
        <v>119.61</v>
      </c>
      <c r="F114" s="354">
        <f>ROUND(D115+D108+D106,2)</f>
        <v>2594.0300000000002</v>
      </c>
    </row>
    <row r="115" spans="1:9" x14ac:dyDescent="0.2">
      <c r="A115" s="515" t="s">
        <v>4</v>
      </c>
      <c r="B115" s="332" t="s">
        <v>80</v>
      </c>
      <c r="C115" s="10">
        <v>5.0000000000000001E-3</v>
      </c>
      <c r="D115" s="13">
        <f>ROUND(($D$106+D108)*C115,2)</f>
        <v>12.91</v>
      </c>
      <c r="F115" s="41">
        <f>ROUND(F114/(1-F113),2)</f>
        <v>2990.24</v>
      </c>
    </row>
    <row r="116" spans="1:9" x14ac:dyDescent="0.2">
      <c r="A116" s="638" t="s">
        <v>46</v>
      </c>
      <c r="B116" s="643"/>
      <c r="C116" s="639"/>
      <c r="D116" s="22">
        <f>ROUND(SUM(D108:D115),2)</f>
        <v>436.19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515" t="s">
        <v>1</v>
      </c>
      <c r="B120" s="626" t="s">
        <v>83</v>
      </c>
      <c r="C120" s="626"/>
      <c r="D120" s="13">
        <f>D39</f>
        <v>1052.9000000000001</v>
      </c>
    </row>
    <row r="121" spans="1:9" x14ac:dyDescent="0.2">
      <c r="A121" s="515" t="s">
        <v>2</v>
      </c>
      <c r="B121" s="626" t="s">
        <v>84</v>
      </c>
      <c r="C121" s="626"/>
      <c r="D121" s="13">
        <f>D49</f>
        <v>324.60000000000002</v>
      </c>
    </row>
    <row r="122" spans="1:9" x14ac:dyDescent="0.2">
      <c r="A122" s="515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515" t="s">
        <v>3</v>
      </c>
      <c r="B123" s="626" t="s">
        <v>127</v>
      </c>
      <c r="C123" s="626"/>
      <c r="D123" s="13">
        <f>D105</f>
        <v>766.83</v>
      </c>
    </row>
    <row r="124" spans="1:9" x14ac:dyDescent="0.2">
      <c r="A124" s="625" t="s">
        <v>49</v>
      </c>
      <c r="B124" s="625"/>
      <c r="C124" s="625"/>
      <c r="D124" s="22">
        <f>ROUND(SUM(D120:D123),2)</f>
        <v>2554.0500000000002</v>
      </c>
    </row>
    <row r="125" spans="1:9" ht="18.75" x14ac:dyDescent="0.3">
      <c r="A125" s="515" t="s">
        <v>18</v>
      </c>
      <c r="B125" s="645" t="s">
        <v>86</v>
      </c>
      <c r="C125" s="645"/>
      <c r="D125" s="13">
        <f>D116</f>
        <v>436.19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2990.24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2990.24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2990.24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1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2990.24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515" t="s">
        <v>1</v>
      </c>
      <c r="B137" s="626" t="s">
        <v>93</v>
      </c>
      <c r="C137" s="626"/>
      <c r="D137" s="297">
        <f>D130</f>
        <v>2990.24</v>
      </c>
      <c r="E137" s="303">
        <v>2279.4299999999998</v>
      </c>
    </row>
    <row r="138" spans="1:9" x14ac:dyDescent="0.2">
      <c r="A138" s="515" t="s">
        <v>2</v>
      </c>
      <c r="B138" s="626" t="s">
        <v>94</v>
      </c>
      <c r="C138" s="626"/>
      <c r="D138" s="13">
        <f>D134</f>
        <v>2990.24</v>
      </c>
    </row>
    <row r="139" spans="1:9" x14ac:dyDescent="0.2">
      <c r="A139" s="511" t="s">
        <v>4</v>
      </c>
      <c r="B139" s="633" t="s">
        <v>95</v>
      </c>
      <c r="C139" s="633"/>
      <c r="D139" s="22">
        <f>ROUND(D138*12,2)</f>
        <v>35882.879999999997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6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205" customWidth="1"/>
    <col min="4" max="4" width="22.85546875" style="206" customWidth="1"/>
    <col min="5" max="5" width="25.5703125" style="128" bestFit="1" customWidth="1"/>
    <col min="6" max="6" width="9.28515625" style="37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30" t="s">
        <v>143</v>
      </c>
    </row>
    <row r="5" spans="1:4" x14ac:dyDescent="0.2">
      <c r="A5" s="30" t="s">
        <v>144</v>
      </c>
    </row>
    <row r="6" spans="1:4" x14ac:dyDescent="0.2">
      <c r="C6" s="207" t="s">
        <v>118</v>
      </c>
      <c r="D6" s="208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3" t="s">
        <v>1</v>
      </c>
      <c r="B8" s="4" t="s">
        <v>5</v>
      </c>
      <c r="C8" s="734"/>
      <c r="D8" s="733"/>
    </row>
    <row r="9" spans="1:4" x14ac:dyDescent="0.2">
      <c r="A9" s="3" t="s">
        <v>2</v>
      </c>
      <c r="B9" s="4" t="s">
        <v>114</v>
      </c>
      <c r="C9" s="735" t="s">
        <v>140</v>
      </c>
      <c r="D9" s="735"/>
    </row>
    <row r="10" spans="1:4" x14ac:dyDescent="0.2">
      <c r="A10" s="3" t="s">
        <v>4</v>
      </c>
      <c r="B10" s="4" t="s">
        <v>6</v>
      </c>
      <c r="C10" s="734">
        <v>40909</v>
      </c>
      <c r="D10" s="733"/>
    </row>
    <row r="11" spans="1:4" x14ac:dyDescent="0.2">
      <c r="A11" s="3" t="s">
        <v>3</v>
      </c>
      <c r="B11" s="4" t="s">
        <v>7</v>
      </c>
      <c r="C11" s="732" t="s">
        <v>141</v>
      </c>
      <c r="D11" s="733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732" t="s">
        <v>434</v>
      </c>
      <c r="D14" s="733"/>
    </row>
    <row r="15" spans="1:4" x14ac:dyDescent="0.2">
      <c r="A15" s="658" t="s">
        <v>129</v>
      </c>
      <c r="B15" s="658"/>
      <c r="C15" s="732" t="s">
        <v>142</v>
      </c>
      <c r="D15" s="733"/>
    </row>
    <row r="16" spans="1:4" x14ac:dyDescent="0.2">
      <c r="A16" s="658" t="s">
        <v>10</v>
      </c>
      <c r="B16" s="658"/>
      <c r="C16" s="733">
        <v>1</v>
      </c>
      <c r="D16" s="733"/>
    </row>
    <row r="17" spans="1:5" x14ac:dyDescent="0.2">
      <c r="A17" s="659" t="s">
        <v>253</v>
      </c>
      <c r="B17" s="660"/>
      <c r="C17" s="733" t="s">
        <v>254</v>
      </c>
      <c r="D17" s="733"/>
    </row>
    <row r="18" spans="1:5" x14ac:dyDescent="0.2">
      <c r="A18" s="2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3">
        <v>1</v>
      </c>
      <c r="B22" s="4" t="s">
        <v>131</v>
      </c>
      <c r="C22" s="732" t="s">
        <v>145</v>
      </c>
      <c r="D22" s="733"/>
    </row>
    <row r="23" spans="1:5" x14ac:dyDescent="0.2">
      <c r="A23" s="14">
        <v>2</v>
      </c>
      <c r="B23" s="368" t="s">
        <v>14</v>
      </c>
      <c r="C23" s="666">
        <f>'REPACTUAÇÃO 2014'!F4</f>
        <v>1270</v>
      </c>
      <c r="D23" s="666"/>
      <c r="E23" s="369"/>
    </row>
    <row r="24" spans="1:5" x14ac:dyDescent="0.2">
      <c r="A24" s="14">
        <v>3</v>
      </c>
      <c r="B24" s="368" t="s">
        <v>15</v>
      </c>
      <c r="C24" s="742" t="s">
        <v>146</v>
      </c>
      <c r="D24" s="668"/>
      <c r="E24" s="369"/>
    </row>
    <row r="25" spans="1:5" x14ac:dyDescent="0.2">
      <c r="A25" s="14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371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373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14" t="s">
        <v>1</v>
      </c>
      <c r="B29" s="368" t="s">
        <v>22</v>
      </c>
      <c r="C29" s="377">
        <v>1</v>
      </c>
      <c r="D29" s="424">
        <f>C23</f>
        <v>1270</v>
      </c>
      <c r="E29" s="379"/>
    </row>
    <row r="30" spans="1:5" x14ac:dyDescent="0.2">
      <c r="A30" s="14" t="s">
        <v>2</v>
      </c>
      <c r="B30" s="368" t="s">
        <v>23</v>
      </c>
      <c r="C30" s="380"/>
      <c r="D30" s="378"/>
      <c r="E30" s="369"/>
    </row>
    <row r="31" spans="1:5" x14ac:dyDescent="0.2">
      <c r="A31" s="14" t="s">
        <v>4</v>
      </c>
      <c r="B31" s="368" t="s">
        <v>24</v>
      </c>
      <c r="C31" s="380"/>
      <c r="D31" s="378"/>
      <c r="E31" s="381"/>
    </row>
    <row r="32" spans="1:5" x14ac:dyDescent="0.2">
      <c r="A32" s="14" t="s">
        <v>3</v>
      </c>
      <c r="B32" s="368" t="s">
        <v>25</v>
      </c>
      <c r="C32" s="382"/>
      <c r="D32" s="378"/>
      <c r="E32" s="379"/>
    </row>
    <row r="33" spans="1:5" x14ac:dyDescent="0.2">
      <c r="A33" s="14" t="s">
        <v>18</v>
      </c>
      <c r="B33" s="368" t="s">
        <v>26</v>
      </c>
      <c r="C33" s="382"/>
      <c r="D33" s="378"/>
      <c r="E33" s="379"/>
    </row>
    <row r="34" spans="1:5" x14ac:dyDescent="0.2">
      <c r="A34" s="14" t="s">
        <v>19</v>
      </c>
      <c r="B34" s="368" t="s">
        <v>27</v>
      </c>
      <c r="C34" s="377"/>
      <c r="D34" s="378"/>
      <c r="E34" s="381"/>
    </row>
    <row r="35" spans="1:5" x14ac:dyDescent="0.2">
      <c r="A35" s="14" t="s">
        <v>20</v>
      </c>
      <c r="B35" s="368" t="s">
        <v>28</v>
      </c>
      <c r="C35" s="382"/>
      <c r="D35" s="378"/>
      <c r="E35" s="379"/>
    </row>
    <row r="36" spans="1:5" x14ac:dyDescent="0.2">
      <c r="A36" s="14" t="s">
        <v>21</v>
      </c>
      <c r="B36" s="368" t="s">
        <v>119</v>
      </c>
      <c r="C36" s="377"/>
      <c r="D36" s="378"/>
      <c r="E36" s="369"/>
    </row>
    <row r="37" spans="1:5" x14ac:dyDescent="0.2">
      <c r="A37" s="14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D29*3.6316%</f>
        <v>46.12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1316.12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373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14" t="s">
        <v>1</v>
      </c>
      <c r="B43" s="393" t="s">
        <v>133</v>
      </c>
      <c r="C43" s="378">
        <v>2.65</v>
      </c>
      <c r="D43" s="378">
        <f>ROUND((C43*44)-(D29*6%),2)</f>
        <v>40.4</v>
      </c>
      <c r="E43" s="394"/>
    </row>
    <row r="44" spans="1:5" ht="13.5" customHeight="1" x14ac:dyDescent="0.2">
      <c r="A44" s="14" t="s">
        <v>2</v>
      </c>
      <c r="B44" s="395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14" t="s">
        <v>4</v>
      </c>
      <c r="B45" s="395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14" t="s">
        <v>3</v>
      </c>
      <c r="B46" s="395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14" t="s">
        <v>18</v>
      </c>
      <c r="B47" s="395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14" t="s">
        <v>19</v>
      </c>
      <c r="B48" s="395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338.4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373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14" t="s">
        <v>1</v>
      </c>
      <c r="B53" s="368" t="s">
        <v>36</v>
      </c>
      <c r="C53" s="399">
        <v>63.5</v>
      </c>
      <c r="D53" s="378">
        <f>ROUND(C53*$C$29,2)</f>
        <v>63.5</v>
      </c>
      <c r="E53" s="369"/>
    </row>
    <row r="54" spans="1:5" x14ac:dyDescent="0.2">
      <c r="A54" s="14" t="s">
        <v>2</v>
      </c>
      <c r="B54" s="400" t="s">
        <v>37</v>
      </c>
      <c r="C54" s="399">
        <v>0</v>
      </c>
      <c r="D54" s="378">
        <f>ROUND(C54*$C$29,2)</f>
        <v>0</v>
      </c>
      <c r="E54" s="396"/>
    </row>
    <row r="55" spans="1:5" x14ac:dyDescent="0.2">
      <c r="A55" s="14" t="s">
        <v>4</v>
      </c>
      <c r="B55" s="368" t="s">
        <v>38</v>
      </c>
      <c r="C55" s="399">
        <v>0</v>
      </c>
      <c r="D55" s="378">
        <f>ROUND(C55*$C$29,2)</f>
        <v>0</v>
      </c>
      <c r="E55" s="369"/>
    </row>
    <row r="56" spans="1:5" x14ac:dyDescent="0.2">
      <c r="A56" s="14" t="s">
        <v>3</v>
      </c>
      <c r="B56" s="400" t="s">
        <v>251</v>
      </c>
      <c r="C56" s="378">
        <f>'Epi''s'!E6</f>
        <v>2.8</v>
      </c>
      <c r="D56" s="378">
        <f>C56</f>
        <v>2.8</v>
      </c>
      <c r="E56" s="396"/>
    </row>
    <row r="57" spans="1:5" x14ac:dyDescent="0.2">
      <c r="A57" s="672" t="s">
        <v>39</v>
      </c>
      <c r="B57" s="673"/>
      <c r="C57" s="397"/>
      <c r="D57" s="388">
        <f>ROUND(SUM(D53:D56),2)</f>
        <v>66.3</v>
      </c>
      <c r="E57" s="396"/>
    </row>
    <row r="58" spans="1:5" x14ac:dyDescent="0.2">
      <c r="A58" s="389"/>
      <c r="B58" s="389"/>
      <c r="C58" s="390"/>
      <c r="D58" s="391"/>
      <c r="E58" s="369"/>
    </row>
    <row r="59" spans="1:5" x14ac:dyDescent="0.2">
      <c r="A59" s="674" t="s">
        <v>101</v>
      </c>
      <c r="B59" s="675"/>
      <c r="C59" s="675"/>
      <c r="D59" s="676"/>
      <c r="E59" s="369"/>
    </row>
    <row r="60" spans="1:5" x14ac:dyDescent="0.2">
      <c r="A60" s="722" t="s">
        <v>102</v>
      </c>
      <c r="B60" s="722"/>
      <c r="C60" s="375" t="s">
        <v>97</v>
      </c>
      <c r="D60" s="376" t="s">
        <v>98</v>
      </c>
      <c r="E60" s="369"/>
    </row>
    <row r="61" spans="1:5" x14ac:dyDescent="0.2">
      <c r="A61" s="401" t="s">
        <v>1</v>
      </c>
      <c r="B61" s="400" t="s">
        <v>40</v>
      </c>
      <c r="C61" s="397">
        <v>0.2</v>
      </c>
      <c r="D61" s="378">
        <f>ROUND($D$39*C61,2)</f>
        <v>263.22000000000003</v>
      </c>
      <c r="E61" s="369"/>
    </row>
    <row r="62" spans="1:5" x14ac:dyDescent="0.2">
      <c r="A62" s="401" t="s">
        <v>2</v>
      </c>
      <c r="B62" s="400" t="s">
        <v>41</v>
      </c>
      <c r="C62" s="397">
        <v>1.4999999999999999E-2</v>
      </c>
      <c r="D62" s="378">
        <f>ROUND($D$39*C62,2)</f>
        <v>19.739999999999998</v>
      </c>
      <c r="E62" s="369"/>
    </row>
    <row r="63" spans="1:5" x14ac:dyDescent="0.2">
      <c r="A63" s="401" t="s">
        <v>4</v>
      </c>
      <c r="B63" s="400" t="s">
        <v>123</v>
      </c>
      <c r="C63" s="397">
        <v>0.01</v>
      </c>
      <c r="D63" s="378">
        <f t="shared" ref="D63:D68" si="0">ROUND($D$39*C63,2)</f>
        <v>13.16</v>
      </c>
      <c r="E63" s="369"/>
    </row>
    <row r="64" spans="1:5" x14ac:dyDescent="0.2">
      <c r="A64" s="401" t="s">
        <v>3</v>
      </c>
      <c r="B64" s="400" t="s">
        <v>42</v>
      </c>
      <c r="C64" s="397">
        <v>2E-3</v>
      </c>
      <c r="D64" s="378">
        <f t="shared" si="0"/>
        <v>2.63</v>
      </c>
      <c r="E64" s="369"/>
    </row>
    <row r="65" spans="1:6" x14ac:dyDescent="0.2">
      <c r="A65" s="401" t="s">
        <v>18</v>
      </c>
      <c r="B65" s="400" t="s">
        <v>43</v>
      </c>
      <c r="C65" s="397">
        <v>2.5000000000000001E-2</v>
      </c>
      <c r="D65" s="378">
        <f t="shared" si="0"/>
        <v>32.9</v>
      </c>
      <c r="E65" s="369"/>
    </row>
    <row r="66" spans="1:6" x14ac:dyDescent="0.2">
      <c r="A66" s="401" t="s">
        <v>19</v>
      </c>
      <c r="B66" s="400" t="s">
        <v>44</v>
      </c>
      <c r="C66" s="397">
        <v>0.08</v>
      </c>
      <c r="D66" s="378">
        <f t="shared" si="0"/>
        <v>105.29</v>
      </c>
      <c r="E66" s="369"/>
    </row>
    <row r="67" spans="1:6" x14ac:dyDescent="0.2">
      <c r="A67" s="401" t="s">
        <v>20</v>
      </c>
      <c r="B67" s="400" t="s">
        <v>124</v>
      </c>
      <c r="C67" s="397">
        <f>2%*F71</f>
        <v>0.03</v>
      </c>
      <c r="D67" s="378">
        <f t="shared" si="0"/>
        <v>39.479999999999997</v>
      </c>
      <c r="E67" s="369"/>
    </row>
    <row r="68" spans="1:6" x14ac:dyDescent="0.2">
      <c r="A68" s="401" t="s">
        <v>21</v>
      </c>
      <c r="B68" s="400" t="s">
        <v>45</v>
      </c>
      <c r="C68" s="397">
        <v>6.0000000000000001E-3</v>
      </c>
      <c r="D68" s="378">
        <f t="shared" si="0"/>
        <v>7.9</v>
      </c>
      <c r="E68" s="369"/>
    </row>
    <row r="69" spans="1:6" x14ac:dyDescent="0.2">
      <c r="A69" s="672" t="s">
        <v>51</v>
      </c>
      <c r="B69" s="740"/>
      <c r="C69" s="402">
        <f>SUM(C61:C68)</f>
        <v>0.36799999999999999</v>
      </c>
      <c r="D69" s="388">
        <f>ROUND(SUM(D61:D68),2)</f>
        <v>484.32</v>
      </c>
      <c r="E69" s="369"/>
    </row>
    <row r="70" spans="1:6" x14ac:dyDescent="0.2">
      <c r="A70" s="403"/>
      <c r="B70" s="403"/>
      <c r="C70" s="390"/>
      <c r="D70" s="391"/>
      <c r="E70" s="369"/>
    </row>
    <row r="71" spans="1:6" x14ac:dyDescent="0.2">
      <c r="A71" s="722" t="s">
        <v>103</v>
      </c>
      <c r="B71" s="722"/>
      <c r="C71" s="375" t="s">
        <v>97</v>
      </c>
      <c r="D71" s="376" t="s">
        <v>98</v>
      </c>
      <c r="E71" s="369"/>
      <c r="F71" s="38">
        <v>1.5</v>
      </c>
    </row>
    <row r="72" spans="1:6" x14ac:dyDescent="0.2">
      <c r="A72" s="401" t="s">
        <v>1</v>
      </c>
      <c r="B72" s="400" t="s">
        <v>47</v>
      </c>
      <c r="C72" s="397">
        <v>8.3299999999999999E-2</v>
      </c>
      <c r="D72" s="378">
        <f>ROUND($D$39*C72,2)</f>
        <v>109.63</v>
      </c>
      <c r="E72" s="369"/>
    </row>
    <row r="73" spans="1:6" x14ac:dyDescent="0.2">
      <c r="A73" s="401" t="s">
        <v>2</v>
      </c>
      <c r="B73" s="400" t="s">
        <v>48</v>
      </c>
      <c r="C73" s="397">
        <f>C88/3</f>
        <v>2.7799999999999998E-2</v>
      </c>
      <c r="D73" s="378">
        <f>ROUND($D$39*C73,2)</f>
        <v>36.590000000000003</v>
      </c>
      <c r="E73" s="369"/>
    </row>
    <row r="74" spans="1:6" x14ac:dyDescent="0.2">
      <c r="A74" s="725" t="s">
        <v>49</v>
      </c>
      <c r="B74" s="725"/>
      <c r="C74" s="402">
        <f>SUM(C72:C73)</f>
        <v>0.1111</v>
      </c>
      <c r="D74" s="388">
        <f>ROUND(SUM(D72:D73),2)</f>
        <v>146.22</v>
      </c>
      <c r="E74" s="369"/>
    </row>
    <row r="75" spans="1:6" x14ac:dyDescent="0.2">
      <c r="A75" s="401" t="s">
        <v>4</v>
      </c>
      <c r="B75" s="400" t="s">
        <v>50</v>
      </c>
      <c r="C75" s="397">
        <f>C69*C74</f>
        <v>4.0899999999999999E-2</v>
      </c>
      <c r="D75" s="378">
        <f>ROUND($D$39*C75,2)</f>
        <v>53.83</v>
      </c>
      <c r="E75" s="369"/>
    </row>
    <row r="76" spans="1:6" x14ac:dyDescent="0.2">
      <c r="A76" s="725" t="s">
        <v>46</v>
      </c>
      <c r="B76" s="725"/>
      <c r="C76" s="402">
        <f>C75+C74</f>
        <v>0.152</v>
      </c>
      <c r="D76" s="388">
        <f>ROUND(D75+D74,2)</f>
        <v>200.05</v>
      </c>
      <c r="E76" s="369"/>
    </row>
    <row r="77" spans="1:6" x14ac:dyDescent="0.2">
      <c r="A77" s="403"/>
      <c r="B77" s="403"/>
      <c r="C77" s="390"/>
      <c r="D77" s="391"/>
      <c r="E77" s="405"/>
    </row>
    <row r="78" spans="1:6" x14ac:dyDescent="0.2">
      <c r="A78" s="726" t="s">
        <v>356</v>
      </c>
      <c r="B78" s="727"/>
      <c r="C78" s="375" t="s">
        <v>97</v>
      </c>
      <c r="D78" s="376" t="s">
        <v>98</v>
      </c>
      <c r="E78" s="369"/>
    </row>
    <row r="79" spans="1:6" x14ac:dyDescent="0.2">
      <c r="A79" s="401" t="s">
        <v>1</v>
      </c>
      <c r="B79" s="400" t="s">
        <v>52</v>
      </c>
      <c r="C79" s="397">
        <v>1.6999999999999999E-3</v>
      </c>
      <c r="D79" s="378">
        <f t="shared" ref="D79:D84" si="1">ROUND($D$39*C79,2)</f>
        <v>2.2400000000000002</v>
      </c>
      <c r="E79" s="369"/>
    </row>
    <row r="80" spans="1:6" x14ac:dyDescent="0.2">
      <c r="A80" s="401" t="s">
        <v>2</v>
      </c>
      <c r="B80" s="400" t="s">
        <v>53</v>
      </c>
      <c r="C80" s="397">
        <f>C66*C79</f>
        <v>1E-4</v>
      </c>
      <c r="D80" s="378">
        <f t="shared" si="1"/>
        <v>0.13</v>
      </c>
      <c r="E80" s="369"/>
    </row>
    <row r="81" spans="1:5" x14ac:dyDescent="0.2">
      <c r="A81" s="401" t="s">
        <v>4</v>
      </c>
      <c r="B81" s="400" t="s">
        <v>54</v>
      </c>
      <c r="C81" s="397">
        <f>C66*10%</f>
        <v>8.0000000000000002E-3</v>
      </c>
      <c r="D81" s="378">
        <f t="shared" si="1"/>
        <v>10.53</v>
      </c>
      <c r="E81" s="369"/>
    </row>
    <row r="82" spans="1:5" x14ac:dyDescent="0.2">
      <c r="A82" s="14" t="s">
        <v>3</v>
      </c>
      <c r="B82" s="368" t="s">
        <v>55</v>
      </c>
      <c r="C82" s="397">
        <v>1.9400000000000001E-2</v>
      </c>
      <c r="D82" s="378">
        <f t="shared" si="1"/>
        <v>25.53</v>
      </c>
      <c r="E82" s="369"/>
    </row>
    <row r="83" spans="1:5" x14ac:dyDescent="0.2">
      <c r="A83" s="14" t="s">
        <v>18</v>
      </c>
      <c r="B83" s="368" t="s">
        <v>56</v>
      </c>
      <c r="C83" s="397">
        <f>C69*C82</f>
        <v>7.1000000000000004E-3</v>
      </c>
      <c r="D83" s="378">
        <f t="shared" si="1"/>
        <v>9.34</v>
      </c>
      <c r="E83" s="369"/>
    </row>
    <row r="84" spans="1:5" x14ac:dyDescent="0.2">
      <c r="A84" s="14" t="s">
        <v>19</v>
      </c>
      <c r="B84" s="368" t="s">
        <v>57</v>
      </c>
      <c r="C84" s="397">
        <v>4.4200000000000003E-2</v>
      </c>
      <c r="D84" s="378">
        <f t="shared" si="1"/>
        <v>58.17</v>
      </c>
      <c r="E84" s="369"/>
    </row>
    <row r="85" spans="1:5" x14ac:dyDescent="0.2">
      <c r="A85" s="725" t="s">
        <v>46</v>
      </c>
      <c r="B85" s="725"/>
      <c r="C85" s="402">
        <f>SUM(C79:C84)</f>
        <v>8.0500000000000002E-2</v>
      </c>
      <c r="D85" s="388">
        <f>ROUND(SUM(D79:D84),2)</f>
        <v>105.94</v>
      </c>
      <c r="E85" s="369"/>
    </row>
    <row r="86" spans="1:5" x14ac:dyDescent="0.2">
      <c r="A86" s="389"/>
      <c r="B86" s="389"/>
      <c r="C86" s="390"/>
      <c r="D86" s="391"/>
      <c r="E86" s="405"/>
    </row>
    <row r="87" spans="1:5" x14ac:dyDescent="0.2">
      <c r="A87" s="726" t="s">
        <v>357</v>
      </c>
      <c r="B87" s="727"/>
      <c r="C87" s="375" t="s">
        <v>97</v>
      </c>
      <c r="D87" s="376" t="s">
        <v>98</v>
      </c>
      <c r="E87" s="405"/>
    </row>
    <row r="88" spans="1:5" x14ac:dyDescent="0.2">
      <c r="A88" s="14" t="s">
        <v>1</v>
      </c>
      <c r="B88" s="368" t="s">
        <v>58</v>
      </c>
      <c r="C88" s="397">
        <v>8.3299999999999999E-2</v>
      </c>
      <c r="D88" s="378">
        <f t="shared" ref="D88:D95" si="2">ROUND($D$39*C88,2)</f>
        <v>109.63</v>
      </c>
      <c r="E88" s="405"/>
    </row>
    <row r="89" spans="1:5" x14ac:dyDescent="0.2">
      <c r="A89" s="14" t="s">
        <v>2</v>
      </c>
      <c r="B89" s="368" t="s">
        <v>59</v>
      </c>
      <c r="C89" s="397">
        <v>5.5999999999999999E-3</v>
      </c>
      <c r="D89" s="378">
        <f t="shared" si="2"/>
        <v>7.37</v>
      </c>
      <c r="E89" s="369"/>
    </row>
    <row r="90" spans="1:5" x14ac:dyDescent="0.2">
      <c r="A90" s="14" t="s">
        <v>4</v>
      </c>
      <c r="B90" s="400" t="s">
        <v>360</v>
      </c>
      <c r="C90" s="397">
        <v>6.9999999999999999E-4</v>
      </c>
      <c r="D90" s="378">
        <f t="shared" si="2"/>
        <v>0.92</v>
      </c>
      <c r="E90" s="369"/>
    </row>
    <row r="91" spans="1:5" x14ac:dyDescent="0.2">
      <c r="A91" s="14" t="s">
        <v>3</v>
      </c>
      <c r="B91" s="368" t="s">
        <v>60</v>
      </c>
      <c r="C91" s="397">
        <v>2.8E-3</v>
      </c>
      <c r="D91" s="378">
        <f t="shared" si="2"/>
        <v>3.69</v>
      </c>
      <c r="E91" s="369"/>
    </row>
    <row r="92" spans="1:5" x14ac:dyDescent="0.2">
      <c r="A92" s="14" t="s">
        <v>18</v>
      </c>
      <c r="B92" s="368" t="s">
        <v>61</v>
      </c>
      <c r="C92" s="397">
        <v>8.0000000000000004E-4</v>
      </c>
      <c r="D92" s="378">
        <f t="shared" si="2"/>
        <v>1.05</v>
      </c>
      <c r="E92" s="369"/>
    </row>
    <row r="93" spans="1:5" x14ac:dyDescent="0.2">
      <c r="A93" s="14" t="s">
        <v>19</v>
      </c>
      <c r="B93" s="400" t="s">
        <v>367</v>
      </c>
      <c r="C93" s="397">
        <v>2.0000000000000001E-4</v>
      </c>
      <c r="D93" s="378">
        <f t="shared" si="2"/>
        <v>0.26</v>
      </c>
      <c r="E93" s="369"/>
    </row>
    <row r="94" spans="1:5" x14ac:dyDescent="0.2">
      <c r="A94" s="725" t="s">
        <v>49</v>
      </c>
      <c r="B94" s="725"/>
      <c r="C94" s="402">
        <f>SUM(C88:C93)</f>
        <v>9.3399999999999997E-2</v>
      </c>
      <c r="D94" s="388">
        <f t="shared" si="2"/>
        <v>122.93</v>
      </c>
      <c r="E94" s="369"/>
    </row>
    <row r="95" spans="1:5" x14ac:dyDescent="0.2">
      <c r="A95" s="14" t="s">
        <v>20</v>
      </c>
      <c r="B95" s="368" t="s">
        <v>104</v>
      </c>
      <c r="C95" s="397">
        <f>C69*C94</f>
        <v>3.44E-2</v>
      </c>
      <c r="D95" s="378">
        <f t="shared" si="2"/>
        <v>45.27</v>
      </c>
      <c r="E95" s="369"/>
    </row>
    <row r="96" spans="1:5" x14ac:dyDescent="0.2">
      <c r="A96" s="725" t="s">
        <v>46</v>
      </c>
      <c r="B96" s="725"/>
      <c r="C96" s="402">
        <f>C95+C94</f>
        <v>0.1278</v>
      </c>
      <c r="D96" s="388">
        <f>ROUND(D95+D94,2)</f>
        <v>168.2</v>
      </c>
      <c r="E96" s="369"/>
    </row>
    <row r="97" spans="1:5" x14ac:dyDescent="0.2">
      <c r="A97" s="389"/>
      <c r="B97" s="389"/>
      <c r="C97" s="390"/>
      <c r="D97" s="391"/>
      <c r="E97" s="369"/>
    </row>
    <row r="98" spans="1:5" x14ac:dyDescent="0.2">
      <c r="A98" s="671" t="s">
        <v>62</v>
      </c>
      <c r="B98" s="671"/>
      <c r="C98" s="671"/>
      <c r="D98" s="671"/>
      <c r="E98" s="369"/>
    </row>
    <row r="99" spans="1:5" x14ac:dyDescent="0.2">
      <c r="A99" s="373">
        <v>4</v>
      </c>
      <c r="B99" s="722" t="s">
        <v>68</v>
      </c>
      <c r="C99" s="722"/>
      <c r="D99" s="376" t="s">
        <v>98</v>
      </c>
      <c r="E99" s="369"/>
    </row>
    <row r="100" spans="1:5" x14ac:dyDescent="0.2">
      <c r="A100" s="14" t="s">
        <v>63</v>
      </c>
      <c r="B100" s="406" t="s">
        <v>69</v>
      </c>
      <c r="C100" s="407">
        <f>C76</f>
        <v>0.152</v>
      </c>
      <c r="D100" s="378">
        <f>ROUND($D$39*C100,2)</f>
        <v>200.05</v>
      </c>
      <c r="E100" s="405"/>
    </row>
    <row r="101" spans="1:5" x14ac:dyDescent="0.2">
      <c r="A101" s="14" t="s">
        <v>64</v>
      </c>
      <c r="B101" s="406" t="s">
        <v>126</v>
      </c>
      <c r="C101" s="407">
        <f>C69</f>
        <v>0.36799999999999999</v>
      </c>
      <c r="D101" s="378">
        <f>ROUND($D$39*C101,2)</f>
        <v>484.33</v>
      </c>
      <c r="E101" s="369"/>
    </row>
    <row r="102" spans="1:5" x14ac:dyDescent="0.2">
      <c r="A102" s="401" t="s">
        <v>65</v>
      </c>
      <c r="B102" s="406" t="s">
        <v>70</v>
      </c>
      <c r="C102" s="407">
        <f>C85</f>
        <v>8.0500000000000002E-2</v>
      </c>
      <c r="D102" s="378">
        <f>ROUND($D$39*C102,2)</f>
        <v>105.95</v>
      </c>
      <c r="E102" s="369"/>
    </row>
    <row r="103" spans="1:5" x14ac:dyDescent="0.2">
      <c r="A103" s="401" t="s">
        <v>66</v>
      </c>
      <c r="B103" s="406" t="s">
        <v>71</v>
      </c>
      <c r="C103" s="407">
        <f>C96</f>
        <v>0.1278</v>
      </c>
      <c r="D103" s="378">
        <f>ROUND($D$39*C103,2)</f>
        <v>168.2</v>
      </c>
      <c r="E103" s="369"/>
    </row>
    <row r="104" spans="1:5" x14ac:dyDescent="0.2">
      <c r="A104" s="401" t="s">
        <v>67</v>
      </c>
      <c r="B104" s="406" t="s">
        <v>29</v>
      </c>
      <c r="C104" s="408"/>
      <c r="D104" s="378"/>
      <c r="E104" s="369"/>
    </row>
    <row r="105" spans="1:5" x14ac:dyDescent="0.2">
      <c r="A105" s="14"/>
      <c r="B105" s="409" t="s">
        <v>46</v>
      </c>
      <c r="C105" s="410">
        <f>SUM(C100:C104)</f>
        <v>0.72829999999999995</v>
      </c>
      <c r="D105" s="388">
        <f>ROUND($D$39*C105,2)</f>
        <v>958.53</v>
      </c>
      <c r="E105" s="369"/>
    </row>
    <row r="106" spans="1:5" x14ac:dyDescent="0.2">
      <c r="A106" s="389"/>
      <c r="B106" s="389"/>
      <c r="C106" s="390"/>
      <c r="D106" s="411">
        <f>ROUND(D105+D57+D49+D39,2)</f>
        <v>2679.35</v>
      </c>
      <c r="E106" s="369"/>
    </row>
    <row r="107" spans="1:5" x14ac:dyDescent="0.2">
      <c r="A107" s="373">
        <v>5</v>
      </c>
      <c r="B107" s="392" t="s">
        <v>72</v>
      </c>
      <c r="C107" s="375" t="s">
        <v>97</v>
      </c>
      <c r="D107" s="376" t="s">
        <v>98</v>
      </c>
      <c r="E107" s="405"/>
    </row>
    <row r="108" spans="1:5" x14ac:dyDescent="0.2">
      <c r="A108" s="14" t="s">
        <v>1</v>
      </c>
      <c r="B108" s="368" t="s">
        <v>73</v>
      </c>
      <c r="C108" s="397">
        <f>CURITIBA!C108</f>
        <v>1.5599999999999999E-2</v>
      </c>
      <c r="D108" s="378">
        <f>ROUND($D$106*C108,2)</f>
        <v>41.8</v>
      </c>
      <c r="E108" s="369"/>
    </row>
    <row r="109" spans="1:5" x14ac:dyDescent="0.2">
      <c r="A109" s="14" t="s">
        <v>2</v>
      </c>
      <c r="B109" s="368" t="s">
        <v>74</v>
      </c>
      <c r="C109" s="397"/>
      <c r="D109" s="378"/>
      <c r="E109" s="396"/>
    </row>
    <row r="110" spans="1:5" x14ac:dyDescent="0.2">
      <c r="A110" s="14" t="s">
        <v>105</v>
      </c>
      <c r="B110" s="368" t="s">
        <v>75</v>
      </c>
      <c r="C110" s="397">
        <v>0</v>
      </c>
      <c r="D110" s="378">
        <v>0</v>
      </c>
      <c r="E110" s="369"/>
    </row>
    <row r="111" spans="1:5" x14ac:dyDescent="0.2">
      <c r="A111" s="14" t="s">
        <v>106</v>
      </c>
      <c r="B111" s="368" t="s">
        <v>76</v>
      </c>
      <c r="C111" s="397">
        <v>0</v>
      </c>
      <c r="D111" s="378">
        <v>0</v>
      </c>
      <c r="E111" s="369"/>
    </row>
    <row r="112" spans="1:5" x14ac:dyDescent="0.2">
      <c r="A112" s="14" t="s">
        <v>107</v>
      </c>
      <c r="B112" s="368" t="s">
        <v>77</v>
      </c>
      <c r="C112" s="397">
        <v>1.6500000000000001E-2</v>
      </c>
      <c r="D112" s="378">
        <f>ROUND($F$115*C112,2)</f>
        <v>51.68</v>
      </c>
      <c r="E112" s="369"/>
    </row>
    <row r="113" spans="1:6" x14ac:dyDescent="0.2">
      <c r="A113" s="14" t="s">
        <v>108</v>
      </c>
      <c r="B113" s="368" t="s">
        <v>78</v>
      </c>
      <c r="C113" s="397">
        <v>7.5999999999999998E-2</v>
      </c>
      <c r="D113" s="378">
        <f>ROUND($F$115*C113,2)</f>
        <v>238.03</v>
      </c>
      <c r="E113" s="369"/>
      <c r="F113" s="39">
        <f>SUM(C110:C114)</f>
        <v>0.1225</v>
      </c>
    </row>
    <row r="114" spans="1:6" x14ac:dyDescent="0.2">
      <c r="A114" s="14" t="s">
        <v>109</v>
      </c>
      <c r="B114" s="368" t="s">
        <v>79</v>
      </c>
      <c r="C114" s="412">
        <v>0.03</v>
      </c>
      <c r="D114" s="378">
        <f>ROUND($F$115*C114,2)</f>
        <v>93.96</v>
      </c>
      <c r="E114" s="369"/>
      <c r="F114" s="40">
        <f>ROUND(D115+D108+D106,2)</f>
        <v>2748.36</v>
      </c>
    </row>
    <row r="115" spans="1:6" x14ac:dyDescent="0.2">
      <c r="A115" s="14" t="s">
        <v>4</v>
      </c>
      <c r="B115" s="368" t="s">
        <v>80</v>
      </c>
      <c r="C115" s="397">
        <f>CURITIBA!C115</f>
        <v>0.01</v>
      </c>
      <c r="D115" s="378">
        <f>ROUND(($D$106+D108)*C115,2)</f>
        <v>27.21</v>
      </c>
      <c r="E115" s="369"/>
      <c r="F115" s="41">
        <f>ROUND(F114/(1-F113),2)</f>
        <v>3132.03</v>
      </c>
    </row>
    <row r="116" spans="1:6" x14ac:dyDescent="0.2">
      <c r="A116" s="672" t="s">
        <v>46</v>
      </c>
      <c r="B116" s="723"/>
      <c r="C116" s="673"/>
      <c r="D116" s="388">
        <f>ROUND(SUM(D108:D115),2)</f>
        <v>452.68</v>
      </c>
      <c r="E116" s="369"/>
    </row>
    <row r="117" spans="1:6" x14ac:dyDescent="0.2">
      <c r="A117" s="389"/>
      <c r="B117" s="389"/>
      <c r="C117" s="390"/>
      <c r="D117" s="411"/>
      <c r="E117" s="369"/>
    </row>
    <row r="118" spans="1:6" x14ac:dyDescent="0.2">
      <c r="A118" s="671" t="s">
        <v>81</v>
      </c>
      <c r="B118" s="671"/>
      <c r="C118" s="671"/>
      <c r="D118" s="671"/>
      <c r="E118" s="369"/>
    </row>
    <row r="119" spans="1:6" x14ac:dyDescent="0.2">
      <c r="A119" s="725" t="s">
        <v>82</v>
      </c>
      <c r="B119" s="725"/>
      <c r="C119" s="725"/>
      <c r="D119" s="725"/>
      <c r="E119" s="369"/>
    </row>
    <row r="120" spans="1:6" x14ac:dyDescent="0.2">
      <c r="A120" s="14" t="s">
        <v>1</v>
      </c>
      <c r="B120" s="728" t="s">
        <v>83</v>
      </c>
      <c r="C120" s="728"/>
      <c r="D120" s="378">
        <f>D39</f>
        <v>1316.12</v>
      </c>
      <c r="E120" s="369"/>
    </row>
    <row r="121" spans="1:6" x14ac:dyDescent="0.2">
      <c r="A121" s="14" t="s">
        <v>2</v>
      </c>
      <c r="B121" s="728" t="s">
        <v>84</v>
      </c>
      <c r="C121" s="728"/>
      <c r="D121" s="378">
        <f>D49</f>
        <v>338.4</v>
      </c>
      <c r="E121" s="369"/>
    </row>
    <row r="122" spans="1:6" x14ac:dyDescent="0.2">
      <c r="A122" s="14" t="s">
        <v>4</v>
      </c>
      <c r="B122" s="728" t="s">
        <v>85</v>
      </c>
      <c r="C122" s="728"/>
      <c r="D122" s="378">
        <f>D57</f>
        <v>66.3</v>
      </c>
      <c r="E122" s="369"/>
    </row>
    <row r="123" spans="1:6" x14ac:dyDescent="0.2">
      <c r="A123" s="14" t="s">
        <v>3</v>
      </c>
      <c r="B123" s="728" t="s">
        <v>127</v>
      </c>
      <c r="C123" s="728"/>
      <c r="D123" s="378">
        <f>D105</f>
        <v>958.53</v>
      </c>
      <c r="E123" s="369"/>
    </row>
    <row r="124" spans="1:6" x14ac:dyDescent="0.2">
      <c r="A124" s="725" t="s">
        <v>49</v>
      </c>
      <c r="B124" s="725"/>
      <c r="C124" s="725"/>
      <c r="D124" s="388">
        <f>ROUND(SUM(D120:D123),2)</f>
        <v>2679.35</v>
      </c>
      <c r="E124" s="369"/>
    </row>
    <row r="125" spans="1:6" x14ac:dyDescent="0.2">
      <c r="A125" s="14" t="s">
        <v>18</v>
      </c>
      <c r="B125" s="729" t="s">
        <v>86</v>
      </c>
      <c r="C125" s="729"/>
      <c r="D125" s="378">
        <f>D116</f>
        <v>452.68</v>
      </c>
      <c r="E125" s="369"/>
    </row>
    <row r="126" spans="1:6" x14ac:dyDescent="0.2">
      <c r="A126" s="725" t="s">
        <v>87</v>
      </c>
      <c r="B126" s="725"/>
      <c r="C126" s="725"/>
      <c r="D126" s="388">
        <f>ROUND(D125+D124,2)</f>
        <v>3132.03</v>
      </c>
      <c r="E126" s="369"/>
    </row>
    <row r="127" spans="1:6" x14ac:dyDescent="0.2">
      <c r="A127" s="389"/>
      <c r="B127" s="389"/>
      <c r="C127" s="390"/>
      <c r="D127" s="391"/>
      <c r="E127" s="369"/>
    </row>
    <row r="128" spans="1:6" x14ac:dyDescent="0.2">
      <c r="A128" s="725" t="s">
        <v>110</v>
      </c>
      <c r="B128" s="725"/>
      <c r="C128" s="725"/>
      <c r="D128" s="725"/>
      <c r="E128" s="369"/>
    </row>
    <row r="129" spans="1:5" x14ac:dyDescent="0.2">
      <c r="A129" s="728" t="s">
        <v>13</v>
      </c>
      <c r="B129" s="728"/>
      <c r="C129" s="728"/>
      <c r="D129" s="378"/>
      <c r="E129" s="369"/>
    </row>
    <row r="130" spans="1:5" x14ac:dyDescent="0.2">
      <c r="A130" s="728" t="s">
        <v>88</v>
      </c>
      <c r="B130" s="728"/>
      <c r="C130" s="728"/>
      <c r="D130" s="378">
        <f>D126</f>
        <v>3132.03</v>
      </c>
      <c r="E130" s="414"/>
    </row>
    <row r="131" spans="1:5" x14ac:dyDescent="0.2">
      <c r="A131" s="728" t="s">
        <v>89</v>
      </c>
      <c r="B131" s="728"/>
      <c r="C131" s="728"/>
      <c r="D131" s="378">
        <v>1</v>
      </c>
      <c r="E131" s="414"/>
    </row>
    <row r="132" spans="1:5" x14ac:dyDescent="0.2">
      <c r="A132" s="728" t="s">
        <v>90</v>
      </c>
      <c r="B132" s="728"/>
      <c r="C132" s="728"/>
      <c r="D132" s="378">
        <f>ROUND(D131*D130,2)</f>
        <v>3132.03</v>
      </c>
      <c r="E132" s="414"/>
    </row>
    <row r="133" spans="1:5" x14ac:dyDescent="0.2">
      <c r="A133" s="728" t="s">
        <v>91</v>
      </c>
      <c r="B133" s="728"/>
      <c r="C133" s="728"/>
      <c r="D133" s="378">
        <f>C16</f>
        <v>1</v>
      </c>
      <c r="E133" s="414"/>
    </row>
    <row r="134" spans="1:5" x14ac:dyDescent="0.2">
      <c r="A134" s="722" t="s">
        <v>92</v>
      </c>
      <c r="B134" s="722"/>
      <c r="C134" s="722"/>
      <c r="D134" s="388">
        <f>ROUND(D133*D132,2)</f>
        <v>3132.03</v>
      </c>
      <c r="E134" s="414"/>
    </row>
    <row r="135" spans="1:5" x14ac:dyDescent="0.2">
      <c r="A135" s="389"/>
      <c r="B135" s="389"/>
      <c r="C135" s="390"/>
      <c r="D135" s="391"/>
      <c r="E135" s="414"/>
    </row>
    <row r="136" spans="1:5" x14ac:dyDescent="0.2">
      <c r="A136" s="725" t="s">
        <v>111</v>
      </c>
      <c r="B136" s="725"/>
      <c r="C136" s="725"/>
      <c r="D136" s="725"/>
      <c r="E136" s="369"/>
    </row>
    <row r="137" spans="1:5" x14ac:dyDescent="0.2">
      <c r="A137" s="14" t="s">
        <v>1</v>
      </c>
      <c r="B137" s="728" t="s">
        <v>93</v>
      </c>
      <c r="C137" s="728"/>
      <c r="D137" s="378">
        <f>D130</f>
        <v>3132.03</v>
      </c>
      <c r="E137" s="369"/>
    </row>
    <row r="138" spans="1:5" x14ac:dyDescent="0.2">
      <c r="A138" s="14" t="s">
        <v>2</v>
      </c>
      <c r="B138" s="728" t="s">
        <v>94</v>
      </c>
      <c r="C138" s="728"/>
      <c r="D138" s="378">
        <f>D134</f>
        <v>3132.03</v>
      </c>
      <c r="E138" s="369"/>
    </row>
    <row r="139" spans="1:5" x14ac:dyDescent="0.2">
      <c r="A139" s="373" t="s">
        <v>4</v>
      </c>
      <c r="B139" s="722" t="s">
        <v>95</v>
      </c>
      <c r="C139" s="722"/>
      <c r="D139" s="388">
        <f>ROUND(D138*12,2)</f>
        <v>37584.36</v>
      </c>
      <c r="E139" s="369"/>
    </row>
    <row r="140" spans="1:5" x14ac:dyDescent="0.2">
      <c r="A140" s="1"/>
    </row>
    <row r="141" spans="1:5" x14ac:dyDescent="0.2">
      <c r="A141" s="1"/>
    </row>
    <row r="142" spans="1:5" x14ac:dyDescent="0.2">
      <c r="A142" s="731" t="s">
        <v>382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730" t="s">
        <v>379</v>
      </c>
      <c r="B146" s="730"/>
    </row>
    <row r="147" spans="1:2" x14ac:dyDescent="0.2">
      <c r="A147" s="684" t="s">
        <v>380</v>
      </c>
      <c r="B147" s="684"/>
    </row>
  </sheetData>
  <mergeCells count="67">
    <mergeCell ref="A1:D1"/>
    <mergeCell ref="A7:D7"/>
    <mergeCell ref="C8:D8"/>
    <mergeCell ref="C9:D9"/>
    <mergeCell ref="C10:D10"/>
    <mergeCell ref="C11:D11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22:D22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A60:B60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116:C116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30:C130"/>
    <mergeCell ref="A131:C131"/>
    <mergeCell ref="A132:C132"/>
    <mergeCell ref="A133:C133"/>
    <mergeCell ref="A134:C134"/>
    <mergeCell ref="A136:D136"/>
    <mergeCell ref="B137:C137"/>
    <mergeCell ref="A147:B147"/>
    <mergeCell ref="B138:C138"/>
    <mergeCell ref="B139:C139"/>
    <mergeCell ref="A142:B142"/>
    <mergeCell ref="A145:B145"/>
    <mergeCell ref="A146:B146"/>
  </mergeCells>
  <dataValidations disablePrompts="1" count="1">
    <dataValidation type="list" allowBlank="1" showInputMessage="1" showErrorMessage="1" sqref="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35" sqref="G35"/>
    </sheetView>
  </sheetViews>
  <sheetFormatPr defaultRowHeight="12.75" x14ac:dyDescent="0.2"/>
  <cols>
    <col min="1" max="1" width="84.28515625" bestFit="1" customWidth="1"/>
    <col min="2" max="2" width="14.140625" customWidth="1"/>
    <col min="3" max="3" width="33.85546875" customWidth="1"/>
    <col min="4" max="4" width="47.85546875" bestFit="1" customWidth="1"/>
    <col min="5" max="5" width="13.28515625" bestFit="1" customWidth="1"/>
    <col min="6" max="6" width="9.5703125" bestFit="1" customWidth="1"/>
  </cols>
  <sheetData>
    <row r="1" spans="1:4" ht="31.5" x14ac:dyDescent="0.2">
      <c r="A1" s="86" t="s">
        <v>255</v>
      </c>
    </row>
    <row r="2" spans="1:4" ht="16.5" thickBot="1" x14ac:dyDescent="0.25">
      <c r="A2" s="87" t="s">
        <v>126</v>
      </c>
    </row>
    <row r="3" spans="1:4" ht="13.5" thickBot="1" x14ac:dyDescent="0.25">
      <c r="A3" s="88" t="s">
        <v>256</v>
      </c>
      <c r="B3" s="89" t="s">
        <v>97</v>
      </c>
      <c r="C3" s="89" t="s">
        <v>257</v>
      </c>
      <c r="D3" s="89" t="s">
        <v>258</v>
      </c>
    </row>
    <row r="4" spans="1:4" ht="13.5" thickBot="1" x14ac:dyDescent="0.25">
      <c r="A4" s="90" t="s">
        <v>337</v>
      </c>
      <c r="B4" s="91">
        <v>0.2</v>
      </c>
      <c r="C4" s="92" t="s">
        <v>259</v>
      </c>
      <c r="D4" s="93" t="s">
        <v>260</v>
      </c>
    </row>
    <row r="5" spans="1:4" ht="13.5" thickBot="1" x14ac:dyDescent="0.25">
      <c r="A5" s="90" t="s">
        <v>338</v>
      </c>
      <c r="B5" s="91">
        <v>1.4999999999999999E-2</v>
      </c>
      <c r="C5" s="92" t="s">
        <v>259</v>
      </c>
      <c r="D5" s="93" t="s">
        <v>262</v>
      </c>
    </row>
    <row r="6" spans="1:4" ht="13.5" thickBot="1" x14ac:dyDescent="0.25">
      <c r="A6" s="90" t="s">
        <v>339</v>
      </c>
      <c r="B6" s="91">
        <v>0.01</v>
      </c>
      <c r="C6" s="92" t="s">
        <v>259</v>
      </c>
      <c r="D6" s="93" t="s">
        <v>263</v>
      </c>
    </row>
    <row r="7" spans="1:4" ht="13.5" thickBot="1" x14ac:dyDescent="0.25">
      <c r="A7" s="90" t="s">
        <v>340</v>
      </c>
      <c r="B7" s="91">
        <v>2E-3</v>
      </c>
      <c r="C7" s="92" t="s">
        <v>259</v>
      </c>
      <c r="D7" s="93" t="s">
        <v>264</v>
      </c>
    </row>
    <row r="8" spans="1:4" ht="13.5" thickBot="1" x14ac:dyDescent="0.25">
      <c r="A8" s="90" t="s">
        <v>341</v>
      </c>
      <c r="B8" s="91">
        <v>2.5000000000000001E-2</v>
      </c>
      <c r="C8" s="92" t="s">
        <v>259</v>
      </c>
      <c r="D8" s="93" t="s">
        <v>345</v>
      </c>
    </row>
    <row r="9" spans="1:4" ht="13.5" thickBot="1" x14ac:dyDescent="0.25">
      <c r="A9" s="90" t="s">
        <v>342</v>
      </c>
      <c r="B9" s="91">
        <v>0.08</v>
      </c>
      <c r="C9" s="92" t="s">
        <v>259</v>
      </c>
      <c r="D9" s="93" t="s">
        <v>261</v>
      </c>
    </row>
    <row r="10" spans="1:4" ht="13.5" thickBot="1" x14ac:dyDescent="0.25">
      <c r="A10" s="90" t="s">
        <v>344</v>
      </c>
      <c r="B10" s="91">
        <v>6.0000000000000001E-3</v>
      </c>
      <c r="C10" s="92" t="s">
        <v>259</v>
      </c>
      <c r="D10" s="93" t="s">
        <v>265</v>
      </c>
    </row>
    <row r="11" spans="1:4" x14ac:dyDescent="0.2">
      <c r="A11" s="94" t="s">
        <v>343</v>
      </c>
    </row>
    <row r="12" spans="1:4" x14ac:dyDescent="0.2">
      <c r="A12" s="95" t="s">
        <v>266</v>
      </c>
    </row>
    <row r="13" spans="1:4" x14ac:dyDescent="0.2">
      <c r="A13" s="95" t="s">
        <v>267</v>
      </c>
    </row>
    <row r="14" spans="1:4" x14ac:dyDescent="0.2">
      <c r="A14" s="95" t="s">
        <v>335</v>
      </c>
    </row>
    <row r="15" spans="1:4" ht="13.5" thickBot="1" x14ac:dyDescent="0.25">
      <c r="A15" s="95" t="s">
        <v>336</v>
      </c>
      <c r="B15" s="109">
        <v>0.03</v>
      </c>
    </row>
    <row r="16" spans="1:4" ht="13.5" thickBot="1" x14ac:dyDescent="0.25">
      <c r="A16" s="96" t="s">
        <v>268</v>
      </c>
      <c r="B16" s="97">
        <f>SUM(B4:B15)</f>
        <v>0.36799999999999999</v>
      </c>
    </row>
    <row r="17" spans="1:4" x14ac:dyDescent="0.2">
      <c r="A17" s="98"/>
    </row>
    <row r="18" spans="1:4" ht="16.5" thickBot="1" x14ac:dyDescent="0.25">
      <c r="A18" s="87" t="s">
        <v>355</v>
      </c>
    </row>
    <row r="19" spans="1:4" ht="13.5" thickBot="1" x14ac:dyDescent="0.25">
      <c r="A19" s="88" t="s">
        <v>256</v>
      </c>
      <c r="B19" s="89" t="s">
        <v>97</v>
      </c>
      <c r="C19" s="89" t="s">
        <v>269</v>
      </c>
      <c r="D19" s="89" t="s">
        <v>258</v>
      </c>
    </row>
    <row r="20" spans="1:4" ht="13.5" thickBot="1" x14ac:dyDescent="0.25">
      <c r="A20" s="90" t="s">
        <v>346</v>
      </c>
      <c r="B20" s="91">
        <v>8.3330000000000001E-2</v>
      </c>
      <c r="C20" s="93" t="s">
        <v>270</v>
      </c>
      <c r="D20" s="93" t="s">
        <v>271</v>
      </c>
    </row>
    <row r="21" spans="1:4" ht="13.5" thickBot="1" x14ac:dyDescent="0.25">
      <c r="A21" s="90" t="s">
        <v>347</v>
      </c>
      <c r="B21" s="91">
        <v>0.11111</v>
      </c>
      <c r="C21" s="93" t="s">
        <v>272</v>
      </c>
      <c r="D21" s="93" t="s">
        <v>273</v>
      </c>
    </row>
    <row r="22" spans="1:4" ht="15.75" thickBot="1" x14ac:dyDescent="0.25">
      <c r="A22" s="90" t="s">
        <v>349</v>
      </c>
      <c r="B22" s="91">
        <v>1.9400000000000001E-2</v>
      </c>
      <c r="C22" s="93" t="s">
        <v>274</v>
      </c>
      <c r="D22" s="99" t="s">
        <v>275</v>
      </c>
    </row>
    <row r="23" spans="1:4" ht="15.75" thickBot="1" x14ac:dyDescent="0.25">
      <c r="A23" s="90" t="s">
        <v>350</v>
      </c>
      <c r="B23" s="91">
        <v>5.5999999999999999E-3</v>
      </c>
      <c r="C23" s="93" t="s">
        <v>364</v>
      </c>
      <c r="D23" s="93" t="s">
        <v>276</v>
      </c>
    </row>
    <row r="24" spans="1:4" ht="15.75" thickBot="1" x14ac:dyDescent="0.25">
      <c r="A24" s="90" t="s">
        <v>351</v>
      </c>
      <c r="B24" s="91">
        <v>8.0000000000000004E-4</v>
      </c>
      <c r="C24" s="93" t="s">
        <v>366</v>
      </c>
      <c r="D24" s="93" t="s">
        <v>277</v>
      </c>
    </row>
    <row r="25" spans="1:4" ht="15.75" thickBot="1" x14ac:dyDescent="0.25">
      <c r="A25" s="90" t="s">
        <v>352</v>
      </c>
      <c r="B25" s="91">
        <v>2.7699999999999999E-3</v>
      </c>
      <c r="C25" s="93" t="s">
        <v>278</v>
      </c>
      <c r="D25" s="93" t="s">
        <v>279</v>
      </c>
    </row>
    <row r="26" spans="1:4" ht="15.75" thickBot="1" x14ac:dyDescent="0.25">
      <c r="A26" s="100" t="s">
        <v>353</v>
      </c>
      <c r="B26" s="91">
        <v>7.3999999999999999E-4</v>
      </c>
      <c r="C26" s="93" t="s">
        <v>280</v>
      </c>
      <c r="D26" s="99" t="s">
        <v>281</v>
      </c>
    </row>
    <row r="27" spans="1:4" ht="15.75" thickBot="1" x14ac:dyDescent="0.25">
      <c r="A27" s="90" t="s">
        <v>354</v>
      </c>
      <c r="B27" s="91">
        <v>2.1000000000000001E-4</v>
      </c>
      <c r="C27" s="93" t="s">
        <v>282</v>
      </c>
      <c r="D27" s="93" t="s">
        <v>283</v>
      </c>
    </row>
    <row r="28" spans="1:4" ht="13.5" thickBot="1" x14ac:dyDescent="0.25">
      <c r="A28" s="90" t="s">
        <v>46</v>
      </c>
      <c r="B28" s="101">
        <f>SUM(B20:B27)</f>
        <v>0.224</v>
      </c>
      <c r="C28" s="92"/>
      <c r="D28" s="93"/>
    </row>
    <row r="29" spans="1:4" ht="18" x14ac:dyDescent="0.2">
      <c r="A29" s="102" t="s">
        <v>284</v>
      </c>
      <c r="C29" s="110"/>
    </row>
    <row r="30" spans="1:4" ht="15" x14ac:dyDescent="0.2">
      <c r="A30" s="103" t="s">
        <v>285</v>
      </c>
      <c r="C30" s="112"/>
    </row>
    <row r="31" spans="1:4" ht="15" x14ac:dyDescent="0.2">
      <c r="A31" s="103" t="s">
        <v>365</v>
      </c>
    </row>
    <row r="32" spans="1:4" ht="15" x14ac:dyDescent="0.2">
      <c r="A32" s="103" t="s">
        <v>286</v>
      </c>
    </row>
    <row r="33" spans="1:4" ht="15" x14ac:dyDescent="0.2">
      <c r="A33" s="761" t="s">
        <v>287</v>
      </c>
      <c r="B33" s="761"/>
      <c r="C33" s="761"/>
      <c r="D33" s="761"/>
    </row>
    <row r="34" spans="1:4" ht="15" x14ac:dyDescent="0.2">
      <c r="A34" s="761" t="s">
        <v>288</v>
      </c>
      <c r="B34" s="761"/>
      <c r="C34" s="761"/>
      <c r="D34" s="761"/>
    </row>
    <row r="35" spans="1:4" ht="16.5" thickBot="1" x14ac:dyDescent="0.25">
      <c r="A35" s="87" t="s">
        <v>289</v>
      </c>
    </row>
    <row r="36" spans="1:4" ht="13.5" thickBot="1" x14ac:dyDescent="0.25">
      <c r="A36" s="88" t="s">
        <v>256</v>
      </c>
      <c r="B36" s="89" t="s">
        <v>97</v>
      </c>
      <c r="C36" s="89" t="s">
        <v>269</v>
      </c>
      <c r="D36" s="89" t="s">
        <v>258</v>
      </c>
    </row>
    <row r="37" spans="1:4" ht="15.75" thickBot="1" x14ac:dyDescent="0.25">
      <c r="A37" s="90" t="s">
        <v>290</v>
      </c>
      <c r="B37" s="91">
        <v>1.6999999999999999E-3</v>
      </c>
      <c r="C37" s="93" t="s">
        <v>359</v>
      </c>
      <c r="D37" s="93" t="s">
        <v>291</v>
      </c>
    </row>
    <row r="38" spans="1:4" ht="15.75" thickBot="1" x14ac:dyDescent="0.25">
      <c r="A38" s="90" t="s">
        <v>292</v>
      </c>
      <c r="B38" s="91">
        <v>1.67E-3</v>
      </c>
      <c r="C38" s="93" t="s">
        <v>293</v>
      </c>
      <c r="D38" s="93" t="s">
        <v>294</v>
      </c>
    </row>
    <row r="39" spans="1:4" ht="15.75" thickBot="1" x14ac:dyDescent="0.25">
      <c r="A39" s="90" t="s">
        <v>295</v>
      </c>
      <c r="B39" s="91">
        <v>3.2000000000000001E-2</v>
      </c>
      <c r="C39" s="93" t="s">
        <v>296</v>
      </c>
      <c r="D39" s="93" t="s">
        <v>297</v>
      </c>
    </row>
    <row r="40" spans="1:4" ht="15.75" thickBot="1" x14ac:dyDescent="0.25">
      <c r="A40" s="90" t="s">
        <v>298</v>
      </c>
      <c r="B40" s="91">
        <v>5.9999999999999995E-4</v>
      </c>
      <c r="C40" s="93" t="s">
        <v>362</v>
      </c>
      <c r="D40" s="93" t="s">
        <v>297</v>
      </c>
    </row>
    <row r="41" spans="1:4" ht="15.75" thickBot="1" x14ac:dyDescent="0.25">
      <c r="A41" s="90" t="s">
        <v>299</v>
      </c>
      <c r="B41" s="91">
        <v>8.0000000000000002E-3</v>
      </c>
      <c r="C41" s="93" t="s">
        <v>300</v>
      </c>
      <c r="D41" s="93" t="s">
        <v>301</v>
      </c>
    </row>
    <row r="42" spans="1:4" ht="15.75" thickBot="1" x14ac:dyDescent="0.25">
      <c r="A42" s="90" t="s">
        <v>302</v>
      </c>
      <c r="B42" s="91">
        <v>2.0000000000000001E-4</v>
      </c>
      <c r="C42" s="93" t="s">
        <v>363</v>
      </c>
      <c r="D42" s="93" t="s">
        <v>301</v>
      </c>
    </row>
    <row r="43" spans="1:4" ht="13.5" thickBot="1" x14ac:dyDescent="0.25">
      <c r="A43" s="90" t="s">
        <v>46</v>
      </c>
      <c r="B43" s="101">
        <f>SUM(B37:B42)</f>
        <v>4.4200000000000003E-2</v>
      </c>
      <c r="C43" s="92"/>
      <c r="D43" s="93"/>
    </row>
    <row r="44" spans="1:4" ht="15" x14ac:dyDescent="0.2">
      <c r="A44" s="104" t="s">
        <v>358</v>
      </c>
      <c r="D44" s="108"/>
    </row>
    <row r="45" spans="1:4" ht="15" x14ac:dyDescent="0.2">
      <c r="A45" s="761" t="s">
        <v>303</v>
      </c>
      <c r="B45" s="761"/>
      <c r="C45" s="761"/>
    </row>
    <row r="46" spans="1:4" ht="15" x14ac:dyDescent="0.2">
      <c r="A46" s="42" t="s">
        <v>304</v>
      </c>
    </row>
    <row r="47" spans="1:4" ht="15" x14ac:dyDescent="0.2">
      <c r="A47" s="761" t="s">
        <v>361</v>
      </c>
      <c r="B47" s="761"/>
      <c r="C47" s="761"/>
    </row>
    <row r="48" spans="1:4" ht="15" x14ac:dyDescent="0.2">
      <c r="A48" s="104" t="s">
        <v>305</v>
      </c>
      <c r="D48" s="111"/>
    </row>
    <row r="49" spans="1:4" ht="15" x14ac:dyDescent="0.2">
      <c r="A49" s="761" t="s">
        <v>306</v>
      </c>
      <c r="B49" s="761"/>
      <c r="C49" s="761"/>
    </row>
    <row r="50" spans="1:4" ht="15.75" x14ac:dyDescent="0.2">
      <c r="A50" s="87" t="s">
        <v>307</v>
      </c>
    </row>
    <row r="51" spans="1:4" x14ac:dyDescent="0.2">
      <c r="A51" s="105" t="s">
        <v>308</v>
      </c>
    </row>
    <row r="52" spans="1:4" x14ac:dyDescent="0.2">
      <c r="A52" s="42" t="s">
        <v>309</v>
      </c>
    </row>
    <row r="53" spans="1:4" ht="16.5" thickBot="1" x14ac:dyDescent="0.25">
      <c r="A53" s="87" t="s">
        <v>310</v>
      </c>
    </row>
    <row r="54" spans="1:4" ht="13.5" thickBot="1" x14ac:dyDescent="0.25">
      <c r="A54" s="88" t="s">
        <v>256</v>
      </c>
      <c r="B54" s="89" t="s">
        <v>97</v>
      </c>
      <c r="C54" s="89" t="s">
        <v>269</v>
      </c>
      <c r="D54" s="89" t="s">
        <v>258</v>
      </c>
    </row>
    <row r="55" spans="1:4" x14ac:dyDescent="0.2">
      <c r="A55" s="755" t="s">
        <v>311</v>
      </c>
      <c r="B55" s="757">
        <v>3.3E-4</v>
      </c>
      <c r="C55" s="106" t="s">
        <v>312</v>
      </c>
      <c r="D55" s="759" t="s">
        <v>314</v>
      </c>
    </row>
    <row r="56" spans="1:4" ht="13.5" thickBot="1" x14ac:dyDescent="0.25">
      <c r="A56" s="756"/>
      <c r="B56" s="758"/>
      <c r="C56" s="93" t="s">
        <v>313</v>
      </c>
      <c r="D56" s="760"/>
    </row>
    <row r="57" spans="1:4" ht="26.25" thickBot="1" x14ac:dyDescent="0.25">
      <c r="A57" s="100" t="s">
        <v>315</v>
      </c>
      <c r="B57" s="91">
        <v>2.5999999999999998E-4</v>
      </c>
      <c r="C57" s="93" t="s">
        <v>316</v>
      </c>
      <c r="D57" s="92" t="s">
        <v>259</v>
      </c>
    </row>
    <row r="58" spans="1:4" ht="13.5" thickBot="1" x14ac:dyDescent="0.25">
      <c r="A58" s="90" t="s">
        <v>46</v>
      </c>
      <c r="B58" s="101">
        <v>5.9999999999999995E-4</v>
      </c>
      <c r="C58" s="92"/>
      <c r="D58" s="93"/>
    </row>
    <row r="59" spans="1:4" ht="40.5" x14ac:dyDescent="0.2">
      <c r="A59" s="103" t="s">
        <v>317</v>
      </c>
    </row>
    <row r="60" spans="1:4" ht="15.75" x14ac:dyDescent="0.2">
      <c r="A60" s="87" t="s">
        <v>318</v>
      </c>
    </row>
    <row r="61" spans="1:4" x14ac:dyDescent="0.2">
      <c r="A61" s="98"/>
    </row>
    <row r="62" spans="1:4" x14ac:dyDescent="0.2">
      <c r="A62" s="94" t="s">
        <v>319</v>
      </c>
    </row>
    <row r="63" spans="1:4" x14ac:dyDescent="0.2">
      <c r="A63" s="42" t="s">
        <v>320</v>
      </c>
    </row>
    <row r="64" spans="1:4" x14ac:dyDescent="0.2">
      <c r="A64" s="42" t="s">
        <v>321</v>
      </c>
    </row>
    <row r="65" spans="1:1" x14ac:dyDescent="0.2">
      <c r="A65" s="42" t="s">
        <v>322</v>
      </c>
    </row>
    <row r="66" spans="1:1" x14ac:dyDescent="0.2">
      <c r="A66" s="42" t="s">
        <v>323</v>
      </c>
    </row>
    <row r="67" spans="1:1" x14ac:dyDescent="0.2">
      <c r="A67" s="42" t="s">
        <v>324</v>
      </c>
    </row>
    <row r="68" spans="1:1" x14ac:dyDescent="0.2">
      <c r="A68" s="42" t="s">
        <v>325</v>
      </c>
    </row>
    <row r="69" spans="1:1" x14ac:dyDescent="0.2">
      <c r="A69" s="42" t="s">
        <v>326</v>
      </c>
    </row>
    <row r="70" spans="1:1" ht="15.75" x14ac:dyDescent="0.2">
      <c r="A70" s="87" t="s">
        <v>327</v>
      </c>
    </row>
    <row r="71" spans="1:1" x14ac:dyDescent="0.2">
      <c r="A71" s="98"/>
    </row>
    <row r="72" spans="1:1" x14ac:dyDescent="0.2">
      <c r="A72" s="95" t="s">
        <v>368</v>
      </c>
    </row>
    <row r="73" spans="1:1" ht="25.5" x14ac:dyDescent="0.2">
      <c r="A73" s="95" t="s">
        <v>369</v>
      </c>
    </row>
    <row r="74" spans="1:1" x14ac:dyDescent="0.2">
      <c r="A74" s="95" t="s">
        <v>370</v>
      </c>
    </row>
    <row r="75" spans="1:1" ht="25.5" x14ac:dyDescent="0.2">
      <c r="A75" s="95" t="s">
        <v>371</v>
      </c>
    </row>
    <row r="76" spans="1:1" x14ac:dyDescent="0.2">
      <c r="A76" s="95" t="s">
        <v>372</v>
      </c>
    </row>
    <row r="77" spans="1:1" ht="25.5" x14ac:dyDescent="0.2">
      <c r="A77" s="95" t="s">
        <v>373</v>
      </c>
    </row>
    <row r="78" spans="1:1" ht="38.25" x14ac:dyDescent="0.2">
      <c r="A78" s="95" t="s">
        <v>376</v>
      </c>
    </row>
    <row r="79" spans="1:1" x14ac:dyDescent="0.2">
      <c r="A79" s="95" t="s">
        <v>377</v>
      </c>
    </row>
    <row r="80" spans="1:1" x14ac:dyDescent="0.2">
      <c r="A80" s="95" t="s">
        <v>378</v>
      </c>
    </row>
    <row r="81" spans="1:6" x14ac:dyDescent="0.2">
      <c r="A81" s="95" t="s">
        <v>328</v>
      </c>
    </row>
    <row r="82" spans="1:6" x14ac:dyDescent="0.2">
      <c r="A82" s="95" t="s">
        <v>329</v>
      </c>
    </row>
    <row r="83" spans="1:6" x14ac:dyDescent="0.2">
      <c r="A83" s="95" t="s">
        <v>330</v>
      </c>
    </row>
    <row r="84" spans="1:6" x14ac:dyDescent="0.2">
      <c r="A84" s="107"/>
    </row>
    <row r="85" spans="1:6" ht="15.75" x14ac:dyDescent="0.2">
      <c r="A85" s="87" t="s">
        <v>331</v>
      </c>
    </row>
    <row r="86" spans="1:6" x14ac:dyDescent="0.2">
      <c r="A86" s="98"/>
    </row>
    <row r="87" spans="1:6" ht="51" x14ac:dyDescent="0.2">
      <c r="A87" s="95" t="s">
        <v>406</v>
      </c>
    </row>
    <row r="88" spans="1:6" x14ac:dyDescent="0.2">
      <c r="A88" s="95"/>
      <c r="F88">
        <v>470</v>
      </c>
    </row>
    <row r="89" spans="1:6" x14ac:dyDescent="0.2">
      <c r="A89" s="113" t="s">
        <v>394</v>
      </c>
      <c r="B89" s="114">
        <v>5340</v>
      </c>
      <c r="E89" s="29"/>
    </row>
    <row r="90" spans="1:6" x14ac:dyDescent="0.2">
      <c r="A90" s="113" t="s">
        <v>395</v>
      </c>
      <c r="B90" s="114">
        <v>600</v>
      </c>
      <c r="E90" s="29"/>
    </row>
    <row r="91" spans="1:6" x14ac:dyDescent="0.2">
      <c r="A91" s="113" t="s">
        <v>396</v>
      </c>
      <c r="B91" s="114">
        <v>257</v>
      </c>
      <c r="E91" s="29"/>
    </row>
    <row r="92" spans="1:6" x14ac:dyDescent="0.2">
      <c r="A92" s="113" t="s">
        <v>397</v>
      </c>
      <c r="B92" s="114">
        <v>800</v>
      </c>
      <c r="E92" s="29"/>
    </row>
    <row r="93" spans="1:6" x14ac:dyDescent="0.2">
      <c r="A93" s="113" t="s">
        <v>398</v>
      </c>
      <c r="B93" s="114">
        <v>75</v>
      </c>
      <c r="E93" s="29"/>
    </row>
    <row r="94" spans="1:6" x14ac:dyDescent="0.2">
      <c r="A94" s="113" t="s">
        <v>399</v>
      </c>
      <c r="B94" s="114">
        <v>1000</v>
      </c>
      <c r="E94" s="29"/>
    </row>
    <row r="95" spans="1:6" x14ac:dyDescent="0.2">
      <c r="A95" s="113" t="s">
        <v>400</v>
      </c>
      <c r="B95" s="114">
        <v>350</v>
      </c>
      <c r="E95" s="29"/>
    </row>
    <row r="96" spans="1:6" x14ac:dyDescent="0.2">
      <c r="A96" s="113" t="s">
        <v>401</v>
      </c>
      <c r="B96" s="114">
        <v>2500</v>
      </c>
      <c r="E96" s="29"/>
    </row>
    <row r="97" spans="1:6" x14ac:dyDescent="0.2">
      <c r="A97" s="113" t="s">
        <v>402</v>
      </c>
      <c r="B97" s="114">
        <v>1500</v>
      </c>
      <c r="E97" s="29"/>
    </row>
    <row r="98" spans="1:6" x14ac:dyDescent="0.2">
      <c r="A98" s="113" t="s">
        <v>403</v>
      </c>
      <c r="B98" s="114">
        <f>SUM(B89:B97)</f>
        <v>12422</v>
      </c>
      <c r="E98" s="29"/>
    </row>
    <row r="99" spans="1:6" x14ac:dyDescent="0.2">
      <c r="A99" s="94" t="s">
        <v>404</v>
      </c>
      <c r="B99" s="115">
        <v>470</v>
      </c>
      <c r="E99" s="29"/>
    </row>
    <row r="100" spans="1:6" x14ac:dyDescent="0.2">
      <c r="A100" s="94" t="s">
        <v>405</v>
      </c>
      <c r="B100" s="116">
        <f>B98/B99</f>
        <v>26.43</v>
      </c>
      <c r="E100" s="29"/>
    </row>
    <row r="101" spans="1:6" x14ac:dyDescent="0.2">
      <c r="A101" s="94"/>
      <c r="B101" s="32"/>
      <c r="E101" s="29"/>
    </row>
    <row r="102" spans="1:6" x14ac:dyDescent="0.2">
      <c r="A102" s="94"/>
      <c r="B102" s="32"/>
      <c r="E102" s="29"/>
    </row>
    <row r="103" spans="1:6" ht="15.75" x14ac:dyDescent="0.2">
      <c r="A103" s="87" t="s">
        <v>332</v>
      </c>
      <c r="E103" s="29"/>
    </row>
    <row r="104" spans="1:6" x14ac:dyDescent="0.2">
      <c r="A104" s="95" t="s">
        <v>348</v>
      </c>
      <c r="E104" s="29"/>
      <c r="F104" s="31"/>
    </row>
    <row r="105" spans="1:6" x14ac:dyDescent="0.2">
      <c r="A105" s="94" t="s">
        <v>333</v>
      </c>
    </row>
    <row r="106" spans="1:6" ht="25.5" x14ac:dyDescent="0.2">
      <c r="A106" s="95" t="s">
        <v>334</v>
      </c>
    </row>
  </sheetData>
  <mergeCells count="8">
    <mergeCell ref="A55:A56"/>
    <mergeCell ref="B55:B56"/>
    <mergeCell ref="D55:D56"/>
    <mergeCell ref="A33:D33"/>
    <mergeCell ref="A34:D34"/>
    <mergeCell ref="A47:C47"/>
    <mergeCell ref="A45:C45"/>
    <mergeCell ref="A49:C49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6"/>
  <sheetViews>
    <sheetView showGridLines="0" view="pageBreakPreview" zoomScaleNormal="85" zoomScaleSheetLayoutView="100" workbookViewId="0">
      <selection activeCell="A32" sqref="A32"/>
    </sheetView>
  </sheetViews>
  <sheetFormatPr defaultRowHeight="12.75" x14ac:dyDescent="0.2"/>
  <cols>
    <col min="1" max="1" width="16.5703125" style="128" customWidth="1"/>
    <col min="2" max="2" width="60.140625" style="128" customWidth="1"/>
    <col min="3" max="3" width="11.5703125" style="152" customWidth="1"/>
    <col min="4" max="4" width="22.85546875" style="153" customWidth="1"/>
    <col min="5" max="5" width="28" style="33" bestFit="1" customWidth="1"/>
    <col min="6" max="6" width="51.85546875" style="37" hidden="1" customWidth="1"/>
    <col min="7" max="7" width="32" style="128" bestFit="1" customWidth="1"/>
    <col min="8" max="8" width="26.85546875" style="146" bestFit="1" customWidth="1"/>
    <col min="9" max="253" width="9.140625" style="128"/>
    <col min="254" max="254" width="4.42578125" style="128" customWidth="1"/>
    <col min="255" max="255" width="60.140625" style="128" customWidth="1"/>
    <col min="256" max="256" width="11.5703125" style="128" customWidth="1"/>
    <col min="257" max="257" width="22.85546875" style="128" customWidth="1"/>
    <col min="258" max="258" width="14.7109375" style="128" customWidth="1"/>
    <col min="259" max="259" width="51.85546875" style="128" customWidth="1"/>
    <col min="260" max="260" width="9.7109375" style="128" bestFit="1" customWidth="1"/>
    <col min="261" max="509" width="9.140625" style="128"/>
    <col min="510" max="510" width="4.42578125" style="128" customWidth="1"/>
    <col min="511" max="511" width="60.140625" style="128" customWidth="1"/>
    <col min="512" max="512" width="11.5703125" style="128" customWidth="1"/>
    <col min="513" max="513" width="22.85546875" style="128" customWidth="1"/>
    <col min="514" max="514" width="14.7109375" style="128" customWidth="1"/>
    <col min="515" max="515" width="51.85546875" style="128" customWidth="1"/>
    <col min="516" max="516" width="9.7109375" style="128" bestFit="1" customWidth="1"/>
    <col min="517" max="765" width="9.140625" style="128"/>
    <col min="766" max="766" width="4.42578125" style="128" customWidth="1"/>
    <col min="767" max="767" width="60.140625" style="128" customWidth="1"/>
    <col min="768" max="768" width="11.5703125" style="128" customWidth="1"/>
    <col min="769" max="769" width="22.85546875" style="128" customWidth="1"/>
    <col min="770" max="770" width="14.7109375" style="128" customWidth="1"/>
    <col min="771" max="771" width="51.85546875" style="128" customWidth="1"/>
    <col min="772" max="772" width="9.7109375" style="128" bestFit="1" customWidth="1"/>
    <col min="773" max="1021" width="9.140625" style="128"/>
    <col min="1022" max="1022" width="4.42578125" style="128" customWidth="1"/>
    <col min="1023" max="1023" width="60.140625" style="128" customWidth="1"/>
    <col min="1024" max="1024" width="11.5703125" style="128" customWidth="1"/>
    <col min="1025" max="1025" width="22.85546875" style="128" customWidth="1"/>
    <col min="1026" max="1026" width="14.7109375" style="128" customWidth="1"/>
    <col min="1027" max="1027" width="51.85546875" style="128" customWidth="1"/>
    <col min="1028" max="1028" width="9.7109375" style="128" bestFit="1" customWidth="1"/>
    <col min="1029" max="1277" width="9.140625" style="128"/>
    <col min="1278" max="1278" width="4.42578125" style="128" customWidth="1"/>
    <col min="1279" max="1279" width="60.140625" style="128" customWidth="1"/>
    <col min="1280" max="1280" width="11.5703125" style="128" customWidth="1"/>
    <col min="1281" max="1281" width="22.85546875" style="128" customWidth="1"/>
    <col min="1282" max="1282" width="14.7109375" style="128" customWidth="1"/>
    <col min="1283" max="1283" width="51.85546875" style="128" customWidth="1"/>
    <col min="1284" max="1284" width="9.7109375" style="128" bestFit="1" customWidth="1"/>
    <col min="1285" max="1533" width="9.140625" style="128"/>
    <col min="1534" max="1534" width="4.42578125" style="128" customWidth="1"/>
    <col min="1535" max="1535" width="60.140625" style="128" customWidth="1"/>
    <col min="1536" max="1536" width="11.5703125" style="128" customWidth="1"/>
    <col min="1537" max="1537" width="22.85546875" style="128" customWidth="1"/>
    <col min="1538" max="1538" width="14.7109375" style="128" customWidth="1"/>
    <col min="1539" max="1539" width="51.85546875" style="128" customWidth="1"/>
    <col min="1540" max="1540" width="9.7109375" style="128" bestFit="1" customWidth="1"/>
    <col min="1541" max="1789" width="9.140625" style="128"/>
    <col min="1790" max="1790" width="4.42578125" style="128" customWidth="1"/>
    <col min="1791" max="1791" width="60.140625" style="128" customWidth="1"/>
    <col min="1792" max="1792" width="11.5703125" style="128" customWidth="1"/>
    <col min="1793" max="1793" width="22.85546875" style="128" customWidth="1"/>
    <col min="1794" max="1794" width="14.7109375" style="128" customWidth="1"/>
    <col min="1795" max="1795" width="51.85546875" style="128" customWidth="1"/>
    <col min="1796" max="1796" width="9.7109375" style="128" bestFit="1" customWidth="1"/>
    <col min="1797" max="2045" width="9.140625" style="128"/>
    <col min="2046" max="2046" width="4.42578125" style="128" customWidth="1"/>
    <col min="2047" max="2047" width="60.140625" style="128" customWidth="1"/>
    <col min="2048" max="2048" width="11.5703125" style="128" customWidth="1"/>
    <col min="2049" max="2049" width="22.85546875" style="128" customWidth="1"/>
    <col min="2050" max="2050" width="14.7109375" style="128" customWidth="1"/>
    <col min="2051" max="2051" width="51.85546875" style="128" customWidth="1"/>
    <col min="2052" max="2052" width="9.7109375" style="128" bestFit="1" customWidth="1"/>
    <col min="2053" max="2301" width="9.140625" style="128"/>
    <col min="2302" max="2302" width="4.42578125" style="128" customWidth="1"/>
    <col min="2303" max="2303" width="60.140625" style="128" customWidth="1"/>
    <col min="2304" max="2304" width="11.5703125" style="128" customWidth="1"/>
    <col min="2305" max="2305" width="22.85546875" style="128" customWidth="1"/>
    <col min="2306" max="2306" width="14.7109375" style="128" customWidth="1"/>
    <col min="2307" max="2307" width="51.85546875" style="128" customWidth="1"/>
    <col min="2308" max="2308" width="9.7109375" style="128" bestFit="1" customWidth="1"/>
    <col min="2309" max="2557" width="9.140625" style="128"/>
    <col min="2558" max="2558" width="4.42578125" style="128" customWidth="1"/>
    <col min="2559" max="2559" width="60.140625" style="128" customWidth="1"/>
    <col min="2560" max="2560" width="11.5703125" style="128" customWidth="1"/>
    <col min="2561" max="2561" width="22.85546875" style="128" customWidth="1"/>
    <col min="2562" max="2562" width="14.7109375" style="128" customWidth="1"/>
    <col min="2563" max="2563" width="51.85546875" style="128" customWidth="1"/>
    <col min="2564" max="2564" width="9.7109375" style="128" bestFit="1" customWidth="1"/>
    <col min="2565" max="2813" width="9.140625" style="128"/>
    <col min="2814" max="2814" width="4.42578125" style="128" customWidth="1"/>
    <col min="2815" max="2815" width="60.140625" style="128" customWidth="1"/>
    <col min="2816" max="2816" width="11.5703125" style="128" customWidth="1"/>
    <col min="2817" max="2817" width="22.85546875" style="128" customWidth="1"/>
    <col min="2818" max="2818" width="14.7109375" style="128" customWidth="1"/>
    <col min="2819" max="2819" width="51.85546875" style="128" customWidth="1"/>
    <col min="2820" max="2820" width="9.7109375" style="128" bestFit="1" customWidth="1"/>
    <col min="2821" max="3069" width="9.140625" style="128"/>
    <col min="3070" max="3070" width="4.42578125" style="128" customWidth="1"/>
    <col min="3071" max="3071" width="60.140625" style="128" customWidth="1"/>
    <col min="3072" max="3072" width="11.5703125" style="128" customWidth="1"/>
    <col min="3073" max="3073" width="22.85546875" style="128" customWidth="1"/>
    <col min="3074" max="3074" width="14.7109375" style="128" customWidth="1"/>
    <col min="3075" max="3075" width="51.85546875" style="128" customWidth="1"/>
    <col min="3076" max="3076" width="9.7109375" style="128" bestFit="1" customWidth="1"/>
    <col min="3077" max="3325" width="9.140625" style="128"/>
    <col min="3326" max="3326" width="4.42578125" style="128" customWidth="1"/>
    <col min="3327" max="3327" width="60.140625" style="128" customWidth="1"/>
    <col min="3328" max="3328" width="11.5703125" style="128" customWidth="1"/>
    <col min="3329" max="3329" width="22.85546875" style="128" customWidth="1"/>
    <col min="3330" max="3330" width="14.7109375" style="128" customWidth="1"/>
    <col min="3331" max="3331" width="51.85546875" style="128" customWidth="1"/>
    <col min="3332" max="3332" width="9.7109375" style="128" bestFit="1" customWidth="1"/>
    <col min="3333" max="3581" width="9.140625" style="128"/>
    <col min="3582" max="3582" width="4.42578125" style="128" customWidth="1"/>
    <col min="3583" max="3583" width="60.140625" style="128" customWidth="1"/>
    <col min="3584" max="3584" width="11.5703125" style="128" customWidth="1"/>
    <col min="3585" max="3585" width="22.85546875" style="128" customWidth="1"/>
    <col min="3586" max="3586" width="14.7109375" style="128" customWidth="1"/>
    <col min="3587" max="3587" width="51.85546875" style="128" customWidth="1"/>
    <col min="3588" max="3588" width="9.7109375" style="128" bestFit="1" customWidth="1"/>
    <col min="3589" max="3837" width="9.140625" style="128"/>
    <col min="3838" max="3838" width="4.42578125" style="128" customWidth="1"/>
    <col min="3839" max="3839" width="60.140625" style="128" customWidth="1"/>
    <col min="3840" max="3840" width="11.5703125" style="128" customWidth="1"/>
    <col min="3841" max="3841" width="22.85546875" style="128" customWidth="1"/>
    <col min="3842" max="3842" width="14.7109375" style="128" customWidth="1"/>
    <col min="3843" max="3843" width="51.85546875" style="128" customWidth="1"/>
    <col min="3844" max="3844" width="9.7109375" style="128" bestFit="1" customWidth="1"/>
    <col min="3845" max="4093" width="9.140625" style="128"/>
    <col min="4094" max="4094" width="4.42578125" style="128" customWidth="1"/>
    <col min="4095" max="4095" width="60.140625" style="128" customWidth="1"/>
    <col min="4096" max="4096" width="11.5703125" style="128" customWidth="1"/>
    <col min="4097" max="4097" width="22.85546875" style="128" customWidth="1"/>
    <col min="4098" max="4098" width="14.7109375" style="128" customWidth="1"/>
    <col min="4099" max="4099" width="51.85546875" style="128" customWidth="1"/>
    <col min="4100" max="4100" width="9.7109375" style="128" bestFit="1" customWidth="1"/>
    <col min="4101" max="4349" width="9.140625" style="128"/>
    <col min="4350" max="4350" width="4.42578125" style="128" customWidth="1"/>
    <col min="4351" max="4351" width="60.140625" style="128" customWidth="1"/>
    <col min="4352" max="4352" width="11.5703125" style="128" customWidth="1"/>
    <col min="4353" max="4353" width="22.85546875" style="128" customWidth="1"/>
    <col min="4354" max="4354" width="14.7109375" style="128" customWidth="1"/>
    <col min="4355" max="4355" width="51.85546875" style="128" customWidth="1"/>
    <col min="4356" max="4356" width="9.7109375" style="128" bestFit="1" customWidth="1"/>
    <col min="4357" max="4605" width="9.140625" style="128"/>
    <col min="4606" max="4606" width="4.42578125" style="128" customWidth="1"/>
    <col min="4607" max="4607" width="60.140625" style="128" customWidth="1"/>
    <col min="4608" max="4608" width="11.5703125" style="128" customWidth="1"/>
    <col min="4609" max="4609" width="22.85546875" style="128" customWidth="1"/>
    <col min="4610" max="4610" width="14.7109375" style="128" customWidth="1"/>
    <col min="4611" max="4611" width="51.85546875" style="128" customWidth="1"/>
    <col min="4612" max="4612" width="9.7109375" style="128" bestFit="1" customWidth="1"/>
    <col min="4613" max="4861" width="9.140625" style="128"/>
    <col min="4862" max="4862" width="4.42578125" style="128" customWidth="1"/>
    <col min="4863" max="4863" width="60.140625" style="128" customWidth="1"/>
    <col min="4864" max="4864" width="11.5703125" style="128" customWidth="1"/>
    <col min="4865" max="4865" width="22.85546875" style="128" customWidth="1"/>
    <col min="4866" max="4866" width="14.7109375" style="128" customWidth="1"/>
    <col min="4867" max="4867" width="51.85546875" style="128" customWidth="1"/>
    <col min="4868" max="4868" width="9.7109375" style="128" bestFit="1" customWidth="1"/>
    <col min="4869" max="5117" width="9.140625" style="128"/>
    <col min="5118" max="5118" width="4.42578125" style="128" customWidth="1"/>
    <col min="5119" max="5119" width="60.140625" style="128" customWidth="1"/>
    <col min="5120" max="5120" width="11.5703125" style="128" customWidth="1"/>
    <col min="5121" max="5121" width="22.85546875" style="128" customWidth="1"/>
    <col min="5122" max="5122" width="14.7109375" style="128" customWidth="1"/>
    <col min="5123" max="5123" width="51.85546875" style="128" customWidth="1"/>
    <col min="5124" max="5124" width="9.7109375" style="128" bestFit="1" customWidth="1"/>
    <col min="5125" max="5373" width="9.140625" style="128"/>
    <col min="5374" max="5374" width="4.42578125" style="128" customWidth="1"/>
    <col min="5375" max="5375" width="60.140625" style="128" customWidth="1"/>
    <col min="5376" max="5376" width="11.5703125" style="128" customWidth="1"/>
    <col min="5377" max="5377" width="22.85546875" style="128" customWidth="1"/>
    <col min="5378" max="5378" width="14.7109375" style="128" customWidth="1"/>
    <col min="5379" max="5379" width="51.85546875" style="128" customWidth="1"/>
    <col min="5380" max="5380" width="9.7109375" style="128" bestFit="1" customWidth="1"/>
    <col min="5381" max="5629" width="9.140625" style="128"/>
    <col min="5630" max="5630" width="4.42578125" style="128" customWidth="1"/>
    <col min="5631" max="5631" width="60.140625" style="128" customWidth="1"/>
    <col min="5632" max="5632" width="11.5703125" style="128" customWidth="1"/>
    <col min="5633" max="5633" width="22.85546875" style="128" customWidth="1"/>
    <col min="5634" max="5634" width="14.7109375" style="128" customWidth="1"/>
    <col min="5635" max="5635" width="51.85546875" style="128" customWidth="1"/>
    <col min="5636" max="5636" width="9.7109375" style="128" bestFit="1" customWidth="1"/>
    <col min="5637" max="5885" width="9.140625" style="128"/>
    <col min="5886" max="5886" width="4.42578125" style="128" customWidth="1"/>
    <col min="5887" max="5887" width="60.140625" style="128" customWidth="1"/>
    <col min="5888" max="5888" width="11.5703125" style="128" customWidth="1"/>
    <col min="5889" max="5889" width="22.85546875" style="128" customWidth="1"/>
    <col min="5890" max="5890" width="14.7109375" style="128" customWidth="1"/>
    <col min="5891" max="5891" width="51.85546875" style="128" customWidth="1"/>
    <col min="5892" max="5892" width="9.7109375" style="128" bestFit="1" customWidth="1"/>
    <col min="5893" max="6141" width="9.140625" style="128"/>
    <col min="6142" max="6142" width="4.42578125" style="128" customWidth="1"/>
    <col min="6143" max="6143" width="60.140625" style="128" customWidth="1"/>
    <col min="6144" max="6144" width="11.5703125" style="128" customWidth="1"/>
    <col min="6145" max="6145" width="22.85546875" style="128" customWidth="1"/>
    <col min="6146" max="6146" width="14.7109375" style="128" customWidth="1"/>
    <col min="6147" max="6147" width="51.85546875" style="128" customWidth="1"/>
    <col min="6148" max="6148" width="9.7109375" style="128" bestFit="1" customWidth="1"/>
    <col min="6149" max="6397" width="9.140625" style="128"/>
    <col min="6398" max="6398" width="4.42578125" style="128" customWidth="1"/>
    <col min="6399" max="6399" width="60.140625" style="128" customWidth="1"/>
    <col min="6400" max="6400" width="11.5703125" style="128" customWidth="1"/>
    <col min="6401" max="6401" width="22.85546875" style="128" customWidth="1"/>
    <col min="6402" max="6402" width="14.7109375" style="128" customWidth="1"/>
    <col min="6403" max="6403" width="51.85546875" style="128" customWidth="1"/>
    <col min="6404" max="6404" width="9.7109375" style="128" bestFit="1" customWidth="1"/>
    <col min="6405" max="6653" width="9.140625" style="128"/>
    <col min="6654" max="6654" width="4.42578125" style="128" customWidth="1"/>
    <col min="6655" max="6655" width="60.140625" style="128" customWidth="1"/>
    <col min="6656" max="6656" width="11.5703125" style="128" customWidth="1"/>
    <col min="6657" max="6657" width="22.85546875" style="128" customWidth="1"/>
    <col min="6658" max="6658" width="14.7109375" style="128" customWidth="1"/>
    <col min="6659" max="6659" width="51.85546875" style="128" customWidth="1"/>
    <col min="6660" max="6660" width="9.7109375" style="128" bestFit="1" customWidth="1"/>
    <col min="6661" max="6909" width="9.140625" style="128"/>
    <col min="6910" max="6910" width="4.42578125" style="128" customWidth="1"/>
    <col min="6911" max="6911" width="60.140625" style="128" customWidth="1"/>
    <col min="6912" max="6912" width="11.5703125" style="128" customWidth="1"/>
    <col min="6913" max="6913" width="22.85546875" style="128" customWidth="1"/>
    <col min="6914" max="6914" width="14.7109375" style="128" customWidth="1"/>
    <col min="6915" max="6915" width="51.85546875" style="128" customWidth="1"/>
    <col min="6916" max="6916" width="9.7109375" style="128" bestFit="1" customWidth="1"/>
    <col min="6917" max="7165" width="9.140625" style="128"/>
    <col min="7166" max="7166" width="4.42578125" style="128" customWidth="1"/>
    <col min="7167" max="7167" width="60.140625" style="128" customWidth="1"/>
    <col min="7168" max="7168" width="11.5703125" style="128" customWidth="1"/>
    <col min="7169" max="7169" width="22.85546875" style="128" customWidth="1"/>
    <col min="7170" max="7170" width="14.7109375" style="128" customWidth="1"/>
    <col min="7171" max="7171" width="51.85546875" style="128" customWidth="1"/>
    <col min="7172" max="7172" width="9.7109375" style="128" bestFit="1" customWidth="1"/>
    <col min="7173" max="7421" width="9.140625" style="128"/>
    <col min="7422" max="7422" width="4.42578125" style="128" customWidth="1"/>
    <col min="7423" max="7423" width="60.140625" style="128" customWidth="1"/>
    <col min="7424" max="7424" width="11.5703125" style="128" customWidth="1"/>
    <col min="7425" max="7425" width="22.85546875" style="128" customWidth="1"/>
    <col min="7426" max="7426" width="14.7109375" style="128" customWidth="1"/>
    <col min="7427" max="7427" width="51.85546875" style="128" customWidth="1"/>
    <col min="7428" max="7428" width="9.7109375" style="128" bestFit="1" customWidth="1"/>
    <col min="7429" max="7677" width="9.140625" style="128"/>
    <col min="7678" max="7678" width="4.42578125" style="128" customWidth="1"/>
    <col min="7679" max="7679" width="60.140625" style="128" customWidth="1"/>
    <col min="7680" max="7680" width="11.5703125" style="128" customWidth="1"/>
    <col min="7681" max="7681" width="22.85546875" style="128" customWidth="1"/>
    <col min="7682" max="7682" width="14.7109375" style="128" customWidth="1"/>
    <col min="7683" max="7683" width="51.85546875" style="128" customWidth="1"/>
    <col min="7684" max="7684" width="9.7109375" style="128" bestFit="1" customWidth="1"/>
    <col min="7685" max="7933" width="9.140625" style="128"/>
    <col min="7934" max="7934" width="4.42578125" style="128" customWidth="1"/>
    <col min="7935" max="7935" width="60.140625" style="128" customWidth="1"/>
    <col min="7936" max="7936" width="11.5703125" style="128" customWidth="1"/>
    <col min="7937" max="7937" width="22.85546875" style="128" customWidth="1"/>
    <col min="7938" max="7938" width="14.7109375" style="128" customWidth="1"/>
    <col min="7939" max="7939" width="51.85546875" style="128" customWidth="1"/>
    <col min="7940" max="7940" width="9.7109375" style="128" bestFit="1" customWidth="1"/>
    <col min="7941" max="8189" width="9.140625" style="128"/>
    <col min="8190" max="8190" width="4.42578125" style="128" customWidth="1"/>
    <col min="8191" max="8191" width="60.140625" style="128" customWidth="1"/>
    <col min="8192" max="8192" width="11.5703125" style="128" customWidth="1"/>
    <col min="8193" max="8193" width="22.85546875" style="128" customWidth="1"/>
    <col min="8194" max="8194" width="14.7109375" style="128" customWidth="1"/>
    <col min="8195" max="8195" width="51.85546875" style="128" customWidth="1"/>
    <col min="8196" max="8196" width="9.7109375" style="128" bestFit="1" customWidth="1"/>
    <col min="8197" max="8445" width="9.140625" style="128"/>
    <col min="8446" max="8446" width="4.42578125" style="128" customWidth="1"/>
    <col min="8447" max="8447" width="60.140625" style="128" customWidth="1"/>
    <col min="8448" max="8448" width="11.5703125" style="128" customWidth="1"/>
    <col min="8449" max="8449" width="22.85546875" style="128" customWidth="1"/>
    <col min="8450" max="8450" width="14.7109375" style="128" customWidth="1"/>
    <col min="8451" max="8451" width="51.85546875" style="128" customWidth="1"/>
    <col min="8452" max="8452" width="9.7109375" style="128" bestFit="1" customWidth="1"/>
    <col min="8453" max="8701" width="9.140625" style="128"/>
    <col min="8702" max="8702" width="4.42578125" style="128" customWidth="1"/>
    <col min="8703" max="8703" width="60.140625" style="128" customWidth="1"/>
    <col min="8704" max="8704" width="11.5703125" style="128" customWidth="1"/>
    <col min="8705" max="8705" width="22.85546875" style="128" customWidth="1"/>
    <col min="8706" max="8706" width="14.7109375" style="128" customWidth="1"/>
    <col min="8707" max="8707" width="51.85546875" style="128" customWidth="1"/>
    <col min="8708" max="8708" width="9.7109375" style="128" bestFit="1" customWidth="1"/>
    <col min="8709" max="8957" width="9.140625" style="128"/>
    <col min="8958" max="8958" width="4.42578125" style="128" customWidth="1"/>
    <col min="8959" max="8959" width="60.140625" style="128" customWidth="1"/>
    <col min="8960" max="8960" width="11.5703125" style="128" customWidth="1"/>
    <col min="8961" max="8961" width="22.85546875" style="128" customWidth="1"/>
    <col min="8962" max="8962" width="14.7109375" style="128" customWidth="1"/>
    <col min="8963" max="8963" width="51.85546875" style="128" customWidth="1"/>
    <col min="8964" max="8964" width="9.7109375" style="128" bestFit="1" customWidth="1"/>
    <col min="8965" max="9213" width="9.140625" style="128"/>
    <col min="9214" max="9214" width="4.42578125" style="128" customWidth="1"/>
    <col min="9215" max="9215" width="60.140625" style="128" customWidth="1"/>
    <col min="9216" max="9216" width="11.5703125" style="128" customWidth="1"/>
    <col min="9217" max="9217" width="22.85546875" style="128" customWidth="1"/>
    <col min="9218" max="9218" width="14.7109375" style="128" customWidth="1"/>
    <col min="9219" max="9219" width="51.85546875" style="128" customWidth="1"/>
    <col min="9220" max="9220" width="9.7109375" style="128" bestFit="1" customWidth="1"/>
    <col min="9221" max="9469" width="9.140625" style="128"/>
    <col min="9470" max="9470" width="4.42578125" style="128" customWidth="1"/>
    <col min="9471" max="9471" width="60.140625" style="128" customWidth="1"/>
    <col min="9472" max="9472" width="11.5703125" style="128" customWidth="1"/>
    <col min="9473" max="9473" width="22.85546875" style="128" customWidth="1"/>
    <col min="9474" max="9474" width="14.7109375" style="128" customWidth="1"/>
    <col min="9475" max="9475" width="51.85546875" style="128" customWidth="1"/>
    <col min="9476" max="9476" width="9.7109375" style="128" bestFit="1" customWidth="1"/>
    <col min="9477" max="9725" width="9.140625" style="128"/>
    <col min="9726" max="9726" width="4.42578125" style="128" customWidth="1"/>
    <col min="9727" max="9727" width="60.140625" style="128" customWidth="1"/>
    <col min="9728" max="9728" width="11.5703125" style="128" customWidth="1"/>
    <col min="9729" max="9729" width="22.85546875" style="128" customWidth="1"/>
    <col min="9730" max="9730" width="14.7109375" style="128" customWidth="1"/>
    <col min="9731" max="9731" width="51.85546875" style="128" customWidth="1"/>
    <col min="9732" max="9732" width="9.7109375" style="128" bestFit="1" customWidth="1"/>
    <col min="9733" max="9981" width="9.140625" style="128"/>
    <col min="9982" max="9982" width="4.42578125" style="128" customWidth="1"/>
    <col min="9983" max="9983" width="60.140625" style="128" customWidth="1"/>
    <col min="9984" max="9984" width="11.5703125" style="128" customWidth="1"/>
    <col min="9985" max="9985" width="22.85546875" style="128" customWidth="1"/>
    <col min="9986" max="9986" width="14.7109375" style="128" customWidth="1"/>
    <col min="9987" max="9987" width="51.85546875" style="128" customWidth="1"/>
    <col min="9988" max="9988" width="9.7109375" style="128" bestFit="1" customWidth="1"/>
    <col min="9989" max="10237" width="9.140625" style="128"/>
    <col min="10238" max="10238" width="4.42578125" style="128" customWidth="1"/>
    <col min="10239" max="10239" width="60.140625" style="128" customWidth="1"/>
    <col min="10240" max="10240" width="11.5703125" style="128" customWidth="1"/>
    <col min="10241" max="10241" width="22.85546875" style="128" customWidth="1"/>
    <col min="10242" max="10242" width="14.7109375" style="128" customWidth="1"/>
    <col min="10243" max="10243" width="51.85546875" style="128" customWidth="1"/>
    <col min="10244" max="10244" width="9.7109375" style="128" bestFit="1" customWidth="1"/>
    <col min="10245" max="10493" width="9.140625" style="128"/>
    <col min="10494" max="10494" width="4.42578125" style="128" customWidth="1"/>
    <col min="10495" max="10495" width="60.140625" style="128" customWidth="1"/>
    <col min="10496" max="10496" width="11.5703125" style="128" customWidth="1"/>
    <col min="10497" max="10497" width="22.85546875" style="128" customWidth="1"/>
    <col min="10498" max="10498" width="14.7109375" style="128" customWidth="1"/>
    <col min="10499" max="10499" width="51.85546875" style="128" customWidth="1"/>
    <col min="10500" max="10500" width="9.7109375" style="128" bestFit="1" customWidth="1"/>
    <col min="10501" max="10749" width="9.140625" style="128"/>
    <col min="10750" max="10750" width="4.42578125" style="128" customWidth="1"/>
    <col min="10751" max="10751" width="60.140625" style="128" customWidth="1"/>
    <col min="10752" max="10752" width="11.5703125" style="128" customWidth="1"/>
    <col min="10753" max="10753" width="22.85546875" style="128" customWidth="1"/>
    <col min="10754" max="10754" width="14.7109375" style="128" customWidth="1"/>
    <col min="10755" max="10755" width="51.85546875" style="128" customWidth="1"/>
    <col min="10756" max="10756" width="9.7109375" style="128" bestFit="1" customWidth="1"/>
    <col min="10757" max="11005" width="9.140625" style="128"/>
    <col min="11006" max="11006" width="4.42578125" style="128" customWidth="1"/>
    <col min="11007" max="11007" width="60.140625" style="128" customWidth="1"/>
    <col min="11008" max="11008" width="11.5703125" style="128" customWidth="1"/>
    <col min="11009" max="11009" width="22.85546875" style="128" customWidth="1"/>
    <col min="11010" max="11010" width="14.7109375" style="128" customWidth="1"/>
    <col min="11011" max="11011" width="51.85546875" style="128" customWidth="1"/>
    <col min="11012" max="11012" width="9.7109375" style="128" bestFit="1" customWidth="1"/>
    <col min="11013" max="11261" width="9.140625" style="128"/>
    <col min="11262" max="11262" width="4.42578125" style="128" customWidth="1"/>
    <col min="11263" max="11263" width="60.140625" style="128" customWidth="1"/>
    <col min="11264" max="11264" width="11.5703125" style="128" customWidth="1"/>
    <col min="11265" max="11265" width="22.85546875" style="128" customWidth="1"/>
    <col min="11266" max="11266" width="14.7109375" style="128" customWidth="1"/>
    <col min="11267" max="11267" width="51.85546875" style="128" customWidth="1"/>
    <col min="11268" max="11268" width="9.7109375" style="128" bestFit="1" customWidth="1"/>
    <col min="11269" max="11517" width="9.140625" style="128"/>
    <col min="11518" max="11518" width="4.42578125" style="128" customWidth="1"/>
    <col min="11519" max="11519" width="60.140625" style="128" customWidth="1"/>
    <col min="11520" max="11520" width="11.5703125" style="128" customWidth="1"/>
    <col min="11521" max="11521" width="22.85546875" style="128" customWidth="1"/>
    <col min="11522" max="11522" width="14.7109375" style="128" customWidth="1"/>
    <col min="11523" max="11523" width="51.85546875" style="128" customWidth="1"/>
    <col min="11524" max="11524" width="9.7109375" style="128" bestFit="1" customWidth="1"/>
    <col min="11525" max="11773" width="9.140625" style="128"/>
    <col min="11774" max="11774" width="4.42578125" style="128" customWidth="1"/>
    <col min="11775" max="11775" width="60.140625" style="128" customWidth="1"/>
    <col min="11776" max="11776" width="11.5703125" style="128" customWidth="1"/>
    <col min="11777" max="11777" width="22.85546875" style="128" customWidth="1"/>
    <col min="11778" max="11778" width="14.7109375" style="128" customWidth="1"/>
    <col min="11779" max="11779" width="51.85546875" style="128" customWidth="1"/>
    <col min="11780" max="11780" width="9.7109375" style="128" bestFit="1" customWidth="1"/>
    <col min="11781" max="12029" width="9.140625" style="128"/>
    <col min="12030" max="12030" width="4.42578125" style="128" customWidth="1"/>
    <col min="12031" max="12031" width="60.140625" style="128" customWidth="1"/>
    <col min="12032" max="12032" width="11.5703125" style="128" customWidth="1"/>
    <col min="12033" max="12033" width="22.85546875" style="128" customWidth="1"/>
    <col min="12034" max="12034" width="14.7109375" style="128" customWidth="1"/>
    <col min="12035" max="12035" width="51.85546875" style="128" customWidth="1"/>
    <col min="12036" max="12036" width="9.7109375" style="128" bestFit="1" customWidth="1"/>
    <col min="12037" max="12285" width="9.140625" style="128"/>
    <col min="12286" max="12286" width="4.42578125" style="128" customWidth="1"/>
    <col min="12287" max="12287" width="60.140625" style="128" customWidth="1"/>
    <col min="12288" max="12288" width="11.5703125" style="128" customWidth="1"/>
    <col min="12289" max="12289" width="22.85546875" style="128" customWidth="1"/>
    <col min="12290" max="12290" width="14.7109375" style="128" customWidth="1"/>
    <col min="12291" max="12291" width="51.85546875" style="128" customWidth="1"/>
    <col min="12292" max="12292" width="9.7109375" style="128" bestFit="1" customWidth="1"/>
    <col min="12293" max="12541" width="9.140625" style="128"/>
    <col min="12542" max="12542" width="4.42578125" style="128" customWidth="1"/>
    <col min="12543" max="12543" width="60.140625" style="128" customWidth="1"/>
    <col min="12544" max="12544" width="11.5703125" style="128" customWidth="1"/>
    <col min="12545" max="12545" width="22.85546875" style="128" customWidth="1"/>
    <col min="12546" max="12546" width="14.7109375" style="128" customWidth="1"/>
    <col min="12547" max="12547" width="51.85546875" style="128" customWidth="1"/>
    <col min="12548" max="12548" width="9.7109375" style="128" bestFit="1" customWidth="1"/>
    <col min="12549" max="12797" width="9.140625" style="128"/>
    <col min="12798" max="12798" width="4.42578125" style="128" customWidth="1"/>
    <col min="12799" max="12799" width="60.140625" style="128" customWidth="1"/>
    <col min="12800" max="12800" width="11.5703125" style="128" customWidth="1"/>
    <col min="12801" max="12801" width="22.85546875" style="128" customWidth="1"/>
    <col min="12802" max="12802" width="14.7109375" style="128" customWidth="1"/>
    <col min="12803" max="12803" width="51.85546875" style="128" customWidth="1"/>
    <col min="12804" max="12804" width="9.7109375" style="128" bestFit="1" customWidth="1"/>
    <col min="12805" max="13053" width="9.140625" style="128"/>
    <col min="13054" max="13054" width="4.42578125" style="128" customWidth="1"/>
    <col min="13055" max="13055" width="60.140625" style="128" customWidth="1"/>
    <col min="13056" max="13056" width="11.5703125" style="128" customWidth="1"/>
    <col min="13057" max="13057" width="22.85546875" style="128" customWidth="1"/>
    <col min="13058" max="13058" width="14.7109375" style="128" customWidth="1"/>
    <col min="13059" max="13059" width="51.85546875" style="128" customWidth="1"/>
    <col min="13060" max="13060" width="9.7109375" style="128" bestFit="1" customWidth="1"/>
    <col min="13061" max="13309" width="9.140625" style="128"/>
    <col min="13310" max="13310" width="4.42578125" style="128" customWidth="1"/>
    <col min="13311" max="13311" width="60.140625" style="128" customWidth="1"/>
    <col min="13312" max="13312" width="11.5703125" style="128" customWidth="1"/>
    <col min="13313" max="13313" width="22.85546875" style="128" customWidth="1"/>
    <col min="13314" max="13314" width="14.7109375" style="128" customWidth="1"/>
    <col min="13315" max="13315" width="51.85546875" style="128" customWidth="1"/>
    <col min="13316" max="13316" width="9.7109375" style="128" bestFit="1" customWidth="1"/>
    <col min="13317" max="13565" width="9.140625" style="128"/>
    <col min="13566" max="13566" width="4.42578125" style="128" customWidth="1"/>
    <col min="13567" max="13567" width="60.140625" style="128" customWidth="1"/>
    <col min="13568" max="13568" width="11.5703125" style="128" customWidth="1"/>
    <col min="13569" max="13569" width="22.85546875" style="128" customWidth="1"/>
    <col min="13570" max="13570" width="14.7109375" style="128" customWidth="1"/>
    <col min="13571" max="13571" width="51.85546875" style="128" customWidth="1"/>
    <col min="13572" max="13572" width="9.7109375" style="128" bestFit="1" customWidth="1"/>
    <col min="13573" max="13821" width="9.140625" style="128"/>
    <col min="13822" max="13822" width="4.42578125" style="128" customWidth="1"/>
    <col min="13823" max="13823" width="60.140625" style="128" customWidth="1"/>
    <col min="13824" max="13824" width="11.5703125" style="128" customWidth="1"/>
    <col min="13825" max="13825" width="22.85546875" style="128" customWidth="1"/>
    <col min="13826" max="13826" width="14.7109375" style="128" customWidth="1"/>
    <col min="13827" max="13827" width="51.85546875" style="128" customWidth="1"/>
    <col min="13828" max="13828" width="9.7109375" style="128" bestFit="1" customWidth="1"/>
    <col min="13829" max="14077" width="9.140625" style="128"/>
    <col min="14078" max="14078" width="4.42578125" style="128" customWidth="1"/>
    <col min="14079" max="14079" width="60.140625" style="128" customWidth="1"/>
    <col min="14080" max="14080" width="11.5703125" style="128" customWidth="1"/>
    <col min="14081" max="14081" width="22.85546875" style="128" customWidth="1"/>
    <col min="14082" max="14082" width="14.7109375" style="128" customWidth="1"/>
    <col min="14083" max="14083" width="51.85546875" style="128" customWidth="1"/>
    <col min="14084" max="14084" width="9.7109375" style="128" bestFit="1" customWidth="1"/>
    <col min="14085" max="14333" width="9.140625" style="128"/>
    <col min="14334" max="14334" width="4.42578125" style="128" customWidth="1"/>
    <col min="14335" max="14335" width="60.140625" style="128" customWidth="1"/>
    <col min="14336" max="14336" width="11.5703125" style="128" customWidth="1"/>
    <col min="14337" max="14337" width="22.85546875" style="128" customWidth="1"/>
    <col min="14338" max="14338" width="14.7109375" style="128" customWidth="1"/>
    <col min="14339" max="14339" width="51.85546875" style="128" customWidth="1"/>
    <col min="14340" max="14340" width="9.7109375" style="128" bestFit="1" customWidth="1"/>
    <col min="14341" max="14589" width="9.140625" style="128"/>
    <col min="14590" max="14590" width="4.42578125" style="128" customWidth="1"/>
    <col min="14591" max="14591" width="60.140625" style="128" customWidth="1"/>
    <col min="14592" max="14592" width="11.5703125" style="128" customWidth="1"/>
    <col min="14593" max="14593" width="22.85546875" style="128" customWidth="1"/>
    <col min="14594" max="14594" width="14.7109375" style="128" customWidth="1"/>
    <col min="14595" max="14595" width="51.85546875" style="128" customWidth="1"/>
    <col min="14596" max="14596" width="9.7109375" style="128" bestFit="1" customWidth="1"/>
    <col min="14597" max="14845" width="9.140625" style="128"/>
    <col min="14846" max="14846" width="4.42578125" style="128" customWidth="1"/>
    <col min="14847" max="14847" width="60.140625" style="128" customWidth="1"/>
    <col min="14848" max="14848" width="11.5703125" style="128" customWidth="1"/>
    <col min="14849" max="14849" width="22.85546875" style="128" customWidth="1"/>
    <col min="14850" max="14850" width="14.7109375" style="128" customWidth="1"/>
    <col min="14851" max="14851" width="51.85546875" style="128" customWidth="1"/>
    <col min="14852" max="14852" width="9.7109375" style="128" bestFit="1" customWidth="1"/>
    <col min="14853" max="15101" width="9.140625" style="128"/>
    <col min="15102" max="15102" width="4.42578125" style="128" customWidth="1"/>
    <col min="15103" max="15103" width="60.140625" style="128" customWidth="1"/>
    <col min="15104" max="15104" width="11.5703125" style="128" customWidth="1"/>
    <col min="15105" max="15105" width="22.85546875" style="128" customWidth="1"/>
    <col min="15106" max="15106" width="14.7109375" style="128" customWidth="1"/>
    <col min="15107" max="15107" width="51.85546875" style="128" customWidth="1"/>
    <col min="15108" max="15108" width="9.7109375" style="128" bestFit="1" customWidth="1"/>
    <col min="15109" max="15357" width="9.140625" style="128"/>
    <col min="15358" max="15358" width="4.42578125" style="128" customWidth="1"/>
    <col min="15359" max="15359" width="60.140625" style="128" customWidth="1"/>
    <col min="15360" max="15360" width="11.5703125" style="128" customWidth="1"/>
    <col min="15361" max="15361" width="22.85546875" style="128" customWidth="1"/>
    <col min="15362" max="15362" width="14.7109375" style="128" customWidth="1"/>
    <col min="15363" max="15363" width="51.85546875" style="128" customWidth="1"/>
    <col min="15364" max="15364" width="9.7109375" style="128" bestFit="1" customWidth="1"/>
    <col min="15365" max="15613" width="9.140625" style="128"/>
    <col min="15614" max="15614" width="4.42578125" style="128" customWidth="1"/>
    <col min="15615" max="15615" width="60.140625" style="128" customWidth="1"/>
    <col min="15616" max="15616" width="11.5703125" style="128" customWidth="1"/>
    <col min="15617" max="15617" width="22.85546875" style="128" customWidth="1"/>
    <col min="15618" max="15618" width="14.7109375" style="128" customWidth="1"/>
    <col min="15619" max="15619" width="51.85546875" style="128" customWidth="1"/>
    <col min="15620" max="15620" width="9.7109375" style="128" bestFit="1" customWidth="1"/>
    <col min="15621" max="15869" width="9.140625" style="128"/>
    <col min="15870" max="15870" width="4.42578125" style="128" customWidth="1"/>
    <col min="15871" max="15871" width="60.140625" style="128" customWidth="1"/>
    <col min="15872" max="15872" width="11.5703125" style="128" customWidth="1"/>
    <col min="15873" max="15873" width="22.85546875" style="128" customWidth="1"/>
    <col min="15874" max="15874" width="14.7109375" style="128" customWidth="1"/>
    <col min="15875" max="15875" width="51.85546875" style="128" customWidth="1"/>
    <col min="15876" max="15876" width="9.7109375" style="128" bestFit="1" customWidth="1"/>
    <col min="15877" max="16125" width="9.140625" style="128"/>
    <col min="16126" max="16126" width="4.42578125" style="128" customWidth="1"/>
    <col min="16127" max="16127" width="60.140625" style="128" customWidth="1"/>
    <col min="16128" max="16128" width="11.5703125" style="128" customWidth="1"/>
    <col min="16129" max="16129" width="22.85546875" style="128" customWidth="1"/>
    <col min="16130" max="16130" width="14.7109375" style="128" customWidth="1"/>
    <col min="16131" max="16131" width="51.85546875" style="128" customWidth="1"/>
    <col min="16132" max="16132" width="9.7109375" style="128" bestFit="1" customWidth="1"/>
    <col min="16133" max="16384" width="9.140625" style="128"/>
  </cols>
  <sheetData>
    <row r="1" spans="1:8" ht="25.5" x14ac:dyDescent="0.2">
      <c r="A1" s="766" t="s">
        <v>449</v>
      </c>
      <c r="B1" s="766" t="s">
        <v>450</v>
      </c>
      <c r="C1" s="154" t="s">
        <v>451</v>
      </c>
      <c r="D1" s="155" t="s">
        <v>453</v>
      </c>
      <c r="E1" s="156" t="s">
        <v>455</v>
      </c>
      <c r="F1" s="157" t="s">
        <v>456</v>
      </c>
      <c r="G1" s="764" t="s">
        <v>457</v>
      </c>
      <c r="H1" s="762" t="s">
        <v>454</v>
      </c>
    </row>
    <row r="2" spans="1:8" ht="13.5" thickBot="1" x14ac:dyDescent="0.25">
      <c r="A2" s="767"/>
      <c r="B2" s="767"/>
      <c r="C2" s="147" t="s">
        <v>452</v>
      </c>
      <c r="D2" s="148" t="s">
        <v>452</v>
      </c>
      <c r="E2" s="149" t="s">
        <v>452</v>
      </c>
      <c r="F2" s="150" t="s">
        <v>452</v>
      </c>
      <c r="G2" s="765"/>
      <c r="H2" s="763"/>
    </row>
    <row r="3" spans="1:8" ht="13.5" thickBot="1" x14ac:dyDescent="0.25">
      <c r="A3" s="158" t="s">
        <v>407</v>
      </c>
      <c r="B3" s="159" t="s">
        <v>408</v>
      </c>
      <c r="C3" s="160">
        <v>5234.32</v>
      </c>
      <c r="D3" s="161">
        <v>244.71</v>
      </c>
      <c r="E3" s="160">
        <v>1610.22</v>
      </c>
      <c r="F3" s="162">
        <v>50.66</v>
      </c>
      <c r="G3" s="151">
        <f>Resumo!I44</f>
        <v>26125.56</v>
      </c>
      <c r="H3" s="151">
        <f>(3.02*C3)+((D3+E3)*1.49)</f>
        <v>18571.490000000002</v>
      </c>
    </row>
    <row r="4" spans="1:8" ht="36.75" customHeight="1" thickBot="1" x14ac:dyDescent="0.25">
      <c r="A4" s="163"/>
      <c r="B4" s="163"/>
      <c r="C4" s="164">
        <f t="shared" ref="C4:H4" si="0">SUM(C3:C3)</f>
        <v>5234.32</v>
      </c>
      <c r="D4" s="164">
        <f t="shared" si="0"/>
        <v>244.71</v>
      </c>
      <c r="E4" s="164">
        <f t="shared" si="0"/>
        <v>1610.22</v>
      </c>
      <c r="F4" s="164">
        <f t="shared" si="0"/>
        <v>50.66</v>
      </c>
      <c r="G4" s="165">
        <f t="shared" si="0"/>
        <v>26125.56</v>
      </c>
      <c r="H4" s="165">
        <f t="shared" si="0"/>
        <v>18571.490000000002</v>
      </c>
    </row>
    <row r="5" spans="1:8" x14ac:dyDescent="0.2">
      <c r="E5" s="166" t="s">
        <v>458</v>
      </c>
      <c r="F5" s="167"/>
      <c r="G5" s="168">
        <f>('Material de limpeza'!G44+Equipamentos!D14)*7</f>
        <v>2342.13</v>
      </c>
      <c r="H5" s="169">
        <v>0</v>
      </c>
    </row>
    <row r="6" spans="1:8" ht="13.5" thickBot="1" x14ac:dyDescent="0.25">
      <c r="E6" s="170" t="s">
        <v>459</v>
      </c>
      <c r="F6" s="171"/>
      <c r="G6" s="172">
        <f>G4-G5</f>
        <v>23783.43</v>
      </c>
      <c r="H6" s="173">
        <f>H4-H5</f>
        <v>18571.490000000002</v>
      </c>
    </row>
  </sheetData>
  <mergeCells count="4">
    <mergeCell ref="H1:H2"/>
    <mergeCell ref="G1:G2"/>
    <mergeCell ref="A1:A2"/>
    <mergeCell ref="B1:B2"/>
  </mergeCells>
  <dataValidations count="1">
    <dataValidation type="list" allowBlank="1" showInputMessage="1" showErrorMessage="1" sqref="C65397:D65397 IV65397:IW65397 SR65397:SS65397 ACN65397:ACO65397 AMJ65397:AMK65397 AWF65397:AWG65397 BGB65397:BGC65397 BPX65397:BPY65397 BZT65397:BZU65397 CJP65397:CJQ65397 CTL65397:CTM65397 DDH65397:DDI65397 DND65397:DNE65397 DWZ65397:DXA65397 EGV65397:EGW65397 EQR65397:EQS65397 FAN65397:FAO65397 FKJ65397:FKK65397 FUF65397:FUG65397 GEB65397:GEC65397 GNX65397:GNY65397 GXT65397:GXU65397 HHP65397:HHQ65397 HRL65397:HRM65397 IBH65397:IBI65397 ILD65397:ILE65397 IUZ65397:IVA65397 JEV65397:JEW65397 JOR65397:JOS65397 JYN65397:JYO65397 KIJ65397:KIK65397 KSF65397:KSG65397 LCB65397:LCC65397 LLX65397:LLY65397 LVT65397:LVU65397 MFP65397:MFQ65397 MPL65397:MPM65397 MZH65397:MZI65397 NJD65397:NJE65397 NSZ65397:NTA65397 OCV65397:OCW65397 OMR65397:OMS65397 OWN65397:OWO65397 PGJ65397:PGK65397 PQF65397:PQG65397 QAB65397:QAC65397 QJX65397:QJY65397 QTT65397:QTU65397 RDP65397:RDQ65397 RNL65397:RNM65397 RXH65397:RXI65397 SHD65397:SHE65397 SQZ65397:SRA65397 TAV65397:TAW65397 TKR65397:TKS65397 TUN65397:TUO65397 UEJ65397:UEK65397 UOF65397:UOG65397 UYB65397:UYC65397 VHX65397:VHY65397 VRT65397:VRU65397 WBP65397:WBQ65397 WLL65397:WLM65397 WVH65397:WVI65397 C130933:D130933 IV130933:IW130933 SR130933:SS130933 ACN130933:ACO130933 AMJ130933:AMK130933 AWF130933:AWG130933 BGB130933:BGC130933 BPX130933:BPY130933 BZT130933:BZU130933 CJP130933:CJQ130933 CTL130933:CTM130933 DDH130933:DDI130933 DND130933:DNE130933 DWZ130933:DXA130933 EGV130933:EGW130933 EQR130933:EQS130933 FAN130933:FAO130933 FKJ130933:FKK130933 FUF130933:FUG130933 GEB130933:GEC130933 GNX130933:GNY130933 GXT130933:GXU130933 HHP130933:HHQ130933 HRL130933:HRM130933 IBH130933:IBI130933 ILD130933:ILE130933 IUZ130933:IVA130933 JEV130933:JEW130933 JOR130933:JOS130933 JYN130933:JYO130933 KIJ130933:KIK130933 KSF130933:KSG130933 LCB130933:LCC130933 LLX130933:LLY130933 LVT130933:LVU130933 MFP130933:MFQ130933 MPL130933:MPM130933 MZH130933:MZI130933 NJD130933:NJE130933 NSZ130933:NTA130933 OCV130933:OCW130933 OMR130933:OMS130933 OWN130933:OWO130933 PGJ130933:PGK130933 PQF130933:PQG130933 QAB130933:QAC130933 QJX130933:QJY130933 QTT130933:QTU130933 RDP130933:RDQ130933 RNL130933:RNM130933 RXH130933:RXI130933 SHD130933:SHE130933 SQZ130933:SRA130933 TAV130933:TAW130933 TKR130933:TKS130933 TUN130933:TUO130933 UEJ130933:UEK130933 UOF130933:UOG130933 UYB130933:UYC130933 VHX130933:VHY130933 VRT130933:VRU130933 WBP130933:WBQ130933 WLL130933:WLM130933 WVH130933:WVI130933 C196469:D196469 IV196469:IW196469 SR196469:SS196469 ACN196469:ACO196469 AMJ196469:AMK196469 AWF196469:AWG196469 BGB196469:BGC196469 BPX196469:BPY196469 BZT196469:BZU196469 CJP196469:CJQ196469 CTL196469:CTM196469 DDH196469:DDI196469 DND196469:DNE196469 DWZ196469:DXA196469 EGV196469:EGW196469 EQR196469:EQS196469 FAN196469:FAO196469 FKJ196469:FKK196469 FUF196469:FUG196469 GEB196469:GEC196469 GNX196469:GNY196469 GXT196469:GXU196469 HHP196469:HHQ196469 HRL196469:HRM196469 IBH196469:IBI196469 ILD196469:ILE196469 IUZ196469:IVA196469 JEV196469:JEW196469 JOR196469:JOS196469 JYN196469:JYO196469 KIJ196469:KIK196469 KSF196469:KSG196469 LCB196469:LCC196469 LLX196469:LLY196469 LVT196469:LVU196469 MFP196469:MFQ196469 MPL196469:MPM196469 MZH196469:MZI196469 NJD196469:NJE196469 NSZ196469:NTA196469 OCV196469:OCW196469 OMR196469:OMS196469 OWN196469:OWO196469 PGJ196469:PGK196469 PQF196469:PQG196469 QAB196469:QAC196469 QJX196469:QJY196469 QTT196469:QTU196469 RDP196469:RDQ196469 RNL196469:RNM196469 RXH196469:RXI196469 SHD196469:SHE196469 SQZ196469:SRA196469 TAV196469:TAW196469 TKR196469:TKS196469 TUN196469:TUO196469 UEJ196469:UEK196469 UOF196469:UOG196469 UYB196469:UYC196469 VHX196469:VHY196469 VRT196469:VRU196469 WBP196469:WBQ196469 WLL196469:WLM196469 WVH196469:WVI196469 C262005:D262005 IV262005:IW262005 SR262005:SS262005 ACN262005:ACO262005 AMJ262005:AMK262005 AWF262005:AWG262005 BGB262005:BGC262005 BPX262005:BPY262005 BZT262005:BZU262005 CJP262005:CJQ262005 CTL262005:CTM262005 DDH262005:DDI262005 DND262005:DNE262005 DWZ262005:DXA262005 EGV262005:EGW262005 EQR262005:EQS262005 FAN262005:FAO262005 FKJ262005:FKK262005 FUF262005:FUG262005 GEB262005:GEC262005 GNX262005:GNY262005 GXT262005:GXU262005 HHP262005:HHQ262005 HRL262005:HRM262005 IBH262005:IBI262005 ILD262005:ILE262005 IUZ262005:IVA262005 JEV262005:JEW262005 JOR262005:JOS262005 JYN262005:JYO262005 KIJ262005:KIK262005 KSF262005:KSG262005 LCB262005:LCC262005 LLX262005:LLY262005 LVT262005:LVU262005 MFP262005:MFQ262005 MPL262005:MPM262005 MZH262005:MZI262005 NJD262005:NJE262005 NSZ262005:NTA262005 OCV262005:OCW262005 OMR262005:OMS262005 OWN262005:OWO262005 PGJ262005:PGK262005 PQF262005:PQG262005 QAB262005:QAC262005 QJX262005:QJY262005 QTT262005:QTU262005 RDP262005:RDQ262005 RNL262005:RNM262005 RXH262005:RXI262005 SHD262005:SHE262005 SQZ262005:SRA262005 TAV262005:TAW262005 TKR262005:TKS262005 TUN262005:TUO262005 UEJ262005:UEK262005 UOF262005:UOG262005 UYB262005:UYC262005 VHX262005:VHY262005 VRT262005:VRU262005 WBP262005:WBQ262005 WLL262005:WLM262005 WVH262005:WVI262005 C327541:D327541 IV327541:IW327541 SR327541:SS327541 ACN327541:ACO327541 AMJ327541:AMK327541 AWF327541:AWG327541 BGB327541:BGC327541 BPX327541:BPY327541 BZT327541:BZU327541 CJP327541:CJQ327541 CTL327541:CTM327541 DDH327541:DDI327541 DND327541:DNE327541 DWZ327541:DXA327541 EGV327541:EGW327541 EQR327541:EQS327541 FAN327541:FAO327541 FKJ327541:FKK327541 FUF327541:FUG327541 GEB327541:GEC327541 GNX327541:GNY327541 GXT327541:GXU327541 HHP327541:HHQ327541 HRL327541:HRM327541 IBH327541:IBI327541 ILD327541:ILE327541 IUZ327541:IVA327541 JEV327541:JEW327541 JOR327541:JOS327541 JYN327541:JYO327541 KIJ327541:KIK327541 KSF327541:KSG327541 LCB327541:LCC327541 LLX327541:LLY327541 LVT327541:LVU327541 MFP327541:MFQ327541 MPL327541:MPM327541 MZH327541:MZI327541 NJD327541:NJE327541 NSZ327541:NTA327541 OCV327541:OCW327541 OMR327541:OMS327541 OWN327541:OWO327541 PGJ327541:PGK327541 PQF327541:PQG327541 QAB327541:QAC327541 QJX327541:QJY327541 QTT327541:QTU327541 RDP327541:RDQ327541 RNL327541:RNM327541 RXH327541:RXI327541 SHD327541:SHE327541 SQZ327541:SRA327541 TAV327541:TAW327541 TKR327541:TKS327541 TUN327541:TUO327541 UEJ327541:UEK327541 UOF327541:UOG327541 UYB327541:UYC327541 VHX327541:VHY327541 VRT327541:VRU327541 WBP327541:WBQ327541 WLL327541:WLM327541 WVH327541:WVI327541 C393077:D393077 IV393077:IW393077 SR393077:SS393077 ACN393077:ACO393077 AMJ393077:AMK393077 AWF393077:AWG393077 BGB393077:BGC393077 BPX393077:BPY393077 BZT393077:BZU393077 CJP393077:CJQ393077 CTL393077:CTM393077 DDH393077:DDI393077 DND393077:DNE393077 DWZ393077:DXA393077 EGV393077:EGW393077 EQR393077:EQS393077 FAN393077:FAO393077 FKJ393077:FKK393077 FUF393077:FUG393077 GEB393077:GEC393077 GNX393077:GNY393077 GXT393077:GXU393077 HHP393077:HHQ393077 HRL393077:HRM393077 IBH393077:IBI393077 ILD393077:ILE393077 IUZ393077:IVA393077 JEV393077:JEW393077 JOR393077:JOS393077 JYN393077:JYO393077 KIJ393077:KIK393077 KSF393077:KSG393077 LCB393077:LCC393077 LLX393077:LLY393077 LVT393077:LVU393077 MFP393077:MFQ393077 MPL393077:MPM393077 MZH393077:MZI393077 NJD393077:NJE393077 NSZ393077:NTA393077 OCV393077:OCW393077 OMR393077:OMS393077 OWN393077:OWO393077 PGJ393077:PGK393077 PQF393077:PQG393077 QAB393077:QAC393077 QJX393077:QJY393077 QTT393077:QTU393077 RDP393077:RDQ393077 RNL393077:RNM393077 RXH393077:RXI393077 SHD393077:SHE393077 SQZ393077:SRA393077 TAV393077:TAW393077 TKR393077:TKS393077 TUN393077:TUO393077 UEJ393077:UEK393077 UOF393077:UOG393077 UYB393077:UYC393077 VHX393077:VHY393077 VRT393077:VRU393077 WBP393077:WBQ393077 WLL393077:WLM393077 WVH393077:WVI393077 C458613:D458613 IV458613:IW458613 SR458613:SS458613 ACN458613:ACO458613 AMJ458613:AMK458613 AWF458613:AWG458613 BGB458613:BGC458613 BPX458613:BPY458613 BZT458613:BZU458613 CJP458613:CJQ458613 CTL458613:CTM458613 DDH458613:DDI458613 DND458613:DNE458613 DWZ458613:DXA458613 EGV458613:EGW458613 EQR458613:EQS458613 FAN458613:FAO458613 FKJ458613:FKK458613 FUF458613:FUG458613 GEB458613:GEC458613 GNX458613:GNY458613 GXT458613:GXU458613 HHP458613:HHQ458613 HRL458613:HRM458613 IBH458613:IBI458613 ILD458613:ILE458613 IUZ458613:IVA458613 JEV458613:JEW458613 JOR458613:JOS458613 JYN458613:JYO458613 KIJ458613:KIK458613 KSF458613:KSG458613 LCB458613:LCC458613 LLX458613:LLY458613 LVT458613:LVU458613 MFP458613:MFQ458613 MPL458613:MPM458613 MZH458613:MZI458613 NJD458613:NJE458613 NSZ458613:NTA458613 OCV458613:OCW458613 OMR458613:OMS458613 OWN458613:OWO458613 PGJ458613:PGK458613 PQF458613:PQG458613 QAB458613:QAC458613 QJX458613:QJY458613 QTT458613:QTU458613 RDP458613:RDQ458613 RNL458613:RNM458613 RXH458613:RXI458613 SHD458613:SHE458613 SQZ458613:SRA458613 TAV458613:TAW458613 TKR458613:TKS458613 TUN458613:TUO458613 UEJ458613:UEK458613 UOF458613:UOG458613 UYB458613:UYC458613 VHX458613:VHY458613 VRT458613:VRU458613 WBP458613:WBQ458613 WLL458613:WLM458613 WVH458613:WVI458613 C524149:D524149 IV524149:IW524149 SR524149:SS524149 ACN524149:ACO524149 AMJ524149:AMK524149 AWF524149:AWG524149 BGB524149:BGC524149 BPX524149:BPY524149 BZT524149:BZU524149 CJP524149:CJQ524149 CTL524149:CTM524149 DDH524149:DDI524149 DND524149:DNE524149 DWZ524149:DXA524149 EGV524149:EGW524149 EQR524149:EQS524149 FAN524149:FAO524149 FKJ524149:FKK524149 FUF524149:FUG524149 GEB524149:GEC524149 GNX524149:GNY524149 GXT524149:GXU524149 HHP524149:HHQ524149 HRL524149:HRM524149 IBH524149:IBI524149 ILD524149:ILE524149 IUZ524149:IVA524149 JEV524149:JEW524149 JOR524149:JOS524149 JYN524149:JYO524149 KIJ524149:KIK524149 KSF524149:KSG524149 LCB524149:LCC524149 LLX524149:LLY524149 LVT524149:LVU524149 MFP524149:MFQ524149 MPL524149:MPM524149 MZH524149:MZI524149 NJD524149:NJE524149 NSZ524149:NTA524149 OCV524149:OCW524149 OMR524149:OMS524149 OWN524149:OWO524149 PGJ524149:PGK524149 PQF524149:PQG524149 QAB524149:QAC524149 QJX524149:QJY524149 QTT524149:QTU524149 RDP524149:RDQ524149 RNL524149:RNM524149 RXH524149:RXI524149 SHD524149:SHE524149 SQZ524149:SRA524149 TAV524149:TAW524149 TKR524149:TKS524149 TUN524149:TUO524149 UEJ524149:UEK524149 UOF524149:UOG524149 UYB524149:UYC524149 VHX524149:VHY524149 VRT524149:VRU524149 WBP524149:WBQ524149 WLL524149:WLM524149 WVH524149:WVI524149 C589685:D589685 IV589685:IW589685 SR589685:SS589685 ACN589685:ACO589685 AMJ589685:AMK589685 AWF589685:AWG589685 BGB589685:BGC589685 BPX589685:BPY589685 BZT589685:BZU589685 CJP589685:CJQ589685 CTL589685:CTM589685 DDH589685:DDI589685 DND589685:DNE589685 DWZ589685:DXA589685 EGV589685:EGW589685 EQR589685:EQS589685 FAN589685:FAO589685 FKJ589685:FKK589685 FUF589685:FUG589685 GEB589685:GEC589685 GNX589685:GNY589685 GXT589685:GXU589685 HHP589685:HHQ589685 HRL589685:HRM589685 IBH589685:IBI589685 ILD589685:ILE589685 IUZ589685:IVA589685 JEV589685:JEW589685 JOR589685:JOS589685 JYN589685:JYO589685 KIJ589685:KIK589685 KSF589685:KSG589685 LCB589685:LCC589685 LLX589685:LLY589685 LVT589685:LVU589685 MFP589685:MFQ589685 MPL589685:MPM589685 MZH589685:MZI589685 NJD589685:NJE589685 NSZ589685:NTA589685 OCV589685:OCW589685 OMR589685:OMS589685 OWN589685:OWO589685 PGJ589685:PGK589685 PQF589685:PQG589685 QAB589685:QAC589685 QJX589685:QJY589685 QTT589685:QTU589685 RDP589685:RDQ589685 RNL589685:RNM589685 RXH589685:RXI589685 SHD589685:SHE589685 SQZ589685:SRA589685 TAV589685:TAW589685 TKR589685:TKS589685 TUN589685:TUO589685 UEJ589685:UEK589685 UOF589685:UOG589685 UYB589685:UYC589685 VHX589685:VHY589685 VRT589685:VRU589685 WBP589685:WBQ589685 WLL589685:WLM589685 WVH589685:WVI589685 C655221:D655221 IV655221:IW655221 SR655221:SS655221 ACN655221:ACO655221 AMJ655221:AMK655221 AWF655221:AWG655221 BGB655221:BGC655221 BPX655221:BPY655221 BZT655221:BZU655221 CJP655221:CJQ655221 CTL655221:CTM655221 DDH655221:DDI655221 DND655221:DNE655221 DWZ655221:DXA655221 EGV655221:EGW655221 EQR655221:EQS655221 FAN655221:FAO655221 FKJ655221:FKK655221 FUF655221:FUG655221 GEB655221:GEC655221 GNX655221:GNY655221 GXT655221:GXU655221 HHP655221:HHQ655221 HRL655221:HRM655221 IBH655221:IBI655221 ILD655221:ILE655221 IUZ655221:IVA655221 JEV655221:JEW655221 JOR655221:JOS655221 JYN655221:JYO655221 KIJ655221:KIK655221 KSF655221:KSG655221 LCB655221:LCC655221 LLX655221:LLY655221 LVT655221:LVU655221 MFP655221:MFQ655221 MPL655221:MPM655221 MZH655221:MZI655221 NJD655221:NJE655221 NSZ655221:NTA655221 OCV655221:OCW655221 OMR655221:OMS655221 OWN655221:OWO655221 PGJ655221:PGK655221 PQF655221:PQG655221 QAB655221:QAC655221 QJX655221:QJY655221 QTT655221:QTU655221 RDP655221:RDQ655221 RNL655221:RNM655221 RXH655221:RXI655221 SHD655221:SHE655221 SQZ655221:SRA655221 TAV655221:TAW655221 TKR655221:TKS655221 TUN655221:TUO655221 UEJ655221:UEK655221 UOF655221:UOG655221 UYB655221:UYC655221 VHX655221:VHY655221 VRT655221:VRU655221 WBP655221:WBQ655221 WLL655221:WLM655221 WVH655221:WVI655221 C720757:D720757 IV720757:IW720757 SR720757:SS720757 ACN720757:ACO720757 AMJ720757:AMK720757 AWF720757:AWG720757 BGB720757:BGC720757 BPX720757:BPY720757 BZT720757:BZU720757 CJP720757:CJQ720757 CTL720757:CTM720757 DDH720757:DDI720757 DND720757:DNE720757 DWZ720757:DXA720757 EGV720757:EGW720757 EQR720757:EQS720757 FAN720757:FAO720757 FKJ720757:FKK720757 FUF720757:FUG720757 GEB720757:GEC720757 GNX720757:GNY720757 GXT720757:GXU720757 HHP720757:HHQ720757 HRL720757:HRM720757 IBH720757:IBI720757 ILD720757:ILE720757 IUZ720757:IVA720757 JEV720757:JEW720757 JOR720757:JOS720757 JYN720757:JYO720757 KIJ720757:KIK720757 KSF720757:KSG720757 LCB720757:LCC720757 LLX720757:LLY720757 LVT720757:LVU720757 MFP720757:MFQ720757 MPL720757:MPM720757 MZH720757:MZI720757 NJD720757:NJE720757 NSZ720757:NTA720757 OCV720757:OCW720757 OMR720757:OMS720757 OWN720757:OWO720757 PGJ720757:PGK720757 PQF720757:PQG720757 QAB720757:QAC720757 QJX720757:QJY720757 QTT720757:QTU720757 RDP720757:RDQ720757 RNL720757:RNM720757 RXH720757:RXI720757 SHD720757:SHE720757 SQZ720757:SRA720757 TAV720757:TAW720757 TKR720757:TKS720757 TUN720757:TUO720757 UEJ720757:UEK720757 UOF720757:UOG720757 UYB720757:UYC720757 VHX720757:VHY720757 VRT720757:VRU720757 WBP720757:WBQ720757 WLL720757:WLM720757 WVH720757:WVI720757 C786293:D786293 IV786293:IW786293 SR786293:SS786293 ACN786293:ACO786293 AMJ786293:AMK786293 AWF786293:AWG786293 BGB786293:BGC786293 BPX786293:BPY786293 BZT786293:BZU786293 CJP786293:CJQ786293 CTL786293:CTM786293 DDH786293:DDI786293 DND786293:DNE786293 DWZ786293:DXA786293 EGV786293:EGW786293 EQR786293:EQS786293 FAN786293:FAO786293 FKJ786293:FKK786293 FUF786293:FUG786293 GEB786293:GEC786293 GNX786293:GNY786293 GXT786293:GXU786293 HHP786293:HHQ786293 HRL786293:HRM786293 IBH786293:IBI786293 ILD786293:ILE786293 IUZ786293:IVA786293 JEV786293:JEW786293 JOR786293:JOS786293 JYN786293:JYO786293 KIJ786293:KIK786293 KSF786293:KSG786293 LCB786293:LCC786293 LLX786293:LLY786293 LVT786293:LVU786293 MFP786293:MFQ786293 MPL786293:MPM786293 MZH786293:MZI786293 NJD786293:NJE786293 NSZ786293:NTA786293 OCV786293:OCW786293 OMR786293:OMS786293 OWN786293:OWO786293 PGJ786293:PGK786293 PQF786293:PQG786293 QAB786293:QAC786293 QJX786293:QJY786293 QTT786293:QTU786293 RDP786293:RDQ786293 RNL786293:RNM786293 RXH786293:RXI786293 SHD786293:SHE786293 SQZ786293:SRA786293 TAV786293:TAW786293 TKR786293:TKS786293 TUN786293:TUO786293 UEJ786293:UEK786293 UOF786293:UOG786293 UYB786293:UYC786293 VHX786293:VHY786293 VRT786293:VRU786293 WBP786293:WBQ786293 WLL786293:WLM786293 WVH786293:WVI786293 C851829:D851829 IV851829:IW851829 SR851829:SS851829 ACN851829:ACO851829 AMJ851829:AMK851829 AWF851829:AWG851829 BGB851829:BGC851829 BPX851829:BPY851829 BZT851829:BZU851829 CJP851829:CJQ851829 CTL851829:CTM851829 DDH851829:DDI851829 DND851829:DNE851829 DWZ851829:DXA851829 EGV851829:EGW851829 EQR851829:EQS851829 FAN851829:FAO851829 FKJ851829:FKK851829 FUF851829:FUG851829 GEB851829:GEC851829 GNX851829:GNY851829 GXT851829:GXU851829 HHP851829:HHQ851829 HRL851829:HRM851829 IBH851829:IBI851829 ILD851829:ILE851829 IUZ851829:IVA851829 JEV851829:JEW851829 JOR851829:JOS851829 JYN851829:JYO851829 KIJ851829:KIK851829 KSF851829:KSG851829 LCB851829:LCC851829 LLX851829:LLY851829 LVT851829:LVU851829 MFP851829:MFQ851829 MPL851829:MPM851829 MZH851829:MZI851829 NJD851829:NJE851829 NSZ851829:NTA851829 OCV851829:OCW851829 OMR851829:OMS851829 OWN851829:OWO851829 PGJ851829:PGK851829 PQF851829:PQG851829 QAB851829:QAC851829 QJX851829:QJY851829 QTT851829:QTU851829 RDP851829:RDQ851829 RNL851829:RNM851829 RXH851829:RXI851829 SHD851829:SHE851829 SQZ851829:SRA851829 TAV851829:TAW851829 TKR851829:TKS851829 TUN851829:TUO851829 UEJ851829:UEK851829 UOF851829:UOG851829 UYB851829:UYC851829 VHX851829:VHY851829 VRT851829:VRU851829 WBP851829:WBQ851829 WLL851829:WLM851829 WVH851829:WVI851829 C917365:D917365 IV917365:IW917365 SR917365:SS917365 ACN917365:ACO917365 AMJ917365:AMK917365 AWF917365:AWG917365 BGB917365:BGC917365 BPX917365:BPY917365 BZT917365:BZU917365 CJP917365:CJQ917365 CTL917365:CTM917365 DDH917365:DDI917365 DND917365:DNE917365 DWZ917365:DXA917365 EGV917365:EGW917365 EQR917365:EQS917365 FAN917365:FAO917365 FKJ917365:FKK917365 FUF917365:FUG917365 GEB917365:GEC917365 GNX917365:GNY917365 GXT917365:GXU917365 HHP917365:HHQ917365 HRL917365:HRM917365 IBH917365:IBI917365 ILD917365:ILE917365 IUZ917365:IVA917365 JEV917365:JEW917365 JOR917365:JOS917365 JYN917365:JYO917365 KIJ917365:KIK917365 KSF917365:KSG917365 LCB917365:LCC917365 LLX917365:LLY917365 LVT917365:LVU917365 MFP917365:MFQ917365 MPL917365:MPM917365 MZH917365:MZI917365 NJD917365:NJE917365 NSZ917365:NTA917365 OCV917365:OCW917365 OMR917365:OMS917365 OWN917365:OWO917365 PGJ917365:PGK917365 PQF917365:PQG917365 QAB917365:QAC917365 QJX917365:QJY917365 QTT917365:QTU917365 RDP917365:RDQ917365 RNL917365:RNM917365 RXH917365:RXI917365 SHD917365:SHE917365 SQZ917365:SRA917365 TAV917365:TAW917365 TKR917365:TKS917365 TUN917365:TUO917365 UEJ917365:UEK917365 UOF917365:UOG917365 UYB917365:UYC917365 VHX917365:VHY917365 VRT917365:VRU917365 WBP917365:WBQ917365 WLL917365:WLM917365 WVH917365:WVI917365 C982901:D982901 IV982901:IW982901 SR982901:SS982901 ACN982901:ACO982901 AMJ982901:AMK982901 AWF982901:AWG982901 BGB982901:BGC982901 BPX982901:BPY982901 BZT982901:BZU982901 CJP982901:CJQ982901 CTL982901:CTM982901 DDH982901:DDI982901 DND982901:DNE982901 DWZ982901:DXA982901 EGV982901:EGW982901 EQR982901:EQS982901 FAN982901:FAO982901 FKJ982901:FKK982901 FUF982901:FUG982901 GEB982901:GEC982901 GNX982901:GNY982901 GXT982901:GXU982901 HHP982901:HHQ982901 HRL982901:HRM982901 IBH982901:IBI982901 ILD982901:ILE982901 IUZ982901:IVA982901 JEV982901:JEW982901 JOR982901:JOS982901 JYN982901:JYO982901 KIJ982901:KIK982901 KSF982901:KSG982901 LCB982901:LCC982901 LLX982901:LLY982901 LVT982901:LVU982901 MFP982901:MFQ982901 MPL982901:MPM982901 MZH982901:MZI982901 NJD982901:NJE982901 NSZ982901:NTA982901 OCV982901:OCW982901 OMR982901:OMS982901 OWN982901:OWO982901 PGJ982901:PGK982901 PQF982901:PQG982901 QAB982901:QAC982901 QJX982901:QJY982901 QTT982901:QTU982901 RDP982901:RDQ982901 RNL982901:RNM982901 RXH982901:RXI982901 SHD982901:SHE982901 SQZ982901:SRA982901 TAV982901:TAW982901 TKR982901:TKS982901 TUN982901:TUO982901 UEJ982901:UEK982901 UOF982901:UOG982901 UYB982901:UYC982901 VHX982901:VHY982901 VRT982901:VRU982901 WBP982901:WBQ982901 WLL982901:WLM982901 WVH982901:WVI982901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4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2" workbookViewId="0">
      <selection activeCell="F48" sqref="F48"/>
    </sheetView>
  </sheetViews>
  <sheetFormatPr defaultRowHeight="12.75" x14ac:dyDescent="0.2"/>
  <cols>
    <col min="2" max="2" width="4.7109375" bestFit="1" customWidth="1"/>
    <col min="3" max="3" width="43.140625" bestFit="1" customWidth="1"/>
    <col min="4" max="4" width="16.85546875" bestFit="1" customWidth="1"/>
    <col min="5" max="5" width="8.7109375" bestFit="1" customWidth="1"/>
    <col min="6" max="6" width="8.7109375" customWidth="1"/>
    <col min="7" max="7" width="8.85546875" bestFit="1" customWidth="1"/>
  </cols>
  <sheetData>
    <row r="1" spans="1:7" ht="13.5" thickBot="1" x14ac:dyDescent="0.25">
      <c r="A1" s="42"/>
    </row>
    <row r="2" spans="1:7" ht="13.5" thickBot="1" x14ac:dyDescent="0.25">
      <c r="A2" s="43" t="s">
        <v>150</v>
      </c>
      <c r="B2" s="771" t="s">
        <v>151</v>
      </c>
      <c r="C2" s="771" t="s">
        <v>152</v>
      </c>
      <c r="D2" s="771" t="s">
        <v>153</v>
      </c>
      <c r="E2" s="44" t="s">
        <v>154</v>
      </c>
      <c r="F2" s="44" t="s">
        <v>155</v>
      </c>
      <c r="G2" s="44" t="s">
        <v>155</v>
      </c>
    </row>
    <row r="3" spans="1:7" ht="13.5" thickBot="1" x14ac:dyDescent="0.25">
      <c r="A3" s="45" t="s">
        <v>156</v>
      </c>
      <c r="B3" s="772"/>
      <c r="C3" s="772"/>
      <c r="D3" s="772"/>
      <c r="E3" s="46" t="s">
        <v>157</v>
      </c>
      <c r="F3" s="46" t="s">
        <v>157</v>
      </c>
      <c r="G3" s="46" t="s">
        <v>157</v>
      </c>
    </row>
    <row r="4" spans="1:7" ht="15.75" thickBot="1" x14ac:dyDescent="0.25">
      <c r="A4" s="47" t="s">
        <v>158</v>
      </c>
      <c r="B4" s="773"/>
      <c r="C4" s="773"/>
      <c r="D4" s="773"/>
      <c r="E4" s="48"/>
      <c r="F4" s="48"/>
      <c r="G4" s="48"/>
    </row>
    <row r="5" spans="1:7" ht="13.5" thickBot="1" x14ac:dyDescent="0.25">
      <c r="A5" s="49">
        <v>2</v>
      </c>
      <c r="B5" s="50" t="s">
        <v>159</v>
      </c>
      <c r="C5" s="50" t="s">
        <v>160</v>
      </c>
      <c r="D5" s="50" t="s">
        <v>161</v>
      </c>
      <c r="E5" s="55">
        <v>1.1599999999999999</v>
      </c>
      <c r="F5" s="55">
        <v>1.9</v>
      </c>
      <c r="G5" s="55">
        <f>E5*A5</f>
        <v>2.3199999999999998</v>
      </c>
    </row>
    <row r="6" spans="1:7" ht="13.5" thickBot="1" x14ac:dyDescent="0.25">
      <c r="A6" s="49">
        <v>2</v>
      </c>
      <c r="B6" s="50" t="s">
        <v>159</v>
      </c>
      <c r="C6" s="50" t="s">
        <v>162</v>
      </c>
      <c r="D6" s="51"/>
      <c r="E6" s="55">
        <v>3.5</v>
      </c>
      <c r="F6" s="55">
        <v>7</v>
      </c>
      <c r="G6" s="55">
        <f t="shared" ref="G6:G43" si="0">E6*A6</f>
        <v>7</v>
      </c>
    </row>
    <row r="7" spans="1:7" ht="13.5" thickBot="1" x14ac:dyDescent="0.25">
      <c r="A7" s="49">
        <v>0.25</v>
      </c>
      <c r="B7" s="50" t="s">
        <v>163</v>
      </c>
      <c r="C7" s="50" t="s">
        <v>164</v>
      </c>
      <c r="D7" s="51"/>
      <c r="E7" s="55">
        <v>9</v>
      </c>
      <c r="F7" s="55">
        <v>2.25</v>
      </c>
      <c r="G7" s="55">
        <f t="shared" si="0"/>
        <v>2.25</v>
      </c>
    </row>
    <row r="8" spans="1:7" ht="13.5" thickBot="1" x14ac:dyDescent="0.25">
      <c r="A8" s="49">
        <v>0.33</v>
      </c>
      <c r="B8" s="50" t="s">
        <v>159</v>
      </c>
      <c r="C8" s="50" t="s">
        <v>165</v>
      </c>
      <c r="D8" s="50" t="s">
        <v>166</v>
      </c>
      <c r="E8" s="55">
        <v>3.1</v>
      </c>
      <c r="F8" s="55">
        <v>1.02</v>
      </c>
      <c r="G8" s="55">
        <f t="shared" si="0"/>
        <v>1.02</v>
      </c>
    </row>
    <row r="9" spans="1:7" ht="13.5" thickBot="1" x14ac:dyDescent="0.25">
      <c r="A9" s="49">
        <v>1.5</v>
      </c>
      <c r="B9" s="50" t="s">
        <v>159</v>
      </c>
      <c r="C9" s="50" t="s">
        <v>167</v>
      </c>
      <c r="D9" s="50" t="s">
        <v>168</v>
      </c>
      <c r="E9" s="55">
        <v>5.2</v>
      </c>
      <c r="F9" s="55">
        <v>7.8</v>
      </c>
      <c r="G9" s="55">
        <f t="shared" si="0"/>
        <v>7.8</v>
      </c>
    </row>
    <row r="10" spans="1:7" ht="13.5" thickBot="1" x14ac:dyDescent="0.25">
      <c r="A10" s="49">
        <v>1.5</v>
      </c>
      <c r="B10" s="50" t="s">
        <v>163</v>
      </c>
      <c r="C10" s="50" t="s">
        <v>169</v>
      </c>
      <c r="D10" s="50" t="s">
        <v>170</v>
      </c>
      <c r="E10" s="55">
        <v>3.86</v>
      </c>
      <c r="F10" s="55">
        <v>5.79</v>
      </c>
      <c r="G10" s="55">
        <f t="shared" si="0"/>
        <v>5.79</v>
      </c>
    </row>
    <row r="11" spans="1:7" ht="13.5" thickBot="1" x14ac:dyDescent="0.25">
      <c r="A11" s="49">
        <v>3</v>
      </c>
      <c r="B11" s="50" t="s">
        <v>163</v>
      </c>
      <c r="C11" s="50" t="s">
        <v>171</v>
      </c>
      <c r="D11" s="50" t="s">
        <v>172</v>
      </c>
      <c r="E11" s="55">
        <v>0.84</v>
      </c>
      <c r="F11" s="55">
        <v>2.52</v>
      </c>
      <c r="G11" s="55">
        <f t="shared" si="0"/>
        <v>2.52</v>
      </c>
    </row>
    <row r="12" spans="1:7" ht="13.5" thickBot="1" x14ac:dyDescent="0.25">
      <c r="A12" s="49">
        <v>2</v>
      </c>
      <c r="B12" s="50" t="s">
        <v>163</v>
      </c>
      <c r="C12" s="50" t="s">
        <v>173</v>
      </c>
      <c r="D12" s="50" t="s">
        <v>172</v>
      </c>
      <c r="E12" s="55">
        <v>3.5</v>
      </c>
      <c r="F12" s="55">
        <v>7</v>
      </c>
      <c r="G12" s="55">
        <f t="shared" si="0"/>
        <v>7</v>
      </c>
    </row>
    <row r="13" spans="1:7" ht="13.5" thickBot="1" x14ac:dyDescent="0.25">
      <c r="A13" s="49">
        <v>0.17</v>
      </c>
      <c r="B13" s="50" t="s">
        <v>163</v>
      </c>
      <c r="C13" s="50" t="s">
        <v>174</v>
      </c>
      <c r="D13" s="50" t="s">
        <v>175</v>
      </c>
      <c r="E13" s="55">
        <v>10</v>
      </c>
      <c r="F13" s="55">
        <v>1.7</v>
      </c>
      <c r="G13" s="55">
        <f t="shared" si="0"/>
        <v>1.7</v>
      </c>
    </row>
    <row r="14" spans="1:7" ht="13.5" thickBot="1" x14ac:dyDescent="0.25">
      <c r="A14" s="49">
        <v>0.17</v>
      </c>
      <c r="B14" s="50" t="s">
        <v>163</v>
      </c>
      <c r="C14" s="50" t="s">
        <v>176</v>
      </c>
      <c r="D14" s="50" t="s">
        <v>175</v>
      </c>
      <c r="E14" s="55">
        <v>10</v>
      </c>
      <c r="F14" s="55">
        <v>1.7</v>
      </c>
      <c r="G14" s="55">
        <f t="shared" si="0"/>
        <v>1.7</v>
      </c>
    </row>
    <row r="15" spans="1:7" ht="13.5" thickBot="1" x14ac:dyDescent="0.25">
      <c r="A15" s="49">
        <v>0.17</v>
      </c>
      <c r="B15" s="50" t="s">
        <v>163</v>
      </c>
      <c r="C15" s="50" t="s">
        <v>177</v>
      </c>
      <c r="D15" s="50" t="s">
        <v>178</v>
      </c>
      <c r="E15" s="55">
        <v>3.55</v>
      </c>
      <c r="F15" s="55">
        <v>0.6</v>
      </c>
      <c r="G15" s="55">
        <f t="shared" si="0"/>
        <v>0.6</v>
      </c>
    </row>
    <row r="16" spans="1:7" ht="13.5" thickBot="1" x14ac:dyDescent="0.25">
      <c r="A16" s="49">
        <v>3</v>
      </c>
      <c r="B16" s="50" t="s">
        <v>163</v>
      </c>
      <c r="C16" s="50" t="s">
        <v>179</v>
      </c>
      <c r="D16" s="50" t="s">
        <v>180</v>
      </c>
      <c r="E16" s="55">
        <v>0.18</v>
      </c>
      <c r="F16" s="55">
        <v>0.54</v>
      </c>
      <c r="G16" s="55">
        <f t="shared" si="0"/>
        <v>0.54</v>
      </c>
    </row>
    <row r="17" spans="1:7" ht="13.5" thickBot="1" x14ac:dyDescent="0.25">
      <c r="A17" s="49">
        <v>1.5</v>
      </c>
      <c r="B17" s="50" t="s">
        <v>163</v>
      </c>
      <c r="C17" s="50" t="s">
        <v>181</v>
      </c>
      <c r="D17" s="51"/>
      <c r="E17" s="55">
        <v>1.2</v>
      </c>
      <c r="F17" s="55">
        <v>1.8</v>
      </c>
      <c r="G17" s="55">
        <f t="shared" si="0"/>
        <v>1.8</v>
      </c>
    </row>
    <row r="18" spans="1:7" ht="13.5" thickBot="1" x14ac:dyDescent="0.25">
      <c r="A18" s="49">
        <v>1.5</v>
      </c>
      <c r="B18" s="50" t="s">
        <v>182</v>
      </c>
      <c r="C18" s="50" t="s">
        <v>183</v>
      </c>
      <c r="D18" s="50" t="s">
        <v>184</v>
      </c>
      <c r="E18" s="55">
        <v>0.67</v>
      </c>
      <c r="F18" s="55">
        <v>1.01</v>
      </c>
      <c r="G18" s="55">
        <f t="shared" si="0"/>
        <v>1.01</v>
      </c>
    </row>
    <row r="19" spans="1:7" ht="13.5" thickBot="1" x14ac:dyDescent="0.25">
      <c r="A19" s="49">
        <v>0.25</v>
      </c>
      <c r="B19" s="50" t="s">
        <v>185</v>
      </c>
      <c r="C19" s="50" t="s">
        <v>186</v>
      </c>
      <c r="D19" s="50" t="s">
        <v>187</v>
      </c>
      <c r="E19" s="55">
        <v>1.9</v>
      </c>
      <c r="F19" s="55">
        <v>0.48</v>
      </c>
      <c r="G19" s="55">
        <f t="shared" si="0"/>
        <v>0.48</v>
      </c>
    </row>
    <row r="20" spans="1:7" ht="13.5" thickBot="1" x14ac:dyDescent="0.25">
      <c r="A20" s="49">
        <v>8</v>
      </c>
      <c r="B20" s="50" t="s">
        <v>182</v>
      </c>
      <c r="C20" s="50" t="s">
        <v>188</v>
      </c>
      <c r="D20" s="50" t="s">
        <v>189</v>
      </c>
      <c r="E20" s="55">
        <v>3.06</v>
      </c>
      <c r="F20" s="55">
        <v>24.48</v>
      </c>
      <c r="G20" s="55">
        <f t="shared" si="0"/>
        <v>24.48</v>
      </c>
    </row>
    <row r="21" spans="1:7" ht="13.5" thickBot="1" x14ac:dyDescent="0.25">
      <c r="A21" s="49">
        <v>2</v>
      </c>
      <c r="B21" s="50" t="s">
        <v>190</v>
      </c>
      <c r="C21" s="50" t="s">
        <v>191</v>
      </c>
      <c r="D21" s="51"/>
      <c r="E21" s="55">
        <v>45</v>
      </c>
      <c r="F21" s="55">
        <v>90</v>
      </c>
      <c r="G21" s="55">
        <f t="shared" si="0"/>
        <v>90</v>
      </c>
    </row>
    <row r="22" spans="1:7" ht="13.5" thickBot="1" x14ac:dyDescent="0.25">
      <c r="A22" s="49">
        <v>0.17</v>
      </c>
      <c r="B22" s="50" t="s">
        <v>163</v>
      </c>
      <c r="C22" s="50" t="s">
        <v>192</v>
      </c>
      <c r="D22" s="51"/>
      <c r="E22" s="55">
        <v>2.5</v>
      </c>
      <c r="F22" s="55">
        <v>0.43</v>
      </c>
      <c r="G22" s="55">
        <f t="shared" si="0"/>
        <v>0.43</v>
      </c>
    </row>
    <row r="23" spans="1:7" ht="13.5" thickBot="1" x14ac:dyDescent="0.25">
      <c r="A23" s="49">
        <v>4</v>
      </c>
      <c r="B23" s="50" t="s">
        <v>163</v>
      </c>
      <c r="C23" s="50" t="s">
        <v>193</v>
      </c>
      <c r="D23" s="50" t="s">
        <v>194</v>
      </c>
      <c r="E23" s="55">
        <v>4</v>
      </c>
      <c r="F23" s="55">
        <v>16</v>
      </c>
      <c r="G23" s="55">
        <f t="shared" si="0"/>
        <v>16</v>
      </c>
    </row>
    <row r="24" spans="1:7" ht="13.5" thickBot="1" x14ac:dyDescent="0.25">
      <c r="A24" s="49">
        <v>0.25</v>
      </c>
      <c r="B24" s="50" t="s">
        <v>163</v>
      </c>
      <c r="C24" s="50" t="s">
        <v>195</v>
      </c>
      <c r="D24" s="51"/>
      <c r="E24" s="55">
        <v>3</v>
      </c>
      <c r="F24" s="55">
        <v>0.75</v>
      </c>
      <c r="G24" s="55">
        <f t="shared" si="0"/>
        <v>0.75</v>
      </c>
    </row>
    <row r="25" spans="1:7" ht="13.5" thickBot="1" x14ac:dyDescent="0.25">
      <c r="A25" s="49">
        <v>0.25</v>
      </c>
      <c r="B25" s="50" t="s">
        <v>163</v>
      </c>
      <c r="C25" s="50" t="s">
        <v>196</v>
      </c>
      <c r="D25" s="51"/>
      <c r="E25" s="55">
        <v>3.59</v>
      </c>
      <c r="F25" s="55">
        <v>0.9</v>
      </c>
      <c r="G25" s="55">
        <f t="shared" si="0"/>
        <v>0.9</v>
      </c>
    </row>
    <row r="26" spans="1:7" ht="13.5" thickBot="1" x14ac:dyDescent="0.25">
      <c r="A26" s="49">
        <v>2</v>
      </c>
      <c r="B26" s="50" t="s">
        <v>197</v>
      </c>
      <c r="C26" s="50" t="s">
        <v>198</v>
      </c>
      <c r="D26" s="50" t="s">
        <v>199</v>
      </c>
      <c r="E26" s="55">
        <v>3.2</v>
      </c>
      <c r="F26" s="55">
        <v>6.4</v>
      </c>
      <c r="G26" s="55">
        <f t="shared" si="0"/>
        <v>6.4</v>
      </c>
    </row>
    <row r="27" spans="1:7" ht="13.5" thickBot="1" x14ac:dyDescent="0.25">
      <c r="A27" s="49">
        <v>1</v>
      </c>
      <c r="B27" s="50" t="s">
        <v>159</v>
      </c>
      <c r="C27" s="50" t="s">
        <v>200</v>
      </c>
      <c r="D27" s="50" t="s">
        <v>201</v>
      </c>
      <c r="E27" s="55">
        <v>9.33</v>
      </c>
      <c r="F27" s="55">
        <v>9.33</v>
      </c>
      <c r="G27" s="55">
        <f t="shared" si="0"/>
        <v>9.33</v>
      </c>
    </row>
    <row r="28" spans="1:7" ht="13.5" thickBot="1" x14ac:dyDescent="0.25">
      <c r="A28" s="49">
        <v>2.5</v>
      </c>
      <c r="B28" s="50" t="s">
        <v>182</v>
      </c>
      <c r="C28" s="50" t="s">
        <v>202</v>
      </c>
      <c r="D28" s="50" t="s">
        <v>203</v>
      </c>
      <c r="E28" s="55">
        <v>3.07</v>
      </c>
      <c r="F28" s="55">
        <v>7.68</v>
      </c>
      <c r="G28" s="55">
        <f t="shared" si="0"/>
        <v>7.68</v>
      </c>
    </row>
    <row r="29" spans="1:7" ht="13.5" thickBot="1" x14ac:dyDescent="0.25">
      <c r="A29" s="49">
        <v>2</v>
      </c>
      <c r="B29" s="50" t="s">
        <v>163</v>
      </c>
      <c r="C29" s="50" t="s">
        <v>204</v>
      </c>
      <c r="D29" s="51"/>
      <c r="E29" s="55">
        <v>2.1</v>
      </c>
      <c r="F29" s="55">
        <v>4.2</v>
      </c>
      <c r="G29" s="55">
        <f t="shared" si="0"/>
        <v>4.2</v>
      </c>
    </row>
    <row r="30" spans="1:7" ht="13.5" thickBot="1" x14ac:dyDescent="0.25">
      <c r="A30" s="49">
        <v>1</v>
      </c>
      <c r="B30" s="50" t="s">
        <v>190</v>
      </c>
      <c r="C30" s="50" t="s">
        <v>205</v>
      </c>
      <c r="D30" s="51"/>
      <c r="E30" s="55">
        <v>12.9</v>
      </c>
      <c r="F30" s="55">
        <v>12.9</v>
      </c>
      <c r="G30" s="55">
        <f t="shared" si="0"/>
        <v>12.9</v>
      </c>
    </row>
    <row r="31" spans="1:7" ht="13.5" thickBot="1" x14ac:dyDescent="0.25">
      <c r="A31" s="49">
        <v>1</v>
      </c>
      <c r="B31" s="50" t="s">
        <v>190</v>
      </c>
      <c r="C31" s="50" t="s">
        <v>206</v>
      </c>
      <c r="D31" s="51"/>
      <c r="E31" s="55">
        <v>5.1100000000000003</v>
      </c>
      <c r="F31" s="55">
        <v>5.1100000000000003</v>
      </c>
      <c r="G31" s="55">
        <f t="shared" si="0"/>
        <v>5.1100000000000003</v>
      </c>
    </row>
    <row r="32" spans="1:7" ht="13.5" thickBot="1" x14ac:dyDescent="0.25">
      <c r="A32" s="49">
        <v>3</v>
      </c>
      <c r="B32" s="50" t="s">
        <v>182</v>
      </c>
      <c r="C32" s="50" t="s">
        <v>207</v>
      </c>
      <c r="D32" s="51"/>
      <c r="E32" s="55">
        <v>0.98</v>
      </c>
      <c r="F32" s="55">
        <v>2.94</v>
      </c>
      <c r="G32" s="55">
        <f t="shared" si="0"/>
        <v>2.94</v>
      </c>
    </row>
    <row r="33" spans="1:9" ht="13.5" thickBot="1" x14ac:dyDescent="0.25">
      <c r="A33" s="49">
        <v>0.25</v>
      </c>
      <c r="B33" s="50" t="s">
        <v>163</v>
      </c>
      <c r="C33" s="50" t="s">
        <v>208</v>
      </c>
      <c r="D33" s="51"/>
      <c r="E33" s="55">
        <v>4.3</v>
      </c>
      <c r="F33" s="55">
        <v>1.08</v>
      </c>
      <c r="G33" s="55">
        <f t="shared" si="0"/>
        <v>1.08</v>
      </c>
    </row>
    <row r="34" spans="1:9" ht="13.5" thickBot="1" x14ac:dyDescent="0.25">
      <c r="A34" s="49">
        <v>0.25</v>
      </c>
      <c r="B34" s="50" t="s">
        <v>163</v>
      </c>
      <c r="C34" s="50" t="s">
        <v>209</v>
      </c>
      <c r="D34" s="51"/>
      <c r="E34" s="55">
        <v>6.37</v>
      </c>
      <c r="F34" s="55">
        <v>1.59</v>
      </c>
      <c r="G34" s="55">
        <f t="shared" si="0"/>
        <v>1.59</v>
      </c>
    </row>
    <row r="35" spans="1:9" ht="13.5" thickBot="1" x14ac:dyDescent="0.25">
      <c r="A35" s="49">
        <v>0.67</v>
      </c>
      <c r="B35" s="50" t="s">
        <v>163</v>
      </c>
      <c r="C35" s="50" t="s">
        <v>210</v>
      </c>
      <c r="D35" s="51"/>
      <c r="E35" s="55">
        <v>6.9</v>
      </c>
      <c r="F35" s="55">
        <v>4.62</v>
      </c>
      <c r="G35" s="55">
        <f t="shared" si="0"/>
        <v>4.62</v>
      </c>
    </row>
    <row r="36" spans="1:9" ht="13.5" thickBot="1" x14ac:dyDescent="0.25">
      <c r="A36" s="49">
        <v>0.33</v>
      </c>
      <c r="B36" s="50" t="s">
        <v>163</v>
      </c>
      <c r="C36" s="50" t="s">
        <v>211</v>
      </c>
      <c r="D36" s="51"/>
      <c r="E36" s="55">
        <v>3.1</v>
      </c>
      <c r="F36" s="55">
        <v>1.02</v>
      </c>
      <c r="G36" s="55">
        <f t="shared" si="0"/>
        <v>1.02</v>
      </c>
    </row>
    <row r="37" spans="1:9" ht="13.5" thickBot="1" x14ac:dyDescent="0.25">
      <c r="A37" s="49">
        <v>0.08</v>
      </c>
      <c r="B37" s="50" t="s">
        <v>163</v>
      </c>
      <c r="C37" s="50" t="s">
        <v>212</v>
      </c>
      <c r="D37" s="51"/>
      <c r="E37" s="55">
        <v>12</v>
      </c>
      <c r="F37" s="55">
        <v>0.96</v>
      </c>
      <c r="G37" s="55">
        <f t="shared" si="0"/>
        <v>0.96</v>
      </c>
    </row>
    <row r="38" spans="1:9" ht="13.5" thickBot="1" x14ac:dyDescent="0.25">
      <c r="A38" s="49">
        <v>0.25</v>
      </c>
      <c r="B38" s="50" t="s">
        <v>163</v>
      </c>
      <c r="C38" s="50" t="s">
        <v>213</v>
      </c>
      <c r="D38" s="51"/>
      <c r="E38" s="55">
        <v>2.8</v>
      </c>
      <c r="F38" s="55">
        <v>0.7</v>
      </c>
      <c r="G38" s="55">
        <f t="shared" si="0"/>
        <v>0.7</v>
      </c>
    </row>
    <row r="39" spans="1:9" ht="13.5" thickBot="1" x14ac:dyDescent="0.25">
      <c r="A39" s="49">
        <v>0.5</v>
      </c>
      <c r="B39" s="50" t="s">
        <v>163</v>
      </c>
      <c r="C39" s="50" t="s">
        <v>214</v>
      </c>
      <c r="D39" s="50" t="s">
        <v>168</v>
      </c>
      <c r="E39" s="55">
        <v>6</v>
      </c>
      <c r="F39" s="55">
        <v>3</v>
      </c>
      <c r="G39" s="55">
        <f t="shared" si="0"/>
        <v>3</v>
      </c>
    </row>
    <row r="40" spans="1:9" ht="13.5" thickBot="1" x14ac:dyDescent="0.25">
      <c r="A40" s="49">
        <v>1.5</v>
      </c>
      <c r="B40" s="50" t="s">
        <v>215</v>
      </c>
      <c r="C40" s="50" t="s">
        <v>216</v>
      </c>
      <c r="D40" s="50" t="s">
        <v>168</v>
      </c>
      <c r="E40" s="55">
        <v>16</v>
      </c>
      <c r="F40" s="55">
        <v>24</v>
      </c>
      <c r="G40" s="55">
        <f t="shared" si="0"/>
        <v>24</v>
      </c>
    </row>
    <row r="41" spans="1:9" ht="13.5" thickBot="1" x14ac:dyDescent="0.25">
      <c r="A41" s="49">
        <v>1</v>
      </c>
      <c r="B41" s="50" t="s">
        <v>215</v>
      </c>
      <c r="C41" s="50" t="s">
        <v>217</v>
      </c>
      <c r="D41" s="50" t="s">
        <v>168</v>
      </c>
      <c r="E41" s="55">
        <v>28</v>
      </c>
      <c r="F41" s="55">
        <v>28</v>
      </c>
      <c r="G41" s="55">
        <f t="shared" si="0"/>
        <v>28</v>
      </c>
    </row>
    <row r="42" spans="1:9" ht="13.5" thickBot="1" x14ac:dyDescent="0.25">
      <c r="A42" s="49">
        <v>3</v>
      </c>
      <c r="B42" s="50" t="s">
        <v>163</v>
      </c>
      <c r="C42" s="50" t="s">
        <v>218</v>
      </c>
      <c r="D42" s="50" t="s">
        <v>168</v>
      </c>
      <c r="E42" s="55">
        <v>1.55</v>
      </c>
      <c r="F42" s="55">
        <v>4.6500000000000004</v>
      </c>
      <c r="G42" s="55">
        <f t="shared" si="0"/>
        <v>4.6500000000000004</v>
      </c>
    </row>
    <row r="43" spans="1:9" ht="13.5" thickBot="1" x14ac:dyDescent="0.25">
      <c r="A43" s="49">
        <v>1</v>
      </c>
      <c r="B43" s="50" t="s">
        <v>163</v>
      </c>
      <c r="C43" s="50" t="s">
        <v>219</v>
      </c>
      <c r="D43" s="50" t="s">
        <v>220</v>
      </c>
      <c r="E43" s="55">
        <v>2.84</v>
      </c>
      <c r="F43" s="55">
        <v>2.84</v>
      </c>
      <c r="G43" s="55">
        <f t="shared" si="0"/>
        <v>2.84</v>
      </c>
    </row>
    <row r="44" spans="1:9" ht="13.5" thickBot="1" x14ac:dyDescent="0.25">
      <c r="A44" s="52"/>
      <c r="B44" s="52"/>
      <c r="C44" s="768" t="s">
        <v>221</v>
      </c>
      <c r="D44" s="769"/>
      <c r="E44" s="770"/>
      <c r="F44" s="462">
        <v>296.69</v>
      </c>
      <c r="G44" s="54">
        <f>SUM(G5:G43)</f>
        <v>297.11</v>
      </c>
    </row>
    <row r="45" spans="1:9" ht="13.5" thickBot="1" x14ac:dyDescent="0.25">
      <c r="A45" s="52"/>
      <c r="B45" s="52"/>
      <c r="C45" s="768" t="s">
        <v>222</v>
      </c>
      <c r="D45" s="769"/>
      <c r="E45" s="770"/>
      <c r="F45" s="462">
        <v>36789.56</v>
      </c>
      <c r="G45" s="53">
        <f>G44*124</f>
        <v>36841.64</v>
      </c>
    </row>
    <row r="46" spans="1:9" ht="13.5" thickBot="1" x14ac:dyDescent="0.25">
      <c r="A46" s="52"/>
      <c r="B46" s="52"/>
      <c r="C46" s="768" t="s">
        <v>223</v>
      </c>
      <c r="D46" s="769"/>
      <c r="E46" s="770"/>
      <c r="F46" s="462">
        <v>255.48</v>
      </c>
      <c r="G46" s="57">
        <f>G45/144</f>
        <v>255.84</v>
      </c>
      <c r="H46" s="128" t="s">
        <v>485</v>
      </c>
    </row>
    <row r="48" spans="1:9" x14ac:dyDescent="0.2">
      <c r="F48">
        <v>272.42087880000003</v>
      </c>
      <c r="G48" s="204">
        <f>G46*1.06631</f>
        <v>272.80475039999999</v>
      </c>
      <c r="H48" s="201" t="s">
        <v>486</v>
      </c>
      <c r="I48" s="204"/>
    </row>
  </sheetData>
  <mergeCells count="6">
    <mergeCell ref="C46:E46"/>
    <mergeCell ref="B2:B4"/>
    <mergeCell ref="C2:C4"/>
    <mergeCell ref="D2:D4"/>
    <mergeCell ref="C44:E44"/>
    <mergeCell ref="C45:E4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3" sqref="D13"/>
    </sheetView>
  </sheetViews>
  <sheetFormatPr defaultRowHeight="12.75" x14ac:dyDescent="0.2"/>
  <cols>
    <col min="1" max="1" width="16.85546875" customWidth="1"/>
    <col min="2" max="2" width="4.5703125" bestFit="1" customWidth="1"/>
    <col min="3" max="3" width="68.28515625" customWidth="1"/>
    <col min="4" max="4" width="18.42578125" customWidth="1"/>
    <col min="5" max="5" width="12.140625" bestFit="1" customWidth="1"/>
  </cols>
  <sheetData>
    <row r="1" spans="1:5" ht="39" thickBot="1" x14ac:dyDescent="0.25">
      <c r="A1" s="62" t="s">
        <v>241</v>
      </c>
      <c r="B1" s="62" t="s">
        <v>225</v>
      </c>
      <c r="C1" s="62" t="s">
        <v>226</v>
      </c>
      <c r="D1" s="62" t="s">
        <v>227</v>
      </c>
    </row>
    <row r="2" spans="1:5" ht="26.25" thickBot="1" x14ac:dyDescent="0.25">
      <c r="A2" s="71">
        <v>1</v>
      </c>
      <c r="B2" s="77" t="s">
        <v>228</v>
      </c>
      <c r="C2" s="73" t="s">
        <v>229</v>
      </c>
      <c r="D2" s="78">
        <v>700</v>
      </c>
    </row>
    <row r="3" spans="1:5" ht="26.25" thickBot="1" x14ac:dyDescent="0.25">
      <c r="A3" s="63">
        <v>1</v>
      </c>
      <c r="B3" s="64" t="s">
        <v>228</v>
      </c>
      <c r="C3" s="65" t="s">
        <v>230</v>
      </c>
      <c r="D3" s="66">
        <v>300</v>
      </c>
    </row>
    <row r="4" spans="1:5" ht="26.25" thickBot="1" x14ac:dyDescent="0.25">
      <c r="A4" s="67">
        <v>2</v>
      </c>
      <c r="B4" s="68" t="s">
        <v>228</v>
      </c>
      <c r="C4" s="69" t="s">
        <v>237</v>
      </c>
      <c r="D4" s="70">
        <v>690</v>
      </c>
    </row>
    <row r="5" spans="1:5" ht="26.25" thickBot="1" x14ac:dyDescent="0.25">
      <c r="A5" s="71">
        <v>1</v>
      </c>
      <c r="B5" s="72" t="s">
        <v>228</v>
      </c>
      <c r="C5" s="73" t="s">
        <v>238</v>
      </c>
      <c r="D5" s="74">
        <v>800</v>
      </c>
    </row>
    <row r="6" spans="1:5" ht="26.25" thickBot="1" x14ac:dyDescent="0.25">
      <c r="A6" s="63">
        <v>1</v>
      </c>
      <c r="B6" s="64" t="s">
        <v>228</v>
      </c>
      <c r="C6" s="65" t="s">
        <v>231</v>
      </c>
      <c r="D6" s="66">
        <v>100</v>
      </c>
    </row>
    <row r="7" spans="1:5" ht="26.25" thickBot="1" x14ac:dyDescent="0.25">
      <c r="A7" s="67">
        <v>1</v>
      </c>
      <c r="B7" s="68" t="s">
        <v>228</v>
      </c>
      <c r="C7" s="69" t="s">
        <v>239</v>
      </c>
      <c r="D7" s="70">
        <v>800</v>
      </c>
    </row>
    <row r="8" spans="1:5" ht="26.25" thickBot="1" x14ac:dyDescent="0.25">
      <c r="A8" s="71">
        <v>2</v>
      </c>
      <c r="B8" s="72" t="s">
        <v>228</v>
      </c>
      <c r="C8" s="69" t="s">
        <v>240</v>
      </c>
      <c r="D8" s="74">
        <v>210</v>
      </c>
    </row>
    <row r="9" spans="1:5" ht="13.5" thickBot="1" x14ac:dyDescent="0.25">
      <c r="A9" s="63">
        <v>3</v>
      </c>
      <c r="B9" s="64" t="s">
        <v>163</v>
      </c>
      <c r="C9" s="65" t="s">
        <v>232</v>
      </c>
      <c r="D9" s="66">
        <v>0</v>
      </c>
    </row>
    <row r="10" spans="1:5" ht="26.25" thickBot="1" x14ac:dyDescent="0.25">
      <c r="A10" s="63">
        <v>50</v>
      </c>
      <c r="B10" s="64" t="s">
        <v>233</v>
      </c>
      <c r="C10" s="65" t="s">
        <v>234</v>
      </c>
      <c r="D10" s="66">
        <v>210</v>
      </c>
    </row>
    <row r="11" spans="1:5" ht="13.5" customHeight="1" thickBot="1" x14ac:dyDescent="0.25">
      <c r="A11" s="774" t="s">
        <v>235</v>
      </c>
      <c r="B11" s="775"/>
      <c r="C11" s="776"/>
      <c r="D11" s="75">
        <f>SUM(D2:D10)</f>
        <v>3810</v>
      </c>
    </row>
    <row r="12" spans="1:5" ht="13.5" thickBot="1" x14ac:dyDescent="0.25">
      <c r="A12" s="774" t="s">
        <v>236</v>
      </c>
      <c r="B12" s="775"/>
      <c r="C12" s="776"/>
      <c r="D12" s="76">
        <f>D11*17</f>
        <v>64770</v>
      </c>
      <c r="E12" s="31"/>
    </row>
    <row r="13" spans="1:5" ht="13.5" thickBot="1" x14ac:dyDescent="0.25">
      <c r="A13" s="777" t="s">
        <v>252</v>
      </c>
      <c r="B13" s="778"/>
      <c r="C13" s="778"/>
      <c r="D13" s="79">
        <f>D12/12</f>
        <v>5397.5</v>
      </c>
    </row>
    <row r="14" spans="1:5" ht="13.5" thickBot="1" x14ac:dyDescent="0.25">
      <c r="A14" s="61" t="s">
        <v>242</v>
      </c>
      <c r="B14" s="60"/>
      <c r="C14" s="60"/>
      <c r="D14" s="79">
        <f>D13/144</f>
        <v>37.479999999999997</v>
      </c>
    </row>
    <row r="15" spans="1:5" x14ac:dyDescent="0.2">
      <c r="D15" s="30"/>
    </row>
  </sheetData>
  <mergeCells count="3">
    <mergeCell ref="A11:C11"/>
    <mergeCell ref="A12:C12"/>
    <mergeCell ref="A13:C13"/>
  </mergeCells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O27" sqref="O27"/>
    </sheetView>
  </sheetViews>
  <sheetFormatPr defaultRowHeight="12.75" x14ac:dyDescent="0.2"/>
  <cols>
    <col min="1" max="1" width="38.5703125" customWidth="1"/>
    <col min="2" max="2" width="7.140625" bestFit="1" customWidth="1"/>
  </cols>
  <sheetData>
    <row r="1" spans="1:5" ht="39" thickBot="1" x14ac:dyDescent="0.25">
      <c r="A1" s="80" t="s">
        <v>243</v>
      </c>
      <c r="B1" s="81" t="s">
        <v>244</v>
      </c>
      <c r="C1" s="81" t="s">
        <v>227</v>
      </c>
      <c r="D1" s="81" t="s">
        <v>245</v>
      </c>
      <c r="E1" s="81" t="s">
        <v>246</v>
      </c>
    </row>
    <row r="2" spans="1:5" ht="13.5" thickBot="1" x14ac:dyDescent="0.25">
      <c r="A2" s="59" t="s">
        <v>247</v>
      </c>
      <c r="B2" s="82">
        <v>1</v>
      </c>
      <c r="C2" s="58">
        <v>6.5</v>
      </c>
      <c r="D2" s="58">
        <f>C2*B2</f>
        <v>6.5</v>
      </c>
      <c r="E2" s="83">
        <f>D2/12</f>
        <v>0.54</v>
      </c>
    </row>
    <row r="3" spans="1:5" ht="13.5" thickBot="1" x14ac:dyDescent="0.25">
      <c r="A3" s="59" t="s">
        <v>248</v>
      </c>
      <c r="B3" s="82">
        <v>1</v>
      </c>
      <c r="C3" s="58">
        <v>5</v>
      </c>
      <c r="D3" s="58">
        <f>C3*B3</f>
        <v>5</v>
      </c>
      <c r="E3" s="83">
        <f>D3/12</f>
        <v>0.42</v>
      </c>
    </row>
    <row r="4" spans="1:5" ht="13.5" thickBot="1" x14ac:dyDescent="0.25">
      <c r="A4" s="59" t="s">
        <v>249</v>
      </c>
      <c r="B4" s="82">
        <v>1</v>
      </c>
      <c r="C4" s="58">
        <v>20</v>
      </c>
      <c r="D4" s="58">
        <f>C4*B4</f>
        <v>20</v>
      </c>
      <c r="E4" s="83">
        <f>D4/12</f>
        <v>1.67</v>
      </c>
    </row>
    <row r="5" spans="1:5" ht="13.5" thickBot="1" x14ac:dyDescent="0.25">
      <c r="A5" s="59" t="s">
        <v>250</v>
      </c>
      <c r="B5" s="82">
        <v>2</v>
      </c>
      <c r="C5" s="58">
        <v>1</v>
      </c>
      <c r="D5" s="58">
        <f>C5*B5</f>
        <v>2</v>
      </c>
      <c r="E5" s="83">
        <f>D5/12</f>
        <v>0.17</v>
      </c>
    </row>
    <row r="6" spans="1:5" ht="13.5" thickBot="1" x14ac:dyDescent="0.25">
      <c r="A6" s="779" t="s">
        <v>112</v>
      </c>
      <c r="B6" s="780"/>
      <c r="C6" s="780"/>
      <c r="D6" s="781"/>
      <c r="E6" s="84">
        <f>SUM(E2:E5)</f>
        <v>2.8</v>
      </c>
    </row>
    <row r="7" spans="1:5" x14ac:dyDescent="0.2">
      <c r="E7" s="30" t="s">
        <v>224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0" zoomScale="148" zoomScaleNormal="100" zoomScaleSheetLayoutView="148" workbookViewId="0">
      <selection activeCell="I52" sqref="I52"/>
    </sheetView>
  </sheetViews>
  <sheetFormatPr defaultRowHeight="12.75" x14ac:dyDescent="0.2"/>
  <cols>
    <col min="1" max="1" width="9.140625" style="305"/>
    <col min="2" max="2" width="4.7109375" style="305" bestFit="1" customWidth="1"/>
    <col min="3" max="3" width="43.140625" style="305" bestFit="1" customWidth="1"/>
    <col min="4" max="4" width="16.85546875" style="305" bestFit="1" customWidth="1"/>
    <col min="5" max="5" width="8.7109375" style="305" bestFit="1" customWidth="1"/>
    <col min="6" max="6" width="12" style="305" customWidth="1"/>
    <col min="7" max="16384" width="9.140625" style="305"/>
  </cols>
  <sheetData>
    <row r="1" spans="1:6" ht="13.5" thickBot="1" x14ac:dyDescent="0.25">
      <c r="A1" s="443"/>
    </row>
    <row r="2" spans="1:6" ht="13.5" thickBot="1" x14ac:dyDescent="0.25">
      <c r="A2" s="444" t="s">
        <v>150</v>
      </c>
      <c r="B2" s="785" t="s">
        <v>151</v>
      </c>
      <c r="C2" s="785" t="s">
        <v>152</v>
      </c>
      <c r="D2" s="785" t="s">
        <v>153</v>
      </c>
      <c r="E2" s="445" t="s">
        <v>154</v>
      </c>
      <c r="F2" s="445" t="s">
        <v>155</v>
      </c>
    </row>
    <row r="3" spans="1:6" ht="13.5" thickBot="1" x14ac:dyDescent="0.25">
      <c r="A3" s="446" t="s">
        <v>156</v>
      </c>
      <c r="B3" s="786"/>
      <c r="C3" s="786"/>
      <c r="D3" s="786"/>
      <c r="E3" s="447" t="s">
        <v>157</v>
      </c>
      <c r="F3" s="447" t="s">
        <v>157</v>
      </c>
    </row>
    <row r="4" spans="1:6" ht="15.75" thickBot="1" x14ac:dyDescent="0.25">
      <c r="A4" s="448" t="s">
        <v>158</v>
      </c>
      <c r="B4" s="787"/>
      <c r="C4" s="787"/>
      <c r="D4" s="787"/>
      <c r="E4" s="449"/>
      <c r="F4" s="449"/>
    </row>
    <row r="5" spans="1:6" ht="13.5" thickBot="1" x14ac:dyDescent="0.25">
      <c r="A5" s="450">
        <v>2</v>
      </c>
      <c r="B5" s="451" t="s">
        <v>159</v>
      </c>
      <c r="C5" s="451" t="s">
        <v>160</v>
      </c>
      <c r="D5" s="451" t="s">
        <v>161</v>
      </c>
      <c r="E5" s="452">
        <v>0.95</v>
      </c>
      <c r="F5" s="452">
        <f>E5*A5</f>
        <v>1.9</v>
      </c>
    </row>
    <row r="6" spans="1:6" ht="13.5" thickBot="1" x14ac:dyDescent="0.25">
      <c r="A6" s="450">
        <v>2</v>
      </c>
      <c r="B6" s="451" t="s">
        <v>159</v>
      </c>
      <c r="C6" s="451" t="s">
        <v>162</v>
      </c>
      <c r="D6" s="453"/>
      <c r="E6" s="452">
        <v>3.5</v>
      </c>
      <c r="F6" s="452">
        <f t="shared" ref="F6:F43" si="0">E6*A6</f>
        <v>7</v>
      </c>
    </row>
    <row r="7" spans="1:6" ht="13.5" thickBot="1" x14ac:dyDescent="0.25">
      <c r="A7" s="450">
        <v>0.25</v>
      </c>
      <c r="B7" s="451" t="s">
        <v>163</v>
      </c>
      <c r="C7" s="451" t="s">
        <v>164</v>
      </c>
      <c r="D7" s="453"/>
      <c r="E7" s="452">
        <v>9</v>
      </c>
      <c r="F7" s="452">
        <f t="shared" si="0"/>
        <v>2.25</v>
      </c>
    </row>
    <row r="8" spans="1:6" ht="13.5" thickBot="1" x14ac:dyDescent="0.25">
      <c r="A8" s="450">
        <v>0.33</v>
      </c>
      <c r="B8" s="451" t="s">
        <v>159</v>
      </c>
      <c r="C8" s="451" t="s">
        <v>165</v>
      </c>
      <c r="D8" s="451" t="s">
        <v>166</v>
      </c>
      <c r="E8" s="452">
        <v>3.1</v>
      </c>
      <c r="F8" s="452">
        <f t="shared" si="0"/>
        <v>1.02</v>
      </c>
    </row>
    <row r="9" spans="1:6" ht="13.5" thickBot="1" x14ac:dyDescent="0.25">
      <c r="A9" s="450">
        <v>1.5</v>
      </c>
      <c r="B9" s="451" t="s">
        <v>159</v>
      </c>
      <c r="C9" s="451" t="s">
        <v>167</v>
      </c>
      <c r="D9" s="451" t="s">
        <v>168</v>
      </c>
      <c r="E9" s="452">
        <v>5.2</v>
      </c>
      <c r="F9" s="452">
        <f t="shared" si="0"/>
        <v>7.8</v>
      </c>
    </row>
    <row r="10" spans="1:6" ht="13.5" thickBot="1" x14ac:dyDescent="0.25">
      <c r="A10" s="450">
        <v>1.5</v>
      </c>
      <c r="B10" s="451" t="s">
        <v>163</v>
      </c>
      <c r="C10" s="451" t="s">
        <v>169</v>
      </c>
      <c r="D10" s="451" t="s">
        <v>170</v>
      </c>
      <c r="E10" s="452">
        <v>3.86</v>
      </c>
      <c r="F10" s="452">
        <f t="shared" si="0"/>
        <v>5.79</v>
      </c>
    </row>
    <row r="11" spans="1:6" ht="13.5" thickBot="1" x14ac:dyDescent="0.25">
      <c r="A11" s="450">
        <v>3</v>
      </c>
      <c r="B11" s="451" t="s">
        <v>163</v>
      </c>
      <c r="C11" s="451" t="s">
        <v>171</v>
      </c>
      <c r="D11" s="451" t="s">
        <v>172</v>
      </c>
      <c r="E11" s="452">
        <v>0.84</v>
      </c>
      <c r="F11" s="452">
        <f t="shared" si="0"/>
        <v>2.52</v>
      </c>
    </row>
    <row r="12" spans="1:6" ht="13.5" thickBot="1" x14ac:dyDescent="0.25">
      <c r="A12" s="450">
        <v>2</v>
      </c>
      <c r="B12" s="451" t="s">
        <v>163</v>
      </c>
      <c r="C12" s="451" t="s">
        <v>173</v>
      </c>
      <c r="D12" s="451" t="s">
        <v>172</v>
      </c>
      <c r="E12" s="452">
        <v>3.5</v>
      </c>
      <c r="F12" s="452">
        <f t="shared" si="0"/>
        <v>7</v>
      </c>
    </row>
    <row r="13" spans="1:6" ht="13.5" thickBot="1" x14ac:dyDescent="0.25">
      <c r="A13" s="450">
        <v>0.17</v>
      </c>
      <c r="B13" s="451" t="s">
        <v>163</v>
      </c>
      <c r="C13" s="451" t="s">
        <v>174</v>
      </c>
      <c r="D13" s="451" t="s">
        <v>175</v>
      </c>
      <c r="E13" s="452">
        <v>10</v>
      </c>
      <c r="F13" s="452">
        <f t="shared" si="0"/>
        <v>1.7</v>
      </c>
    </row>
    <row r="14" spans="1:6" ht="13.5" thickBot="1" x14ac:dyDescent="0.25">
      <c r="A14" s="450">
        <v>0.17</v>
      </c>
      <c r="B14" s="451" t="s">
        <v>163</v>
      </c>
      <c r="C14" s="451" t="s">
        <v>176</v>
      </c>
      <c r="D14" s="451" t="s">
        <v>175</v>
      </c>
      <c r="E14" s="452">
        <v>10</v>
      </c>
      <c r="F14" s="452">
        <f t="shared" si="0"/>
        <v>1.7</v>
      </c>
    </row>
    <row r="15" spans="1:6" ht="13.5" thickBot="1" x14ac:dyDescent="0.25">
      <c r="A15" s="450">
        <v>0.17</v>
      </c>
      <c r="B15" s="451" t="s">
        <v>163</v>
      </c>
      <c r="C15" s="451" t="s">
        <v>177</v>
      </c>
      <c r="D15" s="451" t="s">
        <v>178</v>
      </c>
      <c r="E15" s="452">
        <v>3.55</v>
      </c>
      <c r="F15" s="452">
        <f t="shared" si="0"/>
        <v>0.6</v>
      </c>
    </row>
    <row r="16" spans="1:6" ht="13.5" thickBot="1" x14ac:dyDescent="0.25">
      <c r="A16" s="450">
        <v>3</v>
      </c>
      <c r="B16" s="451" t="s">
        <v>163</v>
      </c>
      <c r="C16" s="451" t="s">
        <v>179</v>
      </c>
      <c r="D16" s="451" t="s">
        <v>180</v>
      </c>
      <c r="E16" s="452">
        <v>0.18</v>
      </c>
      <c r="F16" s="452">
        <f t="shared" si="0"/>
        <v>0.54</v>
      </c>
    </row>
    <row r="17" spans="1:6" ht="13.5" thickBot="1" x14ac:dyDescent="0.25">
      <c r="A17" s="450">
        <v>1.5</v>
      </c>
      <c r="B17" s="451" t="s">
        <v>163</v>
      </c>
      <c r="C17" s="451" t="s">
        <v>181</v>
      </c>
      <c r="D17" s="453"/>
      <c r="E17" s="452">
        <v>1.2</v>
      </c>
      <c r="F17" s="452">
        <f t="shared" si="0"/>
        <v>1.8</v>
      </c>
    </row>
    <row r="18" spans="1:6" ht="13.5" thickBot="1" x14ac:dyDescent="0.25">
      <c r="A18" s="450">
        <v>1.5</v>
      </c>
      <c r="B18" s="451" t="s">
        <v>182</v>
      </c>
      <c r="C18" s="451" t="s">
        <v>183</v>
      </c>
      <c r="D18" s="451" t="s">
        <v>184</v>
      </c>
      <c r="E18" s="452">
        <v>0.67</v>
      </c>
      <c r="F18" s="452">
        <f t="shared" si="0"/>
        <v>1.01</v>
      </c>
    </row>
    <row r="19" spans="1:6" ht="13.5" thickBot="1" x14ac:dyDescent="0.25">
      <c r="A19" s="450">
        <v>0.25</v>
      </c>
      <c r="B19" s="451" t="s">
        <v>185</v>
      </c>
      <c r="C19" s="451" t="s">
        <v>186</v>
      </c>
      <c r="D19" s="451" t="s">
        <v>187</v>
      </c>
      <c r="E19" s="452">
        <v>1.9</v>
      </c>
      <c r="F19" s="452">
        <f t="shared" si="0"/>
        <v>0.48</v>
      </c>
    </row>
    <row r="20" spans="1:6" ht="13.5" thickBot="1" x14ac:dyDescent="0.25">
      <c r="A20" s="450">
        <v>8</v>
      </c>
      <c r="B20" s="451" t="s">
        <v>182</v>
      </c>
      <c r="C20" s="451" t="s">
        <v>188</v>
      </c>
      <c r="D20" s="451" t="s">
        <v>189</v>
      </c>
      <c r="E20" s="452">
        <v>3.06</v>
      </c>
      <c r="F20" s="452">
        <f t="shared" si="0"/>
        <v>24.48</v>
      </c>
    </row>
    <row r="21" spans="1:6" ht="13.5" thickBot="1" x14ac:dyDescent="0.25">
      <c r="A21" s="450">
        <v>2</v>
      </c>
      <c r="B21" s="451" t="s">
        <v>190</v>
      </c>
      <c r="C21" s="451" t="s">
        <v>191</v>
      </c>
      <c r="D21" s="453"/>
      <c r="E21" s="452">
        <v>45</v>
      </c>
      <c r="F21" s="452">
        <f t="shared" si="0"/>
        <v>90</v>
      </c>
    </row>
    <row r="22" spans="1:6" ht="13.5" thickBot="1" x14ac:dyDescent="0.25">
      <c r="A22" s="450">
        <v>0.17</v>
      </c>
      <c r="B22" s="451" t="s">
        <v>163</v>
      </c>
      <c r="C22" s="451" t="s">
        <v>192</v>
      </c>
      <c r="D22" s="453"/>
      <c r="E22" s="452">
        <v>2.5</v>
      </c>
      <c r="F22" s="452">
        <f t="shared" si="0"/>
        <v>0.43</v>
      </c>
    </row>
    <row r="23" spans="1:6" ht="13.5" thickBot="1" x14ac:dyDescent="0.25">
      <c r="A23" s="450">
        <v>4</v>
      </c>
      <c r="B23" s="451" t="s">
        <v>163</v>
      </c>
      <c r="C23" s="451" t="s">
        <v>193</v>
      </c>
      <c r="D23" s="451" t="s">
        <v>194</v>
      </c>
      <c r="E23" s="452">
        <v>4</v>
      </c>
      <c r="F23" s="452">
        <f t="shared" si="0"/>
        <v>16</v>
      </c>
    </row>
    <row r="24" spans="1:6" ht="13.5" thickBot="1" x14ac:dyDescent="0.25">
      <c r="A24" s="450">
        <v>0.25</v>
      </c>
      <c r="B24" s="451" t="s">
        <v>163</v>
      </c>
      <c r="C24" s="451" t="s">
        <v>195</v>
      </c>
      <c r="D24" s="453"/>
      <c r="E24" s="452">
        <v>3</v>
      </c>
      <c r="F24" s="452">
        <f t="shared" si="0"/>
        <v>0.75</v>
      </c>
    </row>
    <row r="25" spans="1:6" ht="13.5" thickBot="1" x14ac:dyDescent="0.25">
      <c r="A25" s="450">
        <v>0.25</v>
      </c>
      <c r="B25" s="451" t="s">
        <v>163</v>
      </c>
      <c r="C25" s="451" t="s">
        <v>196</v>
      </c>
      <c r="D25" s="453"/>
      <c r="E25" s="452">
        <v>3.59</v>
      </c>
      <c r="F25" s="452">
        <f t="shared" si="0"/>
        <v>0.9</v>
      </c>
    </row>
    <row r="26" spans="1:6" ht="13.5" thickBot="1" x14ac:dyDescent="0.25">
      <c r="A26" s="450">
        <v>2</v>
      </c>
      <c r="B26" s="451" t="s">
        <v>197</v>
      </c>
      <c r="C26" s="451" t="s">
        <v>198</v>
      </c>
      <c r="D26" s="451" t="s">
        <v>199</v>
      </c>
      <c r="E26" s="452">
        <v>3.2</v>
      </c>
      <c r="F26" s="452">
        <f t="shared" si="0"/>
        <v>6.4</v>
      </c>
    </row>
    <row r="27" spans="1:6" ht="13.5" thickBot="1" x14ac:dyDescent="0.25">
      <c r="A27" s="450">
        <v>1</v>
      </c>
      <c r="B27" s="451" t="s">
        <v>159</v>
      </c>
      <c r="C27" s="451" t="s">
        <v>200</v>
      </c>
      <c r="D27" s="451" t="s">
        <v>201</v>
      </c>
      <c r="E27" s="452">
        <v>9.33</v>
      </c>
      <c r="F27" s="452">
        <f t="shared" si="0"/>
        <v>9.33</v>
      </c>
    </row>
    <row r="28" spans="1:6" ht="13.5" thickBot="1" x14ac:dyDescent="0.25">
      <c r="A28" s="450">
        <v>2.5</v>
      </c>
      <c r="B28" s="451" t="s">
        <v>182</v>
      </c>
      <c r="C28" s="451" t="s">
        <v>202</v>
      </c>
      <c r="D28" s="451" t="s">
        <v>203</v>
      </c>
      <c r="E28" s="452">
        <v>3.07</v>
      </c>
      <c r="F28" s="452">
        <f t="shared" si="0"/>
        <v>7.68</v>
      </c>
    </row>
    <row r="29" spans="1:6" ht="13.5" thickBot="1" x14ac:dyDescent="0.25">
      <c r="A29" s="450">
        <v>2</v>
      </c>
      <c r="B29" s="451" t="s">
        <v>163</v>
      </c>
      <c r="C29" s="451" t="s">
        <v>204</v>
      </c>
      <c r="D29" s="453"/>
      <c r="E29" s="452">
        <v>2.1</v>
      </c>
      <c r="F29" s="452">
        <f t="shared" si="0"/>
        <v>4.2</v>
      </c>
    </row>
    <row r="30" spans="1:6" ht="13.5" thickBot="1" x14ac:dyDescent="0.25">
      <c r="A30" s="450">
        <v>1</v>
      </c>
      <c r="B30" s="451" t="s">
        <v>190</v>
      </c>
      <c r="C30" s="451" t="s">
        <v>205</v>
      </c>
      <c r="D30" s="453"/>
      <c r="E30" s="452">
        <v>12.9</v>
      </c>
      <c r="F30" s="452">
        <f t="shared" si="0"/>
        <v>12.9</v>
      </c>
    </row>
    <row r="31" spans="1:6" ht="13.5" thickBot="1" x14ac:dyDescent="0.25">
      <c r="A31" s="450">
        <v>1</v>
      </c>
      <c r="B31" s="451" t="s">
        <v>190</v>
      </c>
      <c r="C31" s="451" t="s">
        <v>206</v>
      </c>
      <c r="D31" s="453"/>
      <c r="E31" s="452">
        <v>5.1100000000000003</v>
      </c>
      <c r="F31" s="452">
        <f t="shared" si="0"/>
        <v>5.1100000000000003</v>
      </c>
    </row>
    <row r="32" spans="1:6" ht="13.5" thickBot="1" x14ac:dyDescent="0.25">
      <c r="A32" s="450">
        <v>3</v>
      </c>
      <c r="B32" s="451" t="s">
        <v>182</v>
      </c>
      <c r="C32" s="451" t="s">
        <v>207</v>
      </c>
      <c r="D32" s="453"/>
      <c r="E32" s="452">
        <v>0.98</v>
      </c>
      <c r="F32" s="452">
        <f t="shared" si="0"/>
        <v>2.94</v>
      </c>
    </row>
    <row r="33" spans="1:8" ht="13.5" thickBot="1" x14ac:dyDescent="0.25">
      <c r="A33" s="450">
        <v>0.25</v>
      </c>
      <c r="B33" s="451" t="s">
        <v>163</v>
      </c>
      <c r="C33" s="451" t="s">
        <v>208</v>
      </c>
      <c r="D33" s="453"/>
      <c r="E33" s="452">
        <v>4.3</v>
      </c>
      <c r="F33" s="452">
        <f t="shared" si="0"/>
        <v>1.08</v>
      </c>
    </row>
    <row r="34" spans="1:8" ht="13.5" thickBot="1" x14ac:dyDescent="0.25">
      <c r="A34" s="450">
        <v>0.25</v>
      </c>
      <c r="B34" s="451" t="s">
        <v>163</v>
      </c>
      <c r="C34" s="451" t="s">
        <v>209</v>
      </c>
      <c r="D34" s="453"/>
      <c r="E34" s="452">
        <v>6.37</v>
      </c>
      <c r="F34" s="452">
        <f t="shared" si="0"/>
        <v>1.59</v>
      </c>
    </row>
    <row r="35" spans="1:8" ht="13.5" thickBot="1" x14ac:dyDescent="0.25">
      <c r="A35" s="450">
        <v>0.67</v>
      </c>
      <c r="B35" s="451" t="s">
        <v>163</v>
      </c>
      <c r="C35" s="451" t="s">
        <v>210</v>
      </c>
      <c r="D35" s="453"/>
      <c r="E35" s="452">
        <v>6.9</v>
      </c>
      <c r="F35" s="452">
        <f t="shared" si="0"/>
        <v>4.62</v>
      </c>
    </row>
    <row r="36" spans="1:8" ht="13.5" thickBot="1" x14ac:dyDescent="0.25">
      <c r="A36" s="450">
        <v>0.33</v>
      </c>
      <c r="B36" s="451" t="s">
        <v>163</v>
      </c>
      <c r="C36" s="451" t="s">
        <v>211</v>
      </c>
      <c r="D36" s="453"/>
      <c r="E36" s="452">
        <v>3.1</v>
      </c>
      <c r="F36" s="452">
        <f t="shared" si="0"/>
        <v>1.02</v>
      </c>
    </row>
    <row r="37" spans="1:8" ht="13.5" thickBot="1" x14ac:dyDescent="0.25">
      <c r="A37" s="450">
        <v>0.08</v>
      </c>
      <c r="B37" s="451" t="s">
        <v>163</v>
      </c>
      <c r="C37" s="451" t="s">
        <v>212</v>
      </c>
      <c r="D37" s="453"/>
      <c r="E37" s="452">
        <v>12</v>
      </c>
      <c r="F37" s="452">
        <f t="shared" si="0"/>
        <v>0.96</v>
      </c>
    </row>
    <row r="38" spans="1:8" ht="13.5" thickBot="1" x14ac:dyDescent="0.25">
      <c r="A38" s="450">
        <v>0.25</v>
      </c>
      <c r="B38" s="451" t="s">
        <v>163</v>
      </c>
      <c r="C38" s="451" t="s">
        <v>213</v>
      </c>
      <c r="D38" s="453"/>
      <c r="E38" s="452">
        <v>2.8</v>
      </c>
      <c r="F38" s="452">
        <f t="shared" si="0"/>
        <v>0.7</v>
      </c>
    </row>
    <row r="39" spans="1:8" ht="13.5" thickBot="1" x14ac:dyDescent="0.25">
      <c r="A39" s="450">
        <v>0.5</v>
      </c>
      <c r="B39" s="451" t="s">
        <v>163</v>
      </c>
      <c r="C39" s="451" t="s">
        <v>214</v>
      </c>
      <c r="D39" s="451" t="s">
        <v>168</v>
      </c>
      <c r="E39" s="452">
        <v>6</v>
      </c>
      <c r="F39" s="452">
        <f t="shared" si="0"/>
        <v>3</v>
      </c>
    </row>
    <row r="40" spans="1:8" ht="13.5" thickBot="1" x14ac:dyDescent="0.25">
      <c r="A40" s="450">
        <v>1.5</v>
      </c>
      <c r="B40" s="451" t="s">
        <v>215</v>
      </c>
      <c r="C40" s="451" t="s">
        <v>216</v>
      </c>
      <c r="D40" s="451" t="s">
        <v>168</v>
      </c>
      <c r="E40" s="452">
        <v>16</v>
      </c>
      <c r="F40" s="452">
        <f t="shared" si="0"/>
        <v>24</v>
      </c>
    </row>
    <row r="41" spans="1:8" ht="13.5" thickBot="1" x14ac:dyDescent="0.25">
      <c r="A41" s="450">
        <v>1</v>
      </c>
      <c r="B41" s="451" t="s">
        <v>215</v>
      </c>
      <c r="C41" s="451" t="s">
        <v>217</v>
      </c>
      <c r="D41" s="451" t="s">
        <v>168</v>
      </c>
      <c r="E41" s="452">
        <v>28</v>
      </c>
      <c r="F41" s="452">
        <f t="shared" si="0"/>
        <v>28</v>
      </c>
    </row>
    <row r="42" spans="1:8" ht="13.5" thickBot="1" x14ac:dyDescent="0.25">
      <c r="A42" s="450">
        <v>3</v>
      </c>
      <c r="B42" s="451" t="s">
        <v>163</v>
      </c>
      <c r="C42" s="451" t="s">
        <v>218</v>
      </c>
      <c r="D42" s="451" t="s">
        <v>168</v>
      </c>
      <c r="E42" s="452">
        <v>1.55</v>
      </c>
      <c r="F42" s="452">
        <f t="shared" si="0"/>
        <v>4.6500000000000004</v>
      </c>
    </row>
    <row r="43" spans="1:8" ht="13.5" thickBot="1" x14ac:dyDescent="0.25">
      <c r="A43" s="450">
        <v>1</v>
      </c>
      <c r="B43" s="451" t="s">
        <v>163</v>
      </c>
      <c r="C43" s="451" t="s">
        <v>219</v>
      </c>
      <c r="D43" s="451" t="s">
        <v>220</v>
      </c>
      <c r="E43" s="452">
        <v>2.84</v>
      </c>
      <c r="F43" s="452">
        <f t="shared" si="0"/>
        <v>2.84</v>
      </c>
    </row>
    <row r="44" spans="1:8" ht="13.5" thickBot="1" x14ac:dyDescent="0.25">
      <c r="A44" s="454"/>
      <c r="B44" s="454"/>
      <c r="C44" s="782" t="s">
        <v>221</v>
      </c>
      <c r="D44" s="783"/>
      <c r="E44" s="784"/>
      <c r="F44" s="455">
        <f>SUM(F5:F43)</f>
        <v>296.69</v>
      </c>
    </row>
    <row r="45" spans="1:8" ht="13.5" thickBot="1" x14ac:dyDescent="0.25">
      <c r="A45" s="454"/>
      <c r="B45" s="454"/>
      <c r="C45" s="782" t="s">
        <v>222</v>
      </c>
      <c r="D45" s="783"/>
      <c r="E45" s="784"/>
      <c r="F45" s="456">
        <f>F44*124</f>
        <v>36789.56</v>
      </c>
    </row>
    <row r="46" spans="1:8" ht="13.5" thickBot="1" x14ac:dyDescent="0.25">
      <c r="A46" s="454"/>
      <c r="B46" s="454"/>
      <c r="C46" s="782" t="s">
        <v>223</v>
      </c>
      <c r="D46" s="783"/>
      <c r="E46" s="784"/>
      <c r="F46" s="457">
        <f>F45/144</f>
        <v>255.48</v>
      </c>
      <c r="G46" s="330" t="s">
        <v>485</v>
      </c>
    </row>
    <row r="48" spans="1:8" x14ac:dyDescent="0.2">
      <c r="D48" s="458" t="s">
        <v>486</v>
      </c>
      <c r="F48" s="459">
        <f>F46*1.06631</f>
        <v>272.42</v>
      </c>
      <c r="G48" s="303" t="s">
        <v>486</v>
      </c>
      <c r="H48" s="460"/>
    </row>
    <row r="50" spans="4:8" x14ac:dyDescent="0.2">
      <c r="D50" s="461" t="s">
        <v>531</v>
      </c>
      <c r="F50" s="459">
        <f>F48*109.28%</f>
        <v>297.7</v>
      </c>
      <c r="G50" s="461" t="s">
        <v>531</v>
      </c>
      <c r="H50" s="461"/>
    </row>
    <row r="52" spans="4:8" x14ac:dyDescent="0.2">
      <c r="D52" s="305" t="s">
        <v>563</v>
      </c>
      <c r="F52" s="594">
        <f>F50*113.65%</f>
        <v>338.34</v>
      </c>
    </row>
  </sheetData>
  <mergeCells count="6">
    <mergeCell ref="C46:E46"/>
    <mergeCell ref="B2:B4"/>
    <mergeCell ref="C2:C4"/>
    <mergeCell ref="D2:D4"/>
    <mergeCell ref="C44:E44"/>
    <mergeCell ref="C45:E45"/>
  </mergeCells>
  <pageMargins left="0.511811024" right="0.511811024" top="0.78740157499999996" bottom="0.78740157499999996" header="0.31496062000000002" footer="0.31496062000000002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521" t="s">
        <v>1</v>
      </c>
      <c r="B8" s="4" t="s">
        <v>5</v>
      </c>
      <c r="C8" s="654">
        <v>41015</v>
      </c>
      <c r="D8" s="651"/>
    </row>
    <row r="9" spans="1:4" x14ac:dyDescent="0.2">
      <c r="A9" s="521" t="s">
        <v>2</v>
      </c>
      <c r="B9" s="4" t="s">
        <v>114</v>
      </c>
      <c r="C9" s="655" t="s">
        <v>541</v>
      </c>
      <c r="D9" s="655"/>
    </row>
    <row r="10" spans="1:4" x14ac:dyDescent="0.2">
      <c r="A10" s="521" t="s">
        <v>4</v>
      </c>
      <c r="B10" s="4" t="s">
        <v>6</v>
      </c>
      <c r="C10" s="654">
        <v>40544</v>
      </c>
      <c r="D10" s="651"/>
    </row>
    <row r="11" spans="1:4" x14ac:dyDescent="0.2">
      <c r="A11" s="521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517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521">
        <v>1</v>
      </c>
      <c r="B22" s="4" t="s">
        <v>131</v>
      </c>
      <c r="C22" s="656" t="s">
        <v>145</v>
      </c>
      <c r="D22" s="657"/>
    </row>
    <row r="23" spans="1:5" x14ac:dyDescent="0.2">
      <c r="A23" s="519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519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519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516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519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519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519" t="s">
        <v>4</v>
      </c>
      <c r="B31" s="368" t="s">
        <v>24</v>
      </c>
      <c r="C31" s="380"/>
      <c r="D31" s="378"/>
      <c r="E31" s="381"/>
    </row>
    <row r="32" spans="1:5" x14ac:dyDescent="0.2">
      <c r="A32" s="519" t="s">
        <v>3</v>
      </c>
      <c r="B32" s="368" t="s">
        <v>25</v>
      </c>
      <c r="C32" s="382"/>
      <c r="D32" s="378"/>
      <c r="E32" s="379"/>
    </row>
    <row r="33" spans="1:5" x14ac:dyDescent="0.2">
      <c r="A33" s="519" t="s">
        <v>18</v>
      </c>
      <c r="B33" s="368" t="s">
        <v>26</v>
      </c>
      <c r="C33" s="382"/>
      <c r="D33" s="378"/>
      <c r="E33" s="379"/>
    </row>
    <row r="34" spans="1:5" x14ac:dyDescent="0.2">
      <c r="A34" s="519" t="s">
        <v>19</v>
      </c>
      <c r="B34" s="368" t="s">
        <v>27</v>
      </c>
      <c r="C34" s="377"/>
      <c r="D34" s="378"/>
      <c r="E34" s="381"/>
    </row>
    <row r="35" spans="1:5" x14ac:dyDescent="0.2">
      <c r="A35" s="519" t="s">
        <v>20</v>
      </c>
      <c r="B35" s="368" t="s">
        <v>28</v>
      </c>
      <c r="C35" s="382"/>
      <c r="D35" s="378"/>
      <c r="E35" s="379"/>
    </row>
    <row r="36" spans="1:5" x14ac:dyDescent="0.2">
      <c r="A36" s="519" t="s">
        <v>21</v>
      </c>
      <c r="B36" s="368" t="s">
        <v>119</v>
      </c>
      <c r="C36" s="377"/>
      <c r="D36" s="378"/>
      <c r="E36" s="369"/>
    </row>
    <row r="37" spans="1:5" x14ac:dyDescent="0.2">
      <c r="A37" s="519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516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519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519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519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519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519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519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516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519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519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519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519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52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52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52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52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52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52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52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52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52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52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52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52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52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52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521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521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521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521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521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521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521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521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521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521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523">
        <v>4</v>
      </c>
      <c r="B99" s="665" t="s">
        <v>68</v>
      </c>
      <c r="C99" s="665"/>
      <c r="D99" s="12" t="s">
        <v>98</v>
      </c>
    </row>
    <row r="100" spans="1:5" x14ac:dyDescent="0.2">
      <c r="A100" s="521" t="s">
        <v>63</v>
      </c>
      <c r="B100" s="258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521" t="s">
        <v>64</v>
      </c>
      <c r="B101" s="258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520" t="s">
        <v>65</v>
      </c>
      <c r="B102" s="258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520" t="s">
        <v>66</v>
      </c>
      <c r="B103" s="258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520" t="s">
        <v>67</v>
      </c>
      <c r="B104" s="258" t="s">
        <v>29</v>
      </c>
      <c r="C104" s="524"/>
      <c r="D104" s="13"/>
    </row>
    <row r="105" spans="1:5" x14ac:dyDescent="0.2">
      <c r="A105" s="521"/>
      <c r="B105" s="5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2598.0500000000002</v>
      </c>
    </row>
    <row r="107" spans="1:5" x14ac:dyDescent="0.2">
      <c r="A107" s="523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521" t="s">
        <v>1</v>
      </c>
      <c r="B108" s="4" t="s">
        <v>73</v>
      </c>
      <c r="C108" s="10">
        <v>1.06E-2</v>
      </c>
      <c r="D108" s="13">
        <f>ROUND($D$106*C108,2)</f>
        <v>27.54</v>
      </c>
    </row>
    <row r="109" spans="1:5" x14ac:dyDescent="0.2">
      <c r="A109" s="521" t="s">
        <v>2</v>
      </c>
      <c r="B109" s="4" t="s">
        <v>74</v>
      </c>
      <c r="C109" s="10"/>
      <c r="D109" s="13"/>
      <c r="E109" s="198"/>
    </row>
    <row r="110" spans="1:5" x14ac:dyDescent="0.2">
      <c r="A110" s="519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519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519" t="s">
        <v>107</v>
      </c>
      <c r="B112" s="4" t="s">
        <v>77</v>
      </c>
      <c r="C112" s="10">
        <v>1.6500000000000001E-2</v>
      </c>
      <c r="D112" s="13">
        <f>ROUND($F$115*C112,2)</f>
        <v>49.62</v>
      </c>
    </row>
    <row r="113" spans="1:6" x14ac:dyDescent="0.2">
      <c r="A113" s="519" t="s">
        <v>108</v>
      </c>
      <c r="B113" s="4" t="s">
        <v>78</v>
      </c>
      <c r="C113" s="10">
        <v>7.5999999999999998E-2</v>
      </c>
      <c r="D113" s="13">
        <f>ROUND($F$115*C113,2)</f>
        <v>228.54</v>
      </c>
      <c r="F113" s="39">
        <f>SUM(C110:C114)</f>
        <v>0.1225</v>
      </c>
    </row>
    <row r="114" spans="1:6" x14ac:dyDescent="0.2">
      <c r="A114" s="519" t="s">
        <v>109</v>
      </c>
      <c r="B114" s="4" t="s">
        <v>79</v>
      </c>
      <c r="C114" s="131">
        <v>0.03</v>
      </c>
      <c r="D114" s="13">
        <f>ROUND($F$115*C114,2)</f>
        <v>90.21</v>
      </c>
      <c r="F114" s="40">
        <f>ROUND(D115+D108+D106,2)</f>
        <v>2638.72</v>
      </c>
    </row>
    <row r="115" spans="1:6" x14ac:dyDescent="0.2">
      <c r="A115" s="521" t="s">
        <v>4</v>
      </c>
      <c r="B115" s="4" t="s">
        <v>80</v>
      </c>
      <c r="C115" s="10">
        <v>5.0000000000000001E-3</v>
      </c>
      <c r="D115" s="13">
        <f>ROUND(($D$106+D108)*C115,2)</f>
        <v>13.13</v>
      </c>
      <c r="F115" s="41">
        <f>ROUND(F114/(1-F113),2)</f>
        <v>3007.09</v>
      </c>
    </row>
    <row r="116" spans="1:6" x14ac:dyDescent="0.2">
      <c r="A116" s="677" t="s">
        <v>46</v>
      </c>
      <c r="B116" s="682"/>
      <c r="C116" s="678"/>
      <c r="D116" s="22">
        <f>ROUND(SUM(D108:D115),2)</f>
        <v>409.04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521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521" t="s">
        <v>2</v>
      </c>
      <c r="B121" s="658" t="s">
        <v>84</v>
      </c>
      <c r="C121" s="658"/>
      <c r="D121" s="13">
        <f>D49</f>
        <v>368.6</v>
      </c>
    </row>
    <row r="122" spans="1:6" x14ac:dyDescent="0.2">
      <c r="A122" s="521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521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2598.0500000000002</v>
      </c>
    </row>
    <row r="125" spans="1:6" x14ac:dyDescent="0.2">
      <c r="A125" s="521" t="s">
        <v>18</v>
      </c>
      <c r="B125" s="683" t="s">
        <v>86</v>
      </c>
      <c r="C125" s="683"/>
      <c r="D125" s="13">
        <f>D116</f>
        <v>409.04</v>
      </c>
    </row>
    <row r="126" spans="1:6" x14ac:dyDescent="0.2">
      <c r="A126" s="655" t="s">
        <v>87</v>
      </c>
      <c r="B126" s="655"/>
      <c r="C126" s="655"/>
      <c r="D126" s="22">
        <f>ROUND(D125+D124,2)</f>
        <v>3007.09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3007.09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3007.09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3007.09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521" t="s">
        <v>1</v>
      </c>
      <c r="B137" s="658" t="s">
        <v>93</v>
      </c>
      <c r="C137" s="658"/>
      <c r="D137" s="202">
        <f>D130</f>
        <v>3007.09</v>
      </c>
      <c r="E137" s="201"/>
    </row>
    <row r="138" spans="1:5" x14ac:dyDescent="0.2">
      <c r="A138" s="521" t="s">
        <v>2</v>
      </c>
      <c r="B138" s="658" t="s">
        <v>94</v>
      </c>
      <c r="C138" s="658"/>
      <c r="D138" s="13">
        <f>D134</f>
        <v>3007.09</v>
      </c>
    </row>
    <row r="139" spans="1:5" x14ac:dyDescent="0.2">
      <c r="A139" s="523" t="s">
        <v>4</v>
      </c>
      <c r="B139" s="665" t="s">
        <v>95</v>
      </c>
      <c r="C139" s="665"/>
      <c r="D139" s="22">
        <f>ROUND(D138*12,2)</f>
        <v>36085.08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103" zoomScaleNormal="85" zoomScaleSheetLayoutView="100" workbookViewId="0">
      <selection activeCell="E145" sqref="E145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521" t="s">
        <v>1</v>
      </c>
      <c r="B8" s="4" t="s">
        <v>5</v>
      </c>
      <c r="C8" s="654">
        <v>41015</v>
      </c>
      <c r="D8" s="651"/>
    </row>
    <row r="9" spans="1:4" x14ac:dyDescent="0.2">
      <c r="A9" s="521" t="s">
        <v>2</v>
      </c>
      <c r="B9" s="4" t="s">
        <v>114</v>
      </c>
      <c r="C9" s="655" t="s">
        <v>540</v>
      </c>
      <c r="D9" s="655"/>
    </row>
    <row r="10" spans="1:4" x14ac:dyDescent="0.2">
      <c r="A10" s="521" t="s">
        <v>4</v>
      </c>
      <c r="B10" s="4" t="s">
        <v>6</v>
      </c>
      <c r="C10" s="654">
        <v>40544</v>
      </c>
      <c r="D10" s="651"/>
    </row>
    <row r="11" spans="1:4" x14ac:dyDescent="0.2">
      <c r="A11" s="521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517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521">
        <v>1</v>
      </c>
      <c r="B22" s="4" t="s">
        <v>131</v>
      </c>
      <c r="C22" s="656" t="s">
        <v>145</v>
      </c>
      <c r="D22" s="657"/>
    </row>
    <row r="23" spans="1:5" x14ac:dyDescent="0.2">
      <c r="A23" s="519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519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519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516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519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519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519" t="s">
        <v>4</v>
      </c>
      <c r="B31" s="368" t="s">
        <v>24</v>
      </c>
      <c r="C31" s="380"/>
      <c r="D31" s="378"/>
      <c r="E31" s="381"/>
    </row>
    <row r="32" spans="1:5" x14ac:dyDescent="0.2">
      <c r="A32" s="519" t="s">
        <v>3</v>
      </c>
      <c r="B32" s="368" t="s">
        <v>25</v>
      </c>
      <c r="C32" s="382"/>
      <c r="D32" s="378"/>
      <c r="E32" s="379"/>
    </row>
    <row r="33" spans="1:5" x14ac:dyDescent="0.2">
      <c r="A33" s="519" t="s">
        <v>18</v>
      </c>
      <c r="B33" s="368" t="s">
        <v>26</v>
      </c>
      <c r="C33" s="382"/>
      <c r="D33" s="378"/>
      <c r="E33" s="379"/>
    </row>
    <row r="34" spans="1:5" x14ac:dyDescent="0.2">
      <c r="A34" s="519" t="s">
        <v>19</v>
      </c>
      <c r="B34" s="368" t="s">
        <v>27</v>
      </c>
      <c r="C34" s="377"/>
      <c r="D34" s="378"/>
      <c r="E34" s="381"/>
    </row>
    <row r="35" spans="1:5" x14ac:dyDescent="0.2">
      <c r="A35" s="519" t="s">
        <v>20</v>
      </c>
      <c r="B35" s="368" t="s">
        <v>28</v>
      </c>
      <c r="C35" s="382"/>
      <c r="D35" s="378"/>
      <c r="E35" s="379"/>
    </row>
    <row r="36" spans="1:5" x14ac:dyDescent="0.2">
      <c r="A36" s="519" t="s">
        <v>21</v>
      </c>
      <c r="B36" s="368" t="s">
        <v>119</v>
      </c>
      <c r="C36" s="377"/>
      <c r="D36" s="378"/>
      <c r="E36" s="369"/>
    </row>
    <row r="37" spans="1:5" x14ac:dyDescent="0.2">
      <c r="A37" s="519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516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519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519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519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519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519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519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516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519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519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519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519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52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52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52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52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52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52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52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52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52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52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52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52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52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52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521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521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521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521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521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521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521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521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521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521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523">
        <v>4</v>
      </c>
      <c r="B99" s="665" t="s">
        <v>68</v>
      </c>
      <c r="C99" s="665"/>
      <c r="D99" s="12" t="s">
        <v>98</v>
      </c>
    </row>
    <row r="100" spans="1:5" x14ac:dyDescent="0.2">
      <c r="A100" s="521" t="s">
        <v>63</v>
      </c>
      <c r="B100" s="258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521" t="s">
        <v>64</v>
      </c>
      <c r="B101" s="258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520" t="s">
        <v>65</v>
      </c>
      <c r="B102" s="258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520" t="s">
        <v>66</v>
      </c>
      <c r="B103" s="258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520" t="s">
        <v>67</v>
      </c>
      <c r="B104" s="258" t="s">
        <v>29</v>
      </c>
      <c r="C104" s="524"/>
      <c r="D104" s="13"/>
    </row>
    <row r="105" spans="1:5" x14ac:dyDescent="0.2">
      <c r="A105" s="521"/>
      <c r="B105" s="5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2598.0500000000002</v>
      </c>
    </row>
    <row r="107" spans="1:5" x14ac:dyDescent="0.2">
      <c r="A107" s="523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521" t="s">
        <v>1</v>
      </c>
      <c r="B108" s="4" t="s">
        <v>73</v>
      </c>
      <c r="C108" s="10">
        <v>1.06E-2</v>
      </c>
      <c r="D108" s="13">
        <f>ROUND($D$106*C108,2)</f>
        <v>27.54</v>
      </c>
    </row>
    <row r="109" spans="1:5" x14ac:dyDescent="0.2">
      <c r="A109" s="521" t="s">
        <v>2</v>
      </c>
      <c r="B109" s="4" t="s">
        <v>74</v>
      </c>
      <c r="C109" s="10"/>
      <c r="D109" s="13"/>
      <c r="E109" s="198"/>
    </row>
    <row r="110" spans="1:5" x14ac:dyDescent="0.2">
      <c r="A110" s="519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519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519" t="s">
        <v>107</v>
      </c>
      <c r="B112" s="4" t="s">
        <v>77</v>
      </c>
      <c r="C112" s="10">
        <v>1.6500000000000001E-2</v>
      </c>
      <c r="D112" s="13">
        <f>ROUND($F$115*C112,2)</f>
        <v>49.62</v>
      </c>
    </row>
    <row r="113" spans="1:6" x14ac:dyDescent="0.2">
      <c r="A113" s="519" t="s">
        <v>108</v>
      </c>
      <c r="B113" s="4" t="s">
        <v>78</v>
      </c>
      <c r="C113" s="10">
        <v>7.5999999999999998E-2</v>
      </c>
      <c r="D113" s="13">
        <f>ROUND($F$115*C113,2)</f>
        <v>228.54</v>
      </c>
      <c r="F113" s="39">
        <f>SUM(C110:C114)</f>
        <v>0.1225</v>
      </c>
    </row>
    <row r="114" spans="1:6" x14ac:dyDescent="0.2">
      <c r="A114" s="519" t="s">
        <v>109</v>
      </c>
      <c r="B114" s="4" t="s">
        <v>79</v>
      </c>
      <c r="C114" s="131">
        <v>0.03</v>
      </c>
      <c r="D114" s="13">
        <f>ROUND($F$115*C114,2)</f>
        <v>90.21</v>
      </c>
      <c r="F114" s="40">
        <f>ROUND(D115+D108+D106,2)</f>
        <v>2638.72</v>
      </c>
    </row>
    <row r="115" spans="1:6" x14ac:dyDescent="0.2">
      <c r="A115" s="521" t="s">
        <v>4</v>
      </c>
      <c r="B115" s="4" t="s">
        <v>80</v>
      </c>
      <c r="C115" s="10">
        <v>5.0000000000000001E-3</v>
      </c>
      <c r="D115" s="13">
        <f>ROUND(($D$106+D108)*C115,2)</f>
        <v>13.13</v>
      </c>
      <c r="F115" s="41">
        <f>ROUND(F114/(1-F113),2)</f>
        <v>3007.09</v>
      </c>
    </row>
    <row r="116" spans="1:6" x14ac:dyDescent="0.2">
      <c r="A116" s="677" t="s">
        <v>46</v>
      </c>
      <c r="B116" s="682"/>
      <c r="C116" s="678"/>
      <c r="D116" s="22">
        <f>ROUND(SUM(D108:D115),2)</f>
        <v>409.04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521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521" t="s">
        <v>2</v>
      </c>
      <c r="B121" s="658" t="s">
        <v>84</v>
      </c>
      <c r="C121" s="658"/>
      <c r="D121" s="13">
        <f>D49</f>
        <v>368.6</v>
      </c>
    </row>
    <row r="122" spans="1:6" x14ac:dyDescent="0.2">
      <c r="A122" s="521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521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2598.0500000000002</v>
      </c>
    </row>
    <row r="125" spans="1:6" x14ac:dyDescent="0.2">
      <c r="A125" s="521" t="s">
        <v>18</v>
      </c>
      <c r="B125" s="683" t="s">
        <v>86</v>
      </c>
      <c r="C125" s="683"/>
      <c r="D125" s="13">
        <f>D116</f>
        <v>409.04</v>
      </c>
    </row>
    <row r="126" spans="1:6" x14ac:dyDescent="0.2">
      <c r="A126" s="655" t="s">
        <v>87</v>
      </c>
      <c r="B126" s="655"/>
      <c r="C126" s="655"/>
      <c r="D126" s="22">
        <f>ROUND(D125+D124,2)</f>
        <v>3007.09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3007.09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3007.09</v>
      </c>
      <c r="E132" s="200"/>
    </row>
    <row r="133" spans="1:5" x14ac:dyDescent="0.2">
      <c r="A133" s="658" t="s">
        <v>91</v>
      </c>
      <c r="B133" s="658"/>
      <c r="C133" s="658"/>
      <c r="D133" s="13">
        <v>2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6014.18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521" t="s">
        <v>1</v>
      </c>
      <c r="B137" s="658" t="s">
        <v>93</v>
      </c>
      <c r="C137" s="658"/>
      <c r="D137" s="202">
        <f>D130</f>
        <v>3007.09</v>
      </c>
      <c r="E137" s="201"/>
    </row>
    <row r="138" spans="1:5" x14ac:dyDescent="0.2">
      <c r="A138" s="521" t="s">
        <v>2</v>
      </c>
      <c r="B138" s="658" t="s">
        <v>94</v>
      </c>
      <c r="C138" s="658"/>
      <c r="D138" s="13">
        <f>D134</f>
        <v>6014.18</v>
      </c>
    </row>
    <row r="139" spans="1:5" x14ac:dyDescent="0.2">
      <c r="A139" s="523" t="s">
        <v>4</v>
      </c>
      <c r="B139" s="665" t="s">
        <v>95</v>
      </c>
      <c r="C139" s="665"/>
      <c r="D139" s="22">
        <f>ROUND(D138*12,2)</f>
        <v>72170.16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147"/>
  <sheetViews>
    <sheetView view="pageBreakPreview" topLeftCell="A4" zoomScaleNormal="85" zoomScaleSheetLayoutView="100" workbookViewId="0">
      <selection activeCell="D39" sqref="D39"/>
    </sheetView>
  </sheetViews>
  <sheetFormatPr defaultRowHeight="12.75" x14ac:dyDescent="0.2"/>
  <cols>
    <col min="1" max="1" width="4.42578125" customWidth="1"/>
    <col min="2" max="2" width="60.140625" customWidth="1"/>
    <col min="3" max="3" width="11.5703125" style="8" customWidth="1"/>
    <col min="4" max="4" width="22.85546875" style="11" customWidth="1"/>
    <col min="5" max="5" width="25.5703125" style="128" bestFit="1" customWidth="1"/>
    <col min="6" max="6" width="9.28515625" style="37" bestFit="1" customWidth="1"/>
    <col min="257" max="257" width="4.42578125" customWidth="1"/>
    <col min="258" max="258" width="60.140625" customWidth="1"/>
    <col min="259" max="259" width="11.5703125" customWidth="1"/>
    <col min="260" max="260" width="22.85546875" customWidth="1"/>
    <col min="261" max="261" width="14.7109375" customWidth="1"/>
    <col min="262" max="262" width="9.28515625" bestFit="1" customWidth="1"/>
    <col min="513" max="513" width="4.42578125" customWidth="1"/>
    <col min="514" max="514" width="60.140625" customWidth="1"/>
    <col min="515" max="515" width="11.5703125" customWidth="1"/>
    <col min="516" max="516" width="22.85546875" customWidth="1"/>
    <col min="517" max="517" width="14.7109375" customWidth="1"/>
    <col min="518" max="518" width="9.28515625" bestFit="1" customWidth="1"/>
    <col min="769" max="769" width="4.42578125" customWidth="1"/>
    <col min="770" max="770" width="60.140625" customWidth="1"/>
    <col min="771" max="771" width="11.5703125" customWidth="1"/>
    <col min="772" max="772" width="22.85546875" customWidth="1"/>
    <col min="773" max="773" width="14.7109375" customWidth="1"/>
    <col min="774" max="774" width="9.28515625" bestFit="1" customWidth="1"/>
    <col min="1025" max="1025" width="4.42578125" customWidth="1"/>
    <col min="1026" max="1026" width="60.140625" customWidth="1"/>
    <col min="1027" max="1027" width="11.5703125" customWidth="1"/>
    <col min="1028" max="1028" width="22.85546875" customWidth="1"/>
    <col min="1029" max="1029" width="14.7109375" customWidth="1"/>
    <col min="1030" max="1030" width="9.28515625" bestFit="1" customWidth="1"/>
    <col min="1281" max="1281" width="4.42578125" customWidth="1"/>
    <col min="1282" max="1282" width="60.140625" customWidth="1"/>
    <col min="1283" max="1283" width="11.5703125" customWidth="1"/>
    <col min="1284" max="1284" width="22.85546875" customWidth="1"/>
    <col min="1285" max="1285" width="14.7109375" customWidth="1"/>
    <col min="1286" max="1286" width="9.28515625" bestFit="1" customWidth="1"/>
    <col min="1537" max="1537" width="4.42578125" customWidth="1"/>
    <col min="1538" max="1538" width="60.140625" customWidth="1"/>
    <col min="1539" max="1539" width="11.5703125" customWidth="1"/>
    <col min="1540" max="1540" width="22.85546875" customWidth="1"/>
    <col min="1541" max="1541" width="14.7109375" customWidth="1"/>
    <col min="1542" max="1542" width="9.28515625" bestFit="1" customWidth="1"/>
    <col min="1793" max="1793" width="4.42578125" customWidth="1"/>
    <col min="1794" max="1794" width="60.140625" customWidth="1"/>
    <col min="1795" max="1795" width="11.5703125" customWidth="1"/>
    <col min="1796" max="1796" width="22.85546875" customWidth="1"/>
    <col min="1797" max="1797" width="14.7109375" customWidth="1"/>
    <col min="1798" max="1798" width="9.28515625" bestFit="1" customWidth="1"/>
    <col min="2049" max="2049" width="4.42578125" customWidth="1"/>
    <col min="2050" max="2050" width="60.140625" customWidth="1"/>
    <col min="2051" max="2051" width="11.5703125" customWidth="1"/>
    <col min="2052" max="2052" width="22.85546875" customWidth="1"/>
    <col min="2053" max="2053" width="14.7109375" customWidth="1"/>
    <col min="2054" max="2054" width="9.28515625" bestFit="1" customWidth="1"/>
    <col min="2305" max="2305" width="4.42578125" customWidth="1"/>
    <col min="2306" max="2306" width="60.140625" customWidth="1"/>
    <col min="2307" max="2307" width="11.5703125" customWidth="1"/>
    <col min="2308" max="2308" width="22.85546875" customWidth="1"/>
    <col min="2309" max="2309" width="14.7109375" customWidth="1"/>
    <col min="2310" max="2310" width="9.28515625" bestFit="1" customWidth="1"/>
    <col min="2561" max="2561" width="4.42578125" customWidth="1"/>
    <col min="2562" max="2562" width="60.140625" customWidth="1"/>
    <col min="2563" max="2563" width="11.5703125" customWidth="1"/>
    <col min="2564" max="2564" width="22.85546875" customWidth="1"/>
    <col min="2565" max="2565" width="14.7109375" customWidth="1"/>
    <col min="2566" max="2566" width="9.28515625" bestFit="1" customWidth="1"/>
    <col min="2817" max="2817" width="4.42578125" customWidth="1"/>
    <col min="2818" max="2818" width="60.140625" customWidth="1"/>
    <col min="2819" max="2819" width="11.5703125" customWidth="1"/>
    <col min="2820" max="2820" width="22.85546875" customWidth="1"/>
    <col min="2821" max="2821" width="14.7109375" customWidth="1"/>
    <col min="2822" max="2822" width="9.28515625" bestFit="1" customWidth="1"/>
    <col min="3073" max="3073" width="4.42578125" customWidth="1"/>
    <col min="3074" max="3074" width="60.140625" customWidth="1"/>
    <col min="3075" max="3075" width="11.5703125" customWidth="1"/>
    <col min="3076" max="3076" width="22.85546875" customWidth="1"/>
    <col min="3077" max="3077" width="14.7109375" customWidth="1"/>
    <col min="3078" max="3078" width="9.28515625" bestFit="1" customWidth="1"/>
    <col min="3329" max="3329" width="4.42578125" customWidth="1"/>
    <col min="3330" max="3330" width="60.140625" customWidth="1"/>
    <col min="3331" max="3331" width="11.5703125" customWidth="1"/>
    <col min="3332" max="3332" width="22.85546875" customWidth="1"/>
    <col min="3333" max="3333" width="14.7109375" customWidth="1"/>
    <col min="3334" max="3334" width="9.28515625" bestFit="1" customWidth="1"/>
    <col min="3585" max="3585" width="4.42578125" customWidth="1"/>
    <col min="3586" max="3586" width="60.140625" customWidth="1"/>
    <col min="3587" max="3587" width="11.5703125" customWidth="1"/>
    <col min="3588" max="3588" width="22.85546875" customWidth="1"/>
    <col min="3589" max="3589" width="14.7109375" customWidth="1"/>
    <col min="3590" max="3590" width="9.28515625" bestFit="1" customWidth="1"/>
    <col min="3841" max="3841" width="4.42578125" customWidth="1"/>
    <col min="3842" max="3842" width="60.140625" customWidth="1"/>
    <col min="3843" max="3843" width="11.5703125" customWidth="1"/>
    <col min="3844" max="3844" width="22.85546875" customWidth="1"/>
    <col min="3845" max="3845" width="14.7109375" customWidth="1"/>
    <col min="3846" max="3846" width="9.28515625" bestFit="1" customWidth="1"/>
    <col min="4097" max="4097" width="4.42578125" customWidth="1"/>
    <col min="4098" max="4098" width="60.140625" customWidth="1"/>
    <col min="4099" max="4099" width="11.5703125" customWidth="1"/>
    <col min="4100" max="4100" width="22.85546875" customWidth="1"/>
    <col min="4101" max="4101" width="14.7109375" customWidth="1"/>
    <col min="4102" max="4102" width="9.28515625" bestFit="1" customWidth="1"/>
    <col min="4353" max="4353" width="4.42578125" customWidth="1"/>
    <col min="4354" max="4354" width="60.140625" customWidth="1"/>
    <col min="4355" max="4355" width="11.5703125" customWidth="1"/>
    <col min="4356" max="4356" width="22.85546875" customWidth="1"/>
    <col min="4357" max="4357" width="14.7109375" customWidth="1"/>
    <col min="4358" max="4358" width="9.28515625" bestFit="1" customWidth="1"/>
    <col min="4609" max="4609" width="4.42578125" customWidth="1"/>
    <col min="4610" max="4610" width="60.140625" customWidth="1"/>
    <col min="4611" max="4611" width="11.5703125" customWidth="1"/>
    <col min="4612" max="4612" width="22.85546875" customWidth="1"/>
    <col min="4613" max="4613" width="14.7109375" customWidth="1"/>
    <col min="4614" max="4614" width="9.28515625" bestFit="1" customWidth="1"/>
    <col min="4865" max="4865" width="4.42578125" customWidth="1"/>
    <col min="4866" max="4866" width="60.140625" customWidth="1"/>
    <col min="4867" max="4867" width="11.5703125" customWidth="1"/>
    <col min="4868" max="4868" width="22.85546875" customWidth="1"/>
    <col min="4869" max="4869" width="14.7109375" customWidth="1"/>
    <col min="4870" max="4870" width="9.28515625" bestFit="1" customWidth="1"/>
    <col min="5121" max="5121" width="4.42578125" customWidth="1"/>
    <col min="5122" max="5122" width="60.140625" customWidth="1"/>
    <col min="5123" max="5123" width="11.5703125" customWidth="1"/>
    <col min="5124" max="5124" width="22.85546875" customWidth="1"/>
    <col min="5125" max="5125" width="14.7109375" customWidth="1"/>
    <col min="5126" max="5126" width="9.28515625" bestFit="1" customWidth="1"/>
    <col min="5377" max="5377" width="4.42578125" customWidth="1"/>
    <col min="5378" max="5378" width="60.140625" customWidth="1"/>
    <col min="5379" max="5379" width="11.5703125" customWidth="1"/>
    <col min="5380" max="5380" width="22.85546875" customWidth="1"/>
    <col min="5381" max="5381" width="14.7109375" customWidth="1"/>
    <col min="5382" max="5382" width="9.28515625" bestFit="1" customWidth="1"/>
    <col min="5633" max="5633" width="4.42578125" customWidth="1"/>
    <col min="5634" max="5634" width="60.140625" customWidth="1"/>
    <col min="5635" max="5635" width="11.5703125" customWidth="1"/>
    <col min="5636" max="5636" width="22.85546875" customWidth="1"/>
    <col min="5637" max="5637" width="14.7109375" customWidth="1"/>
    <col min="5638" max="5638" width="9.28515625" bestFit="1" customWidth="1"/>
    <col min="5889" max="5889" width="4.42578125" customWidth="1"/>
    <col min="5890" max="5890" width="60.140625" customWidth="1"/>
    <col min="5891" max="5891" width="11.5703125" customWidth="1"/>
    <col min="5892" max="5892" width="22.85546875" customWidth="1"/>
    <col min="5893" max="5893" width="14.7109375" customWidth="1"/>
    <col min="5894" max="5894" width="9.28515625" bestFit="1" customWidth="1"/>
    <col min="6145" max="6145" width="4.42578125" customWidth="1"/>
    <col min="6146" max="6146" width="60.140625" customWidth="1"/>
    <col min="6147" max="6147" width="11.5703125" customWidth="1"/>
    <col min="6148" max="6148" width="22.85546875" customWidth="1"/>
    <col min="6149" max="6149" width="14.7109375" customWidth="1"/>
    <col min="6150" max="6150" width="9.28515625" bestFit="1" customWidth="1"/>
    <col min="6401" max="6401" width="4.42578125" customWidth="1"/>
    <col min="6402" max="6402" width="60.140625" customWidth="1"/>
    <col min="6403" max="6403" width="11.5703125" customWidth="1"/>
    <col min="6404" max="6404" width="22.85546875" customWidth="1"/>
    <col min="6405" max="6405" width="14.7109375" customWidth="1"/>
    <col min="6406" max="6406" width="9.28515625" bestFit="1" customWidth="1"/>
    <col min="6657" max="6657" width="4.42578125" customWidth="1"/>
    <col min="6658" max="6658" width="60.140625" customWidth="1"/>
    <col min="6659" max="6659" width="11.5703125" customWidth="1"/>
    <col min="6660" max="6660" width="22.85546875" customWidth="1"/>
    <col min="6661" max="6661" width="14.7109375" customWidth="1"/>
    <col min="6662" max="6662" width="9.28515625" bestFit="1" customWidth="1"/>
    <col min="6913" max="6913" width="4.42578125" customWidth="1"/>
    <col min="6914" max="6914" width="60.140625" customWidth="1"/>
    <col min="6915" max="6915" width="11.5703125" customWidth="1"/>
    <col min="6916" max="6916" width="22.85546875" customWidth="1"/>
    <col min="6917" max="6917" width="14.7109375" customWidth="1"/>
    <col min="6918" max="6918" width="9.28515625" bestFit="1" customWidth="1"/>
    <col min="7169" max="7169" width="4.42578125" customWidth="1"/>
    <col min="7170" max="7170" width="60.140625" customWidth="1"/>
    <col min="7171" max="7171" width="11.5703125" customWidth="1"/>
    <col min="7172" max="7172" width="22.85546875" customWidth="1"/>
    <col min="7173" max="7173" width="14.7109375" customWidth="1"/>
    <col min="7174" max="7174" width="9.28515625" bestFit="1" customWidth="1"/>
    <col min="7425" max="7425" width="4.42578125" customWidth="1"/>
    <col min="7426" max="7426" width="60.140625" customWidth="1"/>
    <col min="7427" max="7427" width="11.5703125" customWidth="1"/>
    <col min="7428" max="7428" width="22.85546875" customWidth="1"/>
    <col min="7429" max="7429" width="14.7109375" customWidth="1"/>
    <col min="7430" max="7430" width="9.28515625" bestFit="1" customWidth="1"/>
    <col min="7681" max="7681" width="4.42578125" customWidth="1"/>
    <col min="7682" max="7682" width="60.140625" customWidth="1"/>
    <col min="7683" max="7683" width="11.5703125" customWidth="1"/>
    <col min="7684" max="7684" width="22.85546875" customWidth="1"/>
    <col min="7685" max="7685" width="14.7109375" customWidth="1"/>
    <col min="7686" max="7686" width="9.28515625" bestFit="1" customWidth="1"/>
    <col min="7937" max="7937" width="4.42578125" customWidth="1"/>
    <col min="7938" max="7938" width="60.140625" customWidth="1"/>
    <col min="7939" max="7939" width="11.5703125" customWidth="1"/>
    <col min="7940" max="7940" width="22.85546875" customWidth="1"/>
    <col min="7941" max="7941" width="14.7109375" customWidth="1"/>
    <col min="7942" max="7942" width="9.28515625" bestFit="1" customWidth="1"/>
    <col min="8193" max="8193" width="4.42578125" customWidth="1"/>
    <col min="8194" max="8194" width="60.140625" customWidth="1"/>
    <col min="8195" max="8195" width="11.5703125" customWidth="1"/>
    <col min="8196" max="8196" width="22.85546875" customWidth="1"/>
    <col min="8197" max="8197" width="14.7109375" customWidth="1"/>
    <col min="8198" max="8198" width="9.28515625" bestFit="1" customWidth="1"/>
    <col min="8449" max="8449" width="4.42578125" customWidth="1"/>
    <col min="8450" max="8450" width="60.140625" customWidth="1"/>
    <col min="8451" max="8451" width="11.5703125" customWidth="1"/>
    <col min="8452" max="8452" width="22.85546875" customWidth="1"/>
    <col min="8453" max="8453" width="14.7109375" customWidth="1"/>
    <col min="8454" max="8454" width="9.28515625" bestFit="1" customWidth="1"/>
    <col min="8705" max="8705" width="4.42578125" customWidth="1"/>
    <col min="8706" max="8706" width="60.140625" customWidth="1"/>
    <col min="8707" max="8707" width="11.5703125" customWidth="1"/>
    <col min="8708" max="8708" width="22.85546875" customWidth="1"/>
    <col min="8709" max="8709" width="14.7109375" customWidth="1"/>
    <col min="8710" max="8710" width="9.28515625" bestFit="1" customWidth="1"/>
    <col min="8961" max="8961" width="4.42578125" customWidth="1"/>
    <col min="8962" max="8962" width="60.140625" customWidth="1"/>
    <col min="8963" max="8963" width="11.5703125" customWidth="1"/>
    <col min="8964" max="8964" width="22.85546875" customWidth="1"/>
    <col min="8965" max="8965" width="14.7109375" customWidth="1"/>
    <col min="8966" max="8966" width="9.28515625" bestFit="1" customWidth="1"/>
    <col min="9217" max="9217" width="4.42578125" customWidth="1"/>
    <col min="9218" max="9218" width="60.140625" customWidth="1"/>
    <col min="9219" max="9219" width="11.5703125" customWidth="1"/>
    <col min="9220" max="9220" width="22.85546875" customWidth="1"/>
    <col min="9221" max="9221" width="14.7109375" customWidth="1"/>
    <col min="9222" max="9222" width="9.28515625" bestFit="1" customWidth="1"/>
    <col min="9473" max="9473" width="4.42578125" customWidth="1"/>
    <col min="9474" max="9474" width="60.140625" customWidth="1"/>
    <col min="9475" max="9475" width="11.5703125" customWidth="1"/>
    <col min="9476" max="9476" width="22.85546875" customWidth="1"/>
    <col min="9477" max="9477" width="14.7109375" customWidth="1"/>
    <col min="9478" max="9478" width="9.28515625" bestFit="1" customWidth="1"/>
    <col min="9729" max="9729" width="4.42578125" customWidth="1"/>
    <col min="9730" max="9730" width="60.140625" customWidth="1"/>
    <col min="9731" max="9731" width="11.5703125" customWidth="1"/>
    <col min="9732" max="9732" width="22.85546875" customWidth="1"/>
    <col min="9733" max="9733" width="14.7109375" customWidth="1"/>
    <col min="9734" max="9734" width="9.28515625" bestFit="1" customWidth="1"/>
    <col min="9985" max="9985" width="4.42578125" customWidth="1"/>
    <col min="9986" max="9986" width="60.140625" customWidth="1"/>
    <col min="9987" max="9987" width="11.5703125" customWidth="1"/>
    <col min="9988" max="9988" width="22.85546875" customWidth="1"/>
    <col min="9989" max="9989" width="14.7109375" customWidth="1"/>
    <col min="9990" max="9990" width="9.28515625" bestFit="1" customWidth="1"/>
    <col min="10241" max="10241" width="4.42578125" customWidth="1"/>
    <col min="10242" max="10242" width="60.140625" customWidth="1"/>
    <col min="10243" max="10243" width="11.5703125" customWidth="1"/>
    <col min="10244" max="10244" width="22.85546875" customWidth="1"/>
    <col min="10245" max="10245" width="14.7109375" customWidth="1"/>
    <col min="10246" max="10246" width="9.28515625" bestFit="1" customWidth="1"/>
    <col min="10497" max="10497" width="4.42578125" customWidth="1"/>
    <col min="10498" max="10498" width="60.140625" customWidth="1"/>
    <col min="10499" max="10499" width="11.5703125" customWidth="1"/>
    <col min="10500" max="10500" width="22.85546875" customWidth="1"/>
    <col min="10501" max="10501" width="14.7109375" customWidth="1"/>
    <col min="10502" max="10502" width="9.28515625" bestFit="1" customWidth="1"/>
    <col min="10753" max="10753" width="4.42578125" customWidth="1"/>
    <col min="10754" max="10754" width="60.140625" customWidth="1"/>
    <col min="10755" max="10755" width="11.5703125" customWidth="1"/>
    <col min="10756" max="10756" width="22.85546875" customWidth="1"/>
    <col min="10757" max="10757" width="14.7109375" customWidth="1"/>
    <col min="10758" max="10758" width="9.28515625" bestFit="1" customWidth="1"/>
    <col min="11009" max="11009" width="4.42578125" customWidth="1"/>
    <col min="11010" max="11010" width="60.140625" customWidth="1"/>
    <col min="11011" max="11011" width="11.5703125" customWidth="1"/>
    <col min="11012" max="11012" width="22.85546875" customWidth="1"/>
    <col min="11013" max="11013" width="14.7109375" customWidth="1"/>
    <col min="11014" max="11014" width="9.28515625" bestFit="1" customWidth="1"/>
    <col min="11265" max="11265" width="4.42578125" customWidth="1"/>
    <col min="11266" max="11266" width="60.140625" customWidth="1"/>
    <col min="11267" max="11267" width="11.5703125" customWidth="1"/>
    <col min="11268" max="11268" width="22.85546875" customWidth="1"/>
    <col min="11269" max="11269" width="14.7109375" customWidth="1"/>
    <col min="11270" max="11270" width="9.28515625" bestFit="1" customWidth="1"/>
    <col min="11521" max="11521" width="4.42578125" customWidth="1"/>
    <col min="11522" max="11522" width="60.140625" customWidth="1"/>
    <col min="11523" max="11523" width="11.5703125" customWidth="1"/>
    <col min="11524" max="11524" width="22.85546875" customWidth="1"/>
    <col min="11525" max="11525" width="14.7109375" customWidth="1"/>
    <col min="11526" max="11526" width="9.28515625" bestFit="1" customWidth="1"/>
    <col min="11777" max="11777" width="4.42578125" customWidth="1"/>
    <col min="11778" max="11778" width="60.140625" customWidth="1"/>
    <col min="11779" max="11779" width="11.5703125" customWidth="1"/>
    <col min="11780" max="11780" width="22.85546875" customWidth="1"/>
    <col min="11781" max="11781" width="14.7109375" customWidth="1"/>
    <col min="11782" max="11782" width="9.28515625" bestFit="1" customWidth="1"/>
    <col min="12033" max="12033" width="4.42578125" customWidth="1"/>
    <col min="12034" max="12034" width="60.140625" customWidth="1"/>
    <col min="12035" max="12035" width="11.5703125" customWidth="1"/>
    <col min="12036" max="12036" width="22.85546875" customWidth="1"/>
    <col min="12037" max="12037" width="14.7109375" customWidth="1"/>
    <col min="12038" max="12038" width="9.28515625" bestFit="1" customWidth="1"/>
    <col min="12289" max="12289" width="4.42578125" customWidth="1"/>
    <col min="12290" max="12290" width="60.140625" customWidth="1"/>
    <col min="12291" max="12291" width="11.5703125" customWidth="1"/>
    <col min="12292" max="12292" width="22.85546875" customWidth="1"/>
    <col min="12293" max="12293" width="14.7109375" customWidth="1"/>
    <col min="12294" max="12294" width="9.28515625" bestFit="1" customWidth="1"/>
    <col min="12545" max="12545" width="4.42578125" customWidth="1"/>
    <col min="12546" max="12546" width="60.140625" customWidth="1"/>
    <col min="12547" max="12547" width="11.5703125" customWidth="1"/>
    <col min="12548" max="12548" width="22.85546875" customWidth="1"/>
    <col min="12549" max="12549" width="14.7109375" customWidth="1"/>
    <col min="12550" max="12550" width="9.28515625" bestFit="1" customWidth="1"/>
    <col min="12801" max="12801" width="4.42578125" customWidth="1"/>
    <col min="12802" max="12802" width="60.140625" customWidth="1"/>
    <col min="12803" max="12803" width="11.5703125" customWidth="1"/>
    <col min="12804" max="12804" width="22.85546875" customWidth="1"/>
    <col min="12805" max="12805" width="14.7109375" customWidth="1"/>
    <col min="12806" max="12806" width="9.28515625" bestFit="1" customWidth="1"/>
    <col min="13057" max="13057" width="4.42578125" customWidth="1"/>
    <col min="13058" max="13058" width="60.140625" customWidth="1"/>
    <col min="13059" max="13059" width="11.5703125" customWidth="1"/>
    <col min="13060" max="13060" width="22.85546875" customWidth="1"/>
    <col min="13061" max="13061" width="14.7109375" customWidth="1"/>
    <col min="13062" max="13062" width="9.28515625" bestFit="1" customWidth="1"/>
    <col min="13313" max="13313" width="4.42578125" customWidth="1"/>
    <col min="13314" max="13314" width="60.140625" customWidth="1"/>
    <col min="13315" max="13315" width="11.5703125" customWidth="1"/>
    <col min="13316" max="13316" width="22.85546875" customWidth="1"/>
    <col min="13317" max="13317" width="14.7109375" customWidth="1"/>
    <col min="13318" max="13318" width="9.28515625" bestFit="1" customWidth="1"/>
    <col min="13569" max="13569" width="4.42578125" customWidth="1"/>
    <col min="13570" max="13570" width="60.140625" customWidth="1"/>
    <col min="13571" max="13571" width="11.5703125" customWidth="1"/>
    <col min="13572" max="13572" width="22.85546875" customWidth="1"/>
    <col min="13573" max="13573" width="14.7109375" customWidth="1"/>
    <col min="13574" max="13574" width="9.28515625" bestFit="1" customWidth="1"/>
    <col min="13825" max="13825" width="4.42578125" customWidth="1"/>
    <col min="13826" max="13826" width="60.140625" customWidth="1"/>
    <col min="13827" max="13827" width="11.5703125" customWidth="1"/>
    <col min="13828" max="13828" width="22.85546875" customWidth="1"/>
    <col min="13829" max="13829" width="14.7109375" customWidth="1"/>
    <col min="13830" max="13830" width="9.28515625" bestFit="1" customWidth="1"/>
    <col min="14081" max="14081" width="4.42578125" customWidth="1"/>
    <col min="14082" max="14082" width="60.140625" customWidth="1"/>
    <col min="14083" max="14083" width="11.5703125" customWidth="1"/>
    <col min="14084" max="14084" width="22.85546875" customWidth="1"/>
    <col min="14085" max="14085" width="14.7109375" customWidth="1"/>
    <col min="14086" max="14086" width="9.28515625" bestFit="1" customWidth="1"/>
    <col min="14337" max="14337" width="4.42578125" customWidth="1"/>
    <col min="14338" max="14338" width="60.140625" customWidth="1"/>
    <col min="14339" max="14339" width="11.5703125" customWidth="1"/>
    <col min="14340" max="14340" width="22.85546875" customWidth="1"/>
    <col min="14341" max="14341" width="14.7109375" customWidth="1"/>
    <col min="14342" max="14342" width="9.28515625" bestFit="1" customWidth="1"/>
    <col min="14593" max="14593" width="4.42578125" customWidth="1"/>
    <col min="14594" max="14594" width="60.140625" customWidth="1"/>
    <col min="14595" max="14595" width="11.5703125" customWidth="1"/>
    <col min="14596" max="14596" width="22.85546875" customWidth="1"/>
    <col min="14597" max="14597" width="14.7109375" customWidth="1"/>
    <col min="14598" max="14598" width="9.28515625" bestFit="1" customWidth="1"/>
    <col min="14849" max="14849" width="4.42578125" customWidth="1"/>
    <col min="14850" max="14850" width="60.140625" customWidth="1"/>
    <col min="14851" max="14851" width="11.5703125" customWidth="1"/>
    <col min="14852" max="14852" width="22.85546875" customWidth="1"/>
    <col min="14853" max="14853" width="14.7109375" customWidth="1"/>
    <col min="14854" max="14854" width="9.28515625" bestFit="1" customWidth="1"/>
    <col min="15105" max="15105" width="4.42578125" customWidth="1"/>
    <col min="15106" max="15106" width="60.140625" customWidth="1"/>
    <col min="15107" max="15107" width="11.5703125" customWidth="1"/>
    <col min="15108" max="15108" width="22.85546875" customWidth="1"/>
    <col min="15109" max="15109" width="14.7109375" customWidth="1"/>
    <col min="15110" max="15110" width="9.28515625" bestFit="1" customWidth="1"/>
    <col min="15361" max="15361" width="4.42578125" customWidth="1"/>
    <col min="15362" max="15362" width="60.140625" customWidth="1"/>
    <col min="15363" max="15363" width="11.5703125" customWidth="1"/>
    <col min="15364" max="15364" width="22.85546875" customWidth="1"/>
    <col min="15365" max="15365" width="14.7109375" customWidth="1"/>
    <col min="15366" max="15366" width="9.28515625" bestFit="1" customWidth="1"/>
    <col min="15617" max="15617" width="4.42578125" customWidth="1"/>
    <col min="15618" max="15618" width="60.140625" customWidth="1"/>
    <col min="15619" max="15619" width="11.5703125" customWidth="1"/>
    <col min="15620" max="15620" width="22.85546875" customWidth="1"/>
    <col min="15621" max="15621" width="14.7109375" customWidth="1"/>
    <col min="15622" max="15622" width="9.28515625" bestFit="1" customWidth="1"/>
    <col min="15873" max="15873" width="4.42578125" customWidth="1"/>
    <col min="15874" max="15874" width="60.140625" customWidth="1"/>
    <col min="15875" max="15875" width="11.5703125" customWidth="1"/>
    <col min="15876" max="15876" width="22.85546875" customWidth="1"/>
    <col min="15877" max="15877" width="14.7109375" customWidth="1"/>
    <col min="15878" max="15878" width="9.28515625" bestFit="1" customWidth="1"/>
    <col min="16129" max="16129" width="4.42578125" customWidth="1"/>
    <col min="16130" max="16130" width="60.140625" customWidth="1"/>
    <col min="16131" max="16131" width="11.5703125" customWidth="1"/>
    <col min="16132" max="16132" width="22.85546875" customWidth="1"/>
    <col min="16133" max="16133" width="14.7109375" customWidth="1"/>
    <col min="16134" max="16134" width="9.28515625" bestFit="1" customWidth="1"/>
  </cols>
  <sheetData>
    <row r="1" spans="1:4" x14ac:dyDescent="0.2">
      <c r="A1" s="652" t="s">
        <v>0</v>
      </c>
      <c r="B1" s="652"/>
      <c r="C1" s="652"/>
      <c r="D1" s="652"/>
    </row>
    <row r="4" spans="1:4" x14ac:dyDescent="0.2">
      <c r="A4" s="128"/>
    </row>
    <row r="5" spans="1:4" x14ac:dyDescent="0.2">
      <c r="A5" s="128"/>
    </row>
    <row r="6" spans="1:4" x14ac:dyDescent="0.2">
      <c r="C6" s="17" t="s">
        <v>118</v>
      </c>
      <c r="D6" s="16" t="s">
        <v>117</v>
      </c>
    </row>
    <row r="7" spans="1:4" x14ac:dyDescent="0.2">
      <c r="A7" s="653" t="s">
        <v>128</v>
      </c>
      <c r="B7" s="653"/>
      <c r="C7" s="653"/>
      <c r="D7" s="653"/>
    </row>
    <row r="8" spans="1:4" x14ac:dyDescent="0.2">
      <c r="A8" s="521" t="s">
        <v>1</v>
      </c>
      <c r="B8" s="4" t="s">
        <v>5</v>
      </c>
      <c r="C8" s="654">
        <v>41015</v>
      </c>
      <c r="D8" s="651"/>
    </row>
    <row r="9" spans="1:4" x14ac:dyDescent="0.2">
      <c r="A9" s="521" t="s">
        <v>2</v>
      </c>
      <c r="B9" s="4" t="s">
        <v>114</v>
      </c>
      <c r="C9" s="655" t="s">
        <v>539</v>
      </c>
      <c r="D9" s="655"/>
    </row>
    <row r="10" spans="1:4" x14ac:dyDescent="0.2">
      <c r="A10" s="521" t="s">
        <v>4</v>
      </c>
      <c r="B10" s="4" t="s">
        <v>6</v>
      </c>
      <c r="C10" s="654">
        <v>40544</v>
      </c>
      <c r="D10" s="651"/>
    </row>
    <row r="11" spans="1:4" x14ac:dyDescent="0.2">
      <c r="A11" s="521" t="s">
        <v>3</v>
      </c>
      <c r="B11" s="4" t="s">
        <v>7</v>
      </c>
      <c r="C11" s="650" t="s">
        <v>141</v>
      </c>
      <c r="D11" s="651"/>
    </row>
    <row r="13" spans="1:4" x14ac:dyDescent="0.2">
      <c r="A13" s="653" t="s">
        <v>8</v>
      </c>
      <c r="B13" s="653"/>
      <c r="C13" s="653"/>
      <c r="D13" s="653"/>
    </row>
    <row r="14" spans="1:4" x14ac:dyDescent="0.2">
      <c r="A14" s="658" t="s">
        <v>9</v>
      </c>
      <c r="B14" s="658"/>
      <c r="C14" s="650" t="s">
        <v>440</v>
      </c>
      <c r="D14" s="651"/>
    </row>
    <row r="15" spans="1:4" x14ac:dyDescent="0.2">
      <c r="A15" s="658" t="s">
        <v>129</v>
      </c>
      <c r="B15" s="658"/>
      <c r="C15" s="650" t="s">
        <v>142</v>
      </c>
      <c r="D15" s="651"/>
    </row>
    <row r="16" spans="1:4" x14ac:dyDescent="0.2">
      <c r="A16" s="658" t="s">
        <v>10</v>
      </c>
      <c r="B16" s="658"/>
      <c r="C16" s="651">
        <v>1</v>
      </c>
      <c r="D16" s="651"/>
    </row>
    <row r="17" spans="1:5" x14ac:dyDescent="0.2">
      <c r="A17" s="659" t="s">
        <v>253</v>
      </c>
      <c r="B17" s="660"/>
      <c r="C17" s="651" t="s">
        <v>254</v>
      </c>
      <c r="D17" s="651"/>
    </row>
    <row r="18" spans="1:5" x14ac:dyDescent="0.2">
      <c r="A18" s="517"/>
    </row>
    <row r="19" spans="1:5" x14ac:dyDescent="0.2">
      <c r="A19" s="652" t="s">
        <v>130</v>
      </c>
      <c r="B19" s="652"/>
      <c r="C19" s="652"/>
      <c r="D19" s="652"/>
    </row>
    <row r="20" spans="1:5" x14ac:dyDescent="0.2">
      <c r="A20" s="661" t="s">
        <v>11</v>
      </c>
      <c r="B20" s="661"/>
      <c r="C20" s="661"/>
      <c r="D20" s="661"/>
    </row>
    <row r="21" spans="1:5" x14ac:dyDescent="0.2">
      <c r="A21" s="662" t="s">
        <v>12</v>
      </c>
      <c r="B21" s="663"/>
      <c r="C21" s="663"/>
      <c r="D21" s="664"/>
    </row>
    <row r="22" spans="1:5" x14ac:dyDescent="0.2">
      <c r="A22" s="521">
        <v>1</v>
      </c>
      <c r="B22" s="4" t="s">
        <v>131</v>
      </c>
      <c r="C22" s="656" t="s">
        <v>145</v>
      </c>
      <c r="D22" s="657"/>
    </row>
    <row r="23" spans="1:5" x14ac:dyDescent="0.2">
      <c r="A23" s="519">
        <v>2</v>
      </c>
      <c r="B23" s="368" t="s">
        <v>14</v>
      </c>
      <c r="C23" s="666">
        <f>'REPACTUAÇÃO 2014'!F6</f>
        <v>950</v>
      </c>
      <c r="D23" s="666"/>
      <c r="E23" s="369"/>
    </row>
    <row r="24" spans="1:5" x14ac:dyDescent="0.2">
      <c r="A24" s="519">
        <v>3</v>
      </c>
      <c r="B24" s="368" t="s">
        <v>15</v>
      </c>
      <c r="C24" s="667" t="s">
        <v>146</v>
      </c>
      <c r="D24" s="668"/>
      <c r="E24" s="369"/>
    </row>
    <row r="25" spans="1:5" x14ac:dyDescent="0.2">
      <c r="A25" s="519">
        <v>4</v>
      </c>
      <c r="B25" s="368" t="s">
        <v>16</v>
      </c>
      <c r="C25" s="669">
        <v>41306</v>
      </c>
      <c r="D25" s="668"/>
      <c r="E25" s="369"/>
    </row>
    <row r="26" spans="1:5" x14ac:dyDescent="0.2">
      <c r="A26" s="422"/>
      <c r="B26" s="372"/>
      <c r="C26" s="670"/>
      <c r="D26" s="670"/>
      <c r="E26" s="369"/>
    </row>
    <row r="27" spans="1:5" x14ac:dyDescent="0.2">
      <c r="A27" s="671" t="s">
        <v>96</v>
      </c>
      <c r="B27" s="671"/>
      <c r="C27" s="671"/>
      <c r="D27" s="671"/>
      <c r="E27" s="369"/>
    </row>
    <row r="28" spans="1:5" x14ac:dyDescent="0.2">
      <c r="A28" s="516">
        <v>1</v>
      </c>
      <c r="B28" s="374" t="s">
        <v>17</v>
      </c>
      <c r="C28" s="375" t="s">
        <v>121</v>
      </c>
      <c r="D28" s="376" t="s">
        <v>98</v>
      </c>
      <c r="E28" s="369"/>
    </row>
    <row r="29" spans="1:5" x14ac:dyDescent="0.2">
      <c r="A29" s="519" t="s">
        <v>1</v>
      </c>
      <c r="B29" s="368" t="s">
        <v>22</v>
      </c>
      <c r="C29" s="377">
        <v>1</v>
      </c>
      <c r="D29" s="424">
        <f>C23</f>
        <v>950</v>
      </c>
      <c r="E29" s="379"/>
    </row>
    <row r="30" spans="1:5" x14ac:dyDescent="0.2">
      <c r="A30" s="519" t="s">
        <v>2</v>
      </c>
      <c r="B30" s="368" t="s">
        <v>438</v>
      </c>
      <c r="C30" s="380"/>
      <c r="D30" s="424">
        <f>'REPACTUAÇÃO 2014'!G6</f>
        <v>66</v>
      </c>
      <c r="E30" s="369"/>
    </row>
    <row r="31" spans="1:5" x14ac:dyDescent="0.2">
      <c r="A31" s="519" t="s">
        <v>4</v>
      </c>
      <c r="B31" s="368" t="s">
        <v>24</v>
      </c>
      <c r="C31" s="380"/>
      <c r="D31" s="378"/>
      <c r="E31" s="381"/>
    </row>
    <row r="32" spans="1:5" x14ac:dyDescent="0.2">
      <c r="A32" s="519" t="s">
        <v>3</v>
      </c>
      <c r="B32" s="368" t="s">
        <v>25</v>
      </c>
      <c r="C32" s="382"/>
      <c r="D32" s="378"/>
      <c r="E32" s="379"/>
    </row>
    <row r="33" spans="1:5" x14ac:dyDescent="0.2">
      <c r="A33" s="519" t="s">
        <v>18</v>
      </c>
      <c r="B33" s="368" t="s">
        <v>26</v>
      </c>
      <c r="C33" s="382"/>
      <c r="D33" s="378"/>
      <c r="E33" s="379"/>
    </row>
    <row r="34" spans="1:5" x14ac:dyDescent="0.2">
      <c r="A34" s="519" t="s">
        <v>19</v>
      </c>
      <c r="B34" s="368" t="s">
        <v>27</v>
      </c>
      <c r="C34" s="377"/>
      <c r="D34" s="378"/>
      <c r="E34" s="381"/>
    </row>
    <row r="35" spans="1:5" x14ac:dyDescent="0.2">
      <c r="A35" s="519" t="s">
        <v>20</v>
      </c>
      <c r="B35" s="368" t="s">
        <v>28</v>
      </c>
      <c r="C35" s="382"/>
      <c r="D35" s="378"/>
      <c r="E35" s="379"/>
    </row>
    <row r="36" spans="1:5" x14ac:dyDescent="0.2">
      <c r="A36" s="519" t="s">
        <v>21</v>
      </c>
      <c r="B36" s="368" t="s">
        <v>119</v>
      </c>
      <c r="C36" s="377"/>
      <c r="D36" s="378"/>
      <c r="E36" s="369"/>
    </row>
    <row r="37" spans="1:5" x14ac:dyDescent="0.2">
      <c r="A37" s="519" t="s">
        <v>116</v>
      </c>
      <c r="B37" s="368" t="s">
        <v>122</v>
      </c>
      <c r="C37" s="377"/>
      <c r="D37" s="378">
        <f>ROUND(SUM(D32:D35)/23*7,2)</f>
        <v>0</v>
      </c>
      <c r="E37" s="369"/>
    </row>
    <row r="38" spans="1:5" x14ac:dyDescent="0.2">
      <c r="A38" s="383" t="s">
        <v>487</v>
      </c>
      <c r="B38" s="384" t="s">
        <v>488</v>
      </c>
      <c r="C38" s="385"/>
      <c r="D38" s="386">
        <f>(D29+D30)*3.6316%</f>
        <v>36.9</v>
      </c>
      <c r="E38" s="387"/>
    </row>
    <row r="39" spans="1:5" x14ac:dyDescent="0.2">
      <c r="A39" s="672" t="s">
        <v>30</v>
      </c>
      <c r="B39" s="673"/>
      <c r="C39" s="377"/>
      <c r="D39" s="388">
        <f>ROUND(SUM(D29:D38),2)</f>
        <v>1052.9000000000001</v>
      </c>
      <c r="E39" s="369"/>
    </row>
    <row r="40" spans="1:5" x14ac:dyDescent="0.2">
      <c r="A40" s="389"/>
      <c r="B40" s="389"/>
      <c r="C40" s="390"/>
      <c r="D40" s="391"/>
      <c r="E40" s="369"/>
    </row>
    <row r="41" spans="1:5" x14ac:dyDescent="0.2">
      <c r="A41" s="674" t="s">
        <v>99</v>
      </c>
      <c r="B41" s="675"/>
      <c r="C41" s="675"/>
      <c r="D41" s="676"/>
      <c r="E41" s="369"/>
    </row>
    <row r="42" spans="1:5" x14ac:dyDescent="0.2">
      <c r="A42" s="516">
        <v>2</v>
      </c>
      <c r="B42" s="392" t="s">
        <v>31</v>
      </c>
      <c r="C42" s="375" t="s">
        <v>120</v>
      </c>
      <c r="D42" s="376" t="s">
        <v>98</v>
      </c>
      <c r="E42" s="369"/>
    </row>
    <row r="43" spans="1:5" ht="13.5" customHeight="1" x14ac:dyDescent="0.2">
      <c r="A43" s="519" t="s">
        <v>1</v>
      </c>
      <c r="B43" s="393" t="s">
        <v>133</v>
      </c>
      <c r="C43" s="378">
        <v>2.9</v>
      </c>
      <c r="D43" s="378">
        <f>ROUND((C43*44)-(D29*6%),2)</f>
        <v>70.599999999999994</v>
      </c>
      <c r="E43" s="394"/>
    </row>
    <row r="44" spans="1:5" ht="13.5" customHeight="1" x14ac:dyDescent="0.2">
      <c r="A44" s="519" t="s">
        <v>2</v>
      </c>
      <c r="B44" s="419" t="s">
        <v>132</v>
      </c>
      <c r="C44" s="13">
        <f>'REPACTUAÇÃO 2014'!F32</f>
        <v>280</v>
      </c>
      <c r="D44" s="378">
        <f>C44*0.8</f>
        <v>224</v>
      </c>
      <c r="E44" s="396"/>
    </row>
    <row r="45" spans="1:5" ht="13.5" customHeight="1" x14ac:dyDescent="0.2">
      <c r="A45" s="519" t="s">
        <v>4</v>
      </c>
      <c r="B45" s="419" t="s">
        <v>374</v>
      </c>
      <c r="C45" s="378"/>
      <c r="D45" s="441">
        <f>'REPACTUAÇÃO 2014'!F19</f>
        <v>45</v>
      </c>
      <c r="E45" s="396"/>
    </row>
    <row r="46" spans="1:5" ht="13.5" customHeight="1" x14ac:dyDescent="0.2">
      <c r="A46" s="519" t="s">
        <v>3</v>
      </c>
      <c r="B46" s="419" t="s">
        <v>32</v>
      </c>
      <c r="C46" s="378">
        <v>0</v>
      </c>
      <c r="D46" s="378">
        <f>ROUND(C46*$C$29,2)</f>
        <v>0</v>
      </c>
      <c r="E46" s="369"/>
    </row>
    <row r="47" spans="1:5" ht="13.5" customHeight="1" x14ac:dyDescent="0.2">
      <c r="A47" s="519" t="s">
        <v>18</v>
      </c>
      <c r="B47" s="419" t="s">
        <v>375</v>
      </c>
      <c r="C47" s="378"/>
      <c r="D47" s="424">
        <f>'REPACTUAÇÃO 2014'!F23</f>
        <v>14.5</v>
      </c>
      <c r="E47" s="369"/>
    </row>
    <row r="48" spans="1:5" ht="13.5" customHeight="1" x14ac:dyDescent="0.2">
      <c r="A48" s="519" t="s">
        <v>19</v>
      </c>
      <c r="B48" s="419" t="s">
        <v>33</v>
      </c>
      <c r="C48" s="378"/>
      <c r="D48" s="424">
        <f>'REPACTUAÇÃO 2014'!F27</f>
        <v>14.5</v>
      </c>
      <c r="E48" s="369"/>
    </row>
    <row r="49" spans="1:5" ht="13.5" customHeight="1" x14ac:dyDescent="0.2">
      <c r="A49" s="672" t="s">
        <v>34</v>
      </c>
      <c r="B49" s="673"/>
      <c r="C49" s="397"/>
      <c r="D49" s="388">
        <f>ROUND(SUM(D43:D48),2)</f>
        <v>368.6</v>
      </c>
      <c r="E49" s="369"/>
    </row>
    <row r="50" spans="1:5" ht="13.5" customHeight="1" x14ac:dyDescent="0.2">
      <c r="A50" s="398"/>
      <c r="B50" s="389"/>
      <c r="C50" s="390"/>
      <c r="D50" s="391"/>
      <c r="E50" s="369"/>
    </row>
    <row r="51" spans="1:5" ht="13.5" customHeight="1" x14ac:dyDescent="0.2">
      <c r="A51" s="674" t="s">
        <v>100</v>
      </c>
      <c r="B51" s="675"/>
      <c r="C51" s="675"/>
      <c r="D51" s="676"/>
      <c r="E51" s="369"/>
    </row>
    <row r="52" spans="1:5" ht="13.5" customHeight="1" x14ac:dyDescent="0.2">
      <c r="A52" s="516">
        <v>3</v>
      </c>
      <c r="B52" s="392" t="s">
        <v>35</v>
      </c>
      <c r="C52" s="375" t="s">
        <v>97</v>
      </c>
      <c r="D52" s="376" t="s">
        <v>98</v>
      </c>
      <c r="E52" s="369"/>
    </row>
    <row r="53" spans="1:5" x14ac:dyDescent="0.2">
      <c r="A53" s="519" t="s">
        <v>1</v>
      </c>
      <c r="B53" s="368" t="s">
        <v>36</v>
      </c>
      <c r="C53" s="399">
        <v>31.1</v>
      </c>
      <c r="D53" s="378">
        <f>ROUND(C53*$C$29,2)</f>
        <v>31.1</v>
      </c>
      <c r="E53" s="369"/>
    </row>
    <row r="54" spans="1:5" x14ac:dyDescent="0.2">
      <c r="A54" s="519" t="s">
        <v>2</v>
      </c>
      <c r="B54" s="420" t="s">
        <v>37</v>
      </c>
      <c r="C54" s="399"/>
      <c r="D54" s="297">
        <f>'REPACTUAÇÃO 2014'!F30</f>
        <v>338.34</v>
      </c>
      <c r="E54" s="396"/>
    </row>
    <row r="55" spans="1:5" x14ac:dyDescent="0.2">
      <c r="A55" s="519" t="s">
        <v>4</v>
      </c>
      <c r="B55" s="368" t="s">
        <v>38</v>
      </c>
      <c r="C55" s="399">
        <v>37.479999999999997</v>
      </c>
      <c r="D55" s="378">
        <f>ROUND(C55*$C$29,2)</f>
        <v>37.479999999999997</v>
      </c>
      <c r="E55" s="369"/>
    </row>
    <row r="56" spans="1:5" x14ac:dyDescent="0.2">
      <c r="A56" s="519" t="s">
        <v>3</v>
      </c>
      <c r="B56" s="420" t="s">
        <v>251</v>
      </c>
      <c r="C56" s="378">
        <v>2.8</v>
      </c>
      <c r="D56" s="378">
        <f>C56</f>
        <v>2.8</v>
      </c>
      <c r="E56" s="396"/>
    </row>
    <row r="57" spans="1:5" x14ac:dyDescent="0.2">
      <c r="A57" s="677" t="s">
        <v>39</v>
      </c>
      <c r="B57" s="678"/>
      <c r="C57" s="10"/>
      <c r="D57" s="22">
        <f>ROUND(SUM(D53:D56),2)</f>
        <v>409.72</v>
      </c>
      <c r="E57" s="198"/>
    </row>
    <row r="59" spans="1:5" x14ac:dyDescent="0.2">
      <c r="A59" s="679" t="s">
        <v>101</v>
      </c>
      <c r="B59" s="680"/>
      <c r="C59" s="680"/>
      <c r="D59" s="681"/>
    </row>
    <row r="60" spans="1:5" x14ac:dyDescent="0.2">
      <c r="A60" s="665" t="s">
        <v>102</v>
      </c>
      <c r="B60" s="665"/>
      <c r="C60" s="9" t="s">
        <v>97</v>
      </c>
      <c r="D60" s="12" t="s">
        <v>98</v>
      </c>
    </row>
    <row r="61" spans="1:5" x14ac:dyDescent="0.2">
      <c r="A61" s="520" t="s">
        <v>1</v>
      </c>
      <c r="B61" s="129" t="s">
        <v>40</v>
      </c>
      <c r="C61" s="10">
        <v>0.2</v>
      </c>
      <c r="D61" s="13">
        <f>ROUND($D$39*C61,2)</f>
        <v>210.58</v>
      </c>
    </row>
    <row r="62" spans="1:5" x14ac:dyDescent="0.2">
      <c r="A62" s="520" t="s">
        <v>2</v>
      </c>
      <c r="B62" s="129" t="s">
        <v>41</v>
      </c>
      <c r="C62" s="10">
        <v>1.4999999999999999E-2</v>
      </c>
      <c r="D62" s="13">
        <f>ROUND($D$39*C62,2)</f>
        <v>15.79</v>
      </c>
    </row>
    <row r="63" spans="1:5" x14ac:dyDescent="0.2">
      <c r="A63" s="520" t="s">
        <v>4</v>
      </c>
      <c r="B63" s="129" t="s">
        <v>123</v>
      </c>
      <c r="C63" s="10">
        <v>0.01</v>
      </c>
      <c r="D63" s="13">
        <f t="shared" ref="D63:D68" si="0">ROUND($D$39*C63,2)</f>
        <v>10.53</v>
      </c>
    </row>
    <row r="64" spans="1:5" x14ac:dyDescent="0.2">
      <c r="A64" s="520" t="s">
        <v>3</v>
      </c>
      <c r="B64" s="129" t="s">
        <v>42</v>
      </c>
      <c r="C64" s="10">
        <v>2E-3</v>
      </c>
      <c r="D64" s="13">
        <f t="shared" si="0"/>
        <v>2.11</v>
      </c>
    </row>
    <row r="65" spans="1:6" x14ac:dyDescent="0.2">
      <c r="A65" s="520" t="s">
        <v>18</v>
      </c>
      <c r="B65" s="129" t="s">
        <v>43</v>
      </c>
      <c r="C65" s="10">
        <v>2.5000000000000001E-2</v>
      </c>
      <c r="D65" s="13">
        <f t="shared" si="0"/>
        <v>26.32</v>
      </c>
    </row>
    <row r="66" spans="1:6" x14ac:dyDescent="0.2">
      <c r="A66" s="520" t="s">
        <v>19</v>
      </c>
      <c r="B66" s="129" t="s">
        <v>44</v>
      </c>
      <c r="C66" s="10">
        <v>0.08</v>
      </c>
      <c r="D66" s="13">
        <f t="shared" si="0"/>
        <v>84.23</v>
      </c>
    </row>
    <row r="67" spans="1:6" x14ac:dyDescent="0.2">
      <c r="A67" s="520" t="s">
        <v>20</v>
      </c>
      <c r="B67" s="129" t="s">
        <v>124</v>
      </c>
      <c r="C67" s="10">
        <f>2%*F71</f>
        <v>0.03</v>
      </c>
      <c r="D67" s="13">
        <f t="shared" si="0"/>
        <v>31.59</v>
      </c>
    </row>
    <row r="68" spans="1:6" x14ac:dyDescent="0.2">
      <c r="A68" s="520" t="s">
        <v>21</v>
      </c>
      <c r="B68" s="129" t="s">
        <v>45</v>
      </c>
      <c r="C68" s="10">
        <v>6.0000000000000001E-3</v>
      </c>
      <c r="D68" s="13">
        <f t="shared" si="0"/>
        <v>6.32</v>
      </c>
    </row>
    <row r="69" spans="1:6" x14ac:dyDescent="0.2">
      <c r="A69" s="677" t="s">
        <v>51</v>
      </c>
      <c r="B69" s="657"/>
      <c r="C69" s="24">
        <f>SUM(C61:C68)</f>
        <v>0.36799999999999999</v>
      </c>
      <c r="D69" s="22">
        <f>ROUND(SUM(D61:D68),2)</f>
        <v>387.47</v>
      </c>
    </row>
    <row r="70" spans="1:6" x14ac:dyDescent="0.2">
      <c r="A70" s="128"/>
      <c r="B70" s="128"/>
    </row>
    <row r="71" spans="1:6" x14ac:dyDescent="0.2">
      <c r="A71" s="665" t="s">
        <v>103</v>
      </c>
      <c r="B71" s="665"/>
      <c r="C71" s="9" t="s">
        <v>97</v>
      </c>
      <c r="D71" s="12" t="s">
        <v>98</v>
      </c>
      <c r="F71" s="38">
        <v>1.5</v>
      </c>
    </row>
    <row r="72" spans="1:6" x14ac:dyDescent="0.2">
      <c r="A72" s="520" t="s">
        <v>1</v>
      </c>
      <c r="B72" s="129" t="s">
        <v>47</v>
      </c>
      <c r="C72" s="10">
        <v>8.3299999999999999E-2</v>
      </c>
      <c r="D72" s="13">
        <f>ROUND($D$39*C72,2)</f>
        <v>87.71</v>
      </c>
    </row>
    <row r="73" spans="1:6" x14ac:dyDescent="0.2">
      <c r="A73" s="520" t="s">
        <v>2</v>
      </c>
      <c r="B73" s="129" t="s">
        <v>48</v>
      </c>
      <c r="C73" s="10">
        <f>C88/3</f>
        <v>2.7799999999999998E-2</v>
      </c>
      <c r="D73" s="13">
        <f>ROUND($D$39*C73,2)</f>
        <v>29.27</v>
      </c>
    </row>
    <row r="74" spans="1:6" x14ac:dyDescent="0.2">
      <c r="A74" s="655" t="s">
        <v>49</v>
      </c>
      <c r="B74" s="655"/>
      <c r="C74" s="24">
        <f>SUM(C72:C73)</f>
        <v>0.1111</v>
      </c>
      <c r="D74" s="22">
        <f>ROUND(SUM(D72:D73),2)</f>
        <v>116.98</v>
      </c>
    </row>
    <row r="75" spans="1:6" x14ac:dyDescent="0.2">
      <c r="A75" s="520" t="s">
        <v>4</v>
      </c>
      <c r="B75" s="129" t="s">
        <v>50</v>
      </c>
      <c r="C75" s="10">
        <f>C69*C74</f>
        <v>4.0899999999999999E-2</v>
      </c>
      <c r="D75" s="13">
        <f>ROUND($D$39*C75,2)</f>
        <v>43.06</v>
      </c>
    </row>
    <row r="76" spans="1:6" x14ac:dyDescent="0.2">
      <c r="A76" s="655" t="s">
        <v>46</v>
      </c>
      <c r="B76" s="655"/>
      <c r="C76" s="24">
        <f>C75+C74</f>
        <v>0.152</v>
      </c>
      <c r="D76" s="22">
        <f>ROUND(D75+D74,2)</f>
        <v>160.04</v>
      </c>
    </row>
    <row r="77" spans="1:6" x14ac:dyDescent="0.2">
      <c r="A77" s="128"/>
      <c r="B77" s="128"/>
      <c r="E77" s="199"/>
    </row>
    <row r="78" spans="1:6" x14ac:dyDescent="0.2">
      <c r="A78" s="662" t="s">
        <v>356</v>
      </c>
      <c r="B78" s="664"/>
      <c r="C78" s="9" t="s">
        <v>97</v>
      </c>
      <c r="D78" s="12" t="s">
        <v>98</v>
      </c>
    </row>
    <row r="79" spans="1:6" x14ac:dyDescent="0.2">
      <c r="A79" s="520" t="s">
        <v>1</v>
      </c>
      <c r="B79" s="129" t="s">
        <v>52</v>
      </c>
      <c r="C79" s="10">
        <v>1.6999999999999999E-3</v>
      </c>
      <c r="D79" s="13">
        <f t="shared" ref="D79:D84" si="1">ROUND($D$39*C79,2)</f>
        <v>1.79</v>
      </c>
    </row>
    <row r="80" spans="1:6" x14ac:dyDescent="0.2">
      <c r="A80" s="520" t="s">
        <v>2</v>
      </c>
      <c r="B80" s="129" t="s">
        <v>53</v>
      </c>
      <c r="C80" s="10">
        <f>C66*C79</f>
        <v>1E-4</v>
      </c>
      <c r="D80" s="13">
        <f t="shared" si="1"/>
        <v>0.11</v>
      </c>
    </row>
    <row r="81" spans="1:5" x14ac:dyDescent="0.2">
      <c r="A81" s="520" t="s">
        <v>4</v>
      </c>
      <c r="B81" s="129" t="s">
        <v>54</v>
      </c>
      <c r="C81" s="10">
        <f>C66*10%</f>
        <v>8.0000000000000002E-3</v>
      </c>
      <c r="D81" s="13">
        <f t="shared" si="1"/>
        <v>8.42</v>
      </c>
    </row>
    <row r="82" spans="1:5" x14ac:dyDescent="0.2">
      <c r="A82" s="521" t="s">
        <v>3</v>
      </c>
      <c r="B82" s="4" t="s">
        <v>55</v>
      </c>
      <c r="C82" s="10">
        <v>1.9400000000000001E-2</v>
      </c>
      <c r="D82" s="13">
        <f t="shared" si="1"/>
        <v>20.43</v>
      </c>
    </row>
    <row r="83" spans="1:5" x14ac:dyDescent="0.2">
      <c r="A83" s="521" t="s">
        <v>18</v>
      </c>
      <c r="B83" s="4" t="s">
        <v>56</v>
      </c>
      <c r="C83" s="10">
        <f>C69*C82</f>
        <v>7.1000000000000004E-3</v>
      </c>
      <c r="D83" s="13">
        <f t="shared" si="1"/>
        <v>7.48</v>
      </c>
    </row>
    <row r="84" spans="1:5" x14ac:dyDescent="0.2">
      <c r="A84" s="521" t="s">
        <v>19</v>
      </c>
      <c r="B84" s="4" t="s">
        <v>57</v>
      </c>
      <c r="C84" s="10">
        <v>4.4200000000000003E-2</v>
      </c>
      <c r="D84" s="13">
        <f t="shared" si="1"/>
        <v>46.54</v>
      </c>
    </row>
    <row r="85" spans="1:5" x14ac:dyDescent="0.2">
      <c r="A85" s="655" t="s">
        <v>46</v>
      </c>
      <c r="B85" s="655"/>
      <c r="C85" s="24">
        <f>SUM(C79:C84)</f>
        <v>8.0500000000000002E-2</v>
      </c>
      <c r="D85" s="22">
        <f>ROUND(SUM(D79:D84),2)</f>
        <v>84.77</v>
      </c>
    </row>
    <row r="86" spans="1:5" x14ac:dyDescent="0.2">
      <c r="E86" s="199"/>
    </row>
    <row r="87" spans="1:5" x14ac:dyDescent="0.2">
      <c r="A87" s="662" t="s">
        <v>357</v>
      </c>
      <c r="B87" s="664"/>
      <c r="C87" s="9" t="s">
        <v>97</v>
      </c>
      <c r="D87" s="12" t="s">
        <v>98</v>
      </c>
      <c r="E87" s="199"/>
    </row>
    <row r="88" spans="1:5" x14ac:dyDescent="0.2">
      <c r="A88" s="521" t="s">
        <v>1</v>
      </c>
      <c r="B88" s="4" t="s">
        <v>58</v>
      </c>
      <c r="C88" s="10">
        <v>8.3299999999999999E-2</v>
      </c>
      <c r="D88" s="13">
        <f t="shared" ref="D88:D95" si="2">ROUND($D$39*C88,2)</f>
        <v>87.71</v>
      </c>
      <c r="E88" s="199"/>
    </row>
    <row r="89" spans="1:5" x14ac:dyDescent="0.2">
      <c r="A89" s="521" t="s">
        <v>2</v>
      </c>
      <c r="B89" s="4" t="s">
        <v>59</v>
      </c>
      <c r="C89" s="10">
        <v>5.5999999999999999E-3</v>
      </c>
      <c r="D89" s="13">
        <f t="shared" si="2"/>
        <v>5.9</v>
      </c>
    </row>
    <row r="90" spans="1:5" x14ac:dyDescent="0.2">
      <c r="A90" s="521" t="s">
        <v>4</v>
      </c>
      <c r="B90" s="129" t="s">
        <v>360</v>
      </c>
      <c r="C90" s="10">
        <v>6.9999999999999999E-4</v>
      </c>
      <c r="D90" s="13">
        <f t="shared" si="2"/>
        <v>0.74</v>
      </c>
    </row>
    <row r="91" spans="1:5" x14ac:dyDescent="0.2">
      <c r="A91" s="521" t="s">
        <v>3</v>
      </c>
      <c r="B91" s="4" t="s">
        <v>60</v>
      </c>
      <c r="C91" s="10">
        <v>2.8E-3</v>
      </c>
      <c r="D91" s="13">
        <f t="shared" si="2"/>
        <v>2.95</v>
      </c>
    </row>
    <row r="92" spans="1:5" x14ac:dyDescent="0.2">
      <c r="A92" s="521" t="s">
        <v>18</v>
      </c>
      <c r="B92" s="4" t="s">
        <v>61</v>
      </c>
      <c r="C92" s="10">
        <v>8.0000000000000004E-4</v>
      </c>
      <c r="D92" s="13">
        <f t="shared" si="2"/>
        <v>0.84</v>
      </c>
    </row>
    <row r="93" spans="1:5" x14ac:dyDescent="0.2">
      <c r="A93" s="521" t="s">
        <v>19</v>
      </c>
      <c r="B93" s="129" t="s">
        <v>367</v>
      </c>
      <c r="C93" s="10">
        <v>2.0000000000000001E-4</v>
      </c>
      <c r="D93" s="13">
        <f t="shared" si="2"/>
        <v>0.21</v>
      </c>
    </row>
    <row r="94" spans="1:5" x14ac:dyDescent="0.2">
      <c r="A94" s="655" t="s">
        <v>49</v>
      </c>
      <c r="B94" s="655"/>
      <c r="C94" s="24">
        <f>SUM(C88:C93)</f>
        <v>9.3399999999999997E-2</v>
      </c>
      <c r="D94" s="22">
        <f t="shared" si="2"/>
        <v>98.34</v>
      </c>
    </row>
    <row r="95" spans="1:5" x14ac:dyDescent="0.2">
      <c r="A95" s="521" t="s">
        <v>20</v>
      </c>
      <c r="B95" s="4" t="s">
        <v>104</v>
      </c>
      <c r="C95" s="10">
        <f>C69*C94</f>
        <v>3.44E-2</v>
      </c>
      <c r="D95" s="13">
        <f t="shared" si="2"/>
        <v>36.22</v>
      </c>
    </row>
    <row r="96" spans="1:5" x14ac:dyDescent="0.2">
      <c r="A96" s="655" t="s">
        <v>46</v>
      </c>
      <c r="B96" s="655"/>
      <c r="C96" s="24">
        <f>C95+C94</f>
        <v>0.1278</v>
      </c>
      <c r="D96" s="22">
        <f>ROUND(D95+D94,2)</f>
        <v>134.56</v>
      </c>
    </row>
    <row r="98" spans="1:5" x14ac:dyDescent="0.2">
      <c r="A98" s="661" t="s">
        <v>62</v>
      </c>
      <c r="B98" s="661"/>
      <c r="C98" s="661"/>
      <c r="D98" s="661"/>
    </row>
    <row r="99" spans="1:5" x14ac:dyDescent="0.2">
      <c r="A99" s="523">
        <v>4</v>
      </c>
      <c r="B99" s="665" t="s">
        <v>68</v>
      </c>
      <c r="C99" s="665"/>
      <c r="D99" s="12" t="s">
        <v>98</v>
      </c>
    </row>
    <row r="100" spans="1:5" x14ac:dyDescent="0.2">
      <c r="A100" s="521" t="s">
        <v>63</v>
      </c>
      <c r="B100" s="258" t="s">
        <v>69</v>
      </c>
      <c r="C100" s="26">
        <f>C76</f>
        <v>0.152</v>
      </c>
      <c r="D100" s="13">
        <f>ROUND($D$39*C100,2)</f>
        <v>160.04</v>
      </c>
      <c r="E100" s="199"/>
    </row>
    <row r="101" spans="1:5" x14ac:dyDescent="0.2">
      <c r="A101" s="521" t="s">
        <v>64</v>
      </c>
      <c r="B101" s="258" t="s">
        <v>126</v>
      </c>
      <c r="C101" s="26">
        <f>C69</f>
        <v>0.36799999999999999</v>
      </c>
      <c r="D101" s="13">
        <f>ROUND($D$39*C101,2)</f>
        <v>387.47</v>
      </c>
    </row>
    <row r="102" spans="1:5" x14ac:dyDescent="0.2">
      <c r="A102" s="520" t="s">
        <v>65</v>
      </c>
      <c r="B102" s="258" t="s">
        <v>70</v>
      </c>
      <c r="C102" s="26">
        <f>C85</f>
        <v>8.0500000000000002E-2</v>
      </c>
      <c r="D102" s="13">
        <f>ROUND($D$39*C102,2)</f>
        <v>84.76</v>
      </c>
    </row>
    <row r="103" spans="1:5" x14ac:dyDescent="0.2">
      <c r="A103" s="520" t="s">
        <v>66</v>
      </c>
      <c r="B103" s="258" t="s">
        <v>71</v>
      </c>
      <c r="C103" s="26">
        <f>C96</f>
        <v>0.1278</v>
      </c>
      <c r="D103" s="13">
        <f>ROUND($D$39*C103,2)</f>
        <v>134.56</v>
      </c>
    </row>
    <row r="104" spans="1:5" x14ac:dyDescent="0.2">
      <c r="A104" s="520" t="s">
        <v>67</v>
      </c>
      <c r="B104" s="258" t="s">
        <v>29</v>
      </c>
      <c r="C104" s="524"/>
      <c r="D104" s="13"/>
    </row>
    <row r="105" spans="1:5" x14ac:dyDescent="0.2">
      <c r="A105" s="521"/>
      <c r="B105" s="525" t="s">
        <v>46</v>
      </c>
      <c r="C105" s="27">
        <f>SUM(C100:C104)</f>
        <v>0.72829999999999995</v>
      </c>
      <c r="D105" s="22">
        <f>ROUND($D$39*C105,2)</f>
        <v>766.83</v>
      </c>
    </row>
    <row r="106" spans="1:5" x14ac:dyDescent="0.2">
      <c r="D106" s="28">
        <f>ROUND(D105+D57+D49+D39,2)</f>
        <v>2598.0500000000002</v>
      </c>
    </row>
    <row r="107" spans="1:5" x14ac:dyDescent="0.2">
      <c r="A107" s="523">
        <v>5</v>
      </c>
      <c r="B107" s="6" t="s">
        <v>72</v>
      </c>
      <c r="C107" s="9" t="s">
        <v>97</v>
      </c>
      <c r="D107" s="12" t="s">
        <v>98</v>
      </c>
      <c r="E107" s="199"/>
    </row>
    <row r="108" spans="1:5" x14ac:dyDescent="0.2">
      <c r="A108" s="521" t="s">
        <v>1</v>
      </c>
      <c r="B108" s="4" t="s">
        <v>73</v>
      </c>
      <c r="C108" s="10">
        <v>1.06E-2</v>
      </c>
      <c r="D108" s="13">
        <f>ROUND($D$106*C108,2)</f>
        <v>27.54</v>
      </c>
    </row>
    <row r="109" spans="1:5" x14ac:dyDescent="0.2">
      <c r="A109" s="521" t="s">
        <v>2</v>
      </c>
      <c r="B109" s="4" t="s">
        <v>74</v>
      </c>
      <c r="C109" s="10"/>
      <c r="D109" s="13"/>
      <c r="E109" s="198"/>
    </row>
    <row r="110" spans="1:5" x14ac:dyDescent="0.2">
      <c r="A110" s="519" t="s">
        <v>105</v>
      </c>
      <c r="B110" s="4" t="s">
        <v>75</v>
      </c>
      <c r="C110" s="10">
        <v>0</v>
      </c>
      <c r="D110" s="13">
        <v>0</v>
      </c>
    </row>
    <row r="111" spans="1:5" x14ac:dyDescent="0.2">
      <c r="A111" s="519" t="s">
        <v>106</v>
      </c>
      <c r="B111" s="4" t="s">
        <v>76</v>
      </c>
      <c r="C111" s="10">
        <v>0</v>
      </c>
      <c r="D111" s="13">
        <v>0</v>
      </c>
    </row>
    <row r="112" spans="1:5" x14ac:dyDescent="0.2">
      <c r="A112" s="519" t="s">
        <v>107</v>
      </c>
      <c r="B112" s="4" t="s">
        <v>77</v>
      </c>
      <c r="C112" s="10">
        <v>1.6500000000000001E-2</v>
      </c>
      <c r="D112" s="13">
        <f>ROUND($F$115*C112,2)</f>
        <v>49.62</v>
      </c>
    </row>
    <row r="113" spans="1:6" x14ac:dyDescent="0.2">
      <c r="A113" s="519" t="s">
        <v>108</v>
      </c>
      <c r="B113" s="4" t="s">
        <v>78</v>
      </c>
      <c r="C113" s="10">
        <v>7.5999999999999998E-2</v>
      </c>
      <c r="D113" s="13">
        <f>ROUND($F$115*C113,2)</f>
        <v>228.54</v>
      </c>
      <c r="F113" s="39">
        <f>SUM(C110:C114)</f>
        <v>0.1225</v>
      </c>
    </row>
    <row r="114" spans="1:6" x14ac:dyDescent="0.2">
      <c r="A114" s="519" t="s">
        <v>109</v>
      </c>
      <c r="B114" s="4" t="s">
        <v>79</v>
      </c>
      <c r="C114" s="131">
        <v>0.03</v>
      </c>
      <c r="D114" s="13">
        <f>ROUND($F$115*C114,2)</f>
        <v>90.21</v>
      </c>
      <c r="F114" s="40">
        <f>ROUND(D115+D108+D106,2)</f>
        <v>2638.72</v>
      </c>
    </row>
    <row r="115" spans="1:6" x14ac:dyDescent="0.2">
      <c r="A115" s="521" t="s">
        <v>4</v>
      </c>
      <c r="B115" s="4" t="s">
        <v>80</v>
      </c>
      <c r="C115" s="10">
        <v>5.0000000000000001E-3</v>
      </c>
      <c r="D115" s="13">
        <f>ROUND(($D$106+D108)*C115,2)</f>
        <v>13.13</v>
      </c>
      <c r="F115" s="41">
        <f>ROUND(F114/(1-F113),2)</f>
        <v>3007.09</v>
      </c>
    </row>
    <row r="116" spans="1:6" x14ac:dyDescent="0.2">
      <c r="A116" s="677" t="s">
        <v>46</v>
      </c>
      <c r="B116" s="682"/>
      <c r="C116" s="678"/>
      <c r="D116" s="22">
        <f>ROUND(SUM(D108:D115),2)</f>
        <v>409.04</v>
      </c>
    </row>
    <row r="117" spans="1:6" x14ac:dyDescent="0.2">
      <c r="D117" s="28"/>
    </row>
    <row r="118" spans="1:6" x14ac:dyDescent="0.2">
      <c r="A118" s="661" t="s">
        <v>81</v>
      </c>
      <c r="B118" s="661"/>
      <c r="C118" s="661"/>
      <c r="D118" s="661"/>
    </row>
    <row r="119" spans="1:6" x14ac:dyDescent="0.2">
      <c r="A119" s="655" t="s">
        <v>82</v>
      </c>
      <c r="B119" s="655"/>
      <c r="C119" s="655"/>
      <c r="D119" s="655"/>
    </row>
    <row r="120" spans="1:6" x14ac:dyDescent="0.2">
      <c r="A120" s="521" t="s">
        <v>1</v>
      </c>
      <c r="B120" s="658" t="s">
        <v>83</v>
      </c>
      <c r="C120" s="658"/>
      <c r="D120" s="13">
        <f>D39</f>
        <v>1052.9000000000001</v>
      </c>
    </row>
    <row r="121" spans="1:6" x14ac:dyDescent="0.2">
      <c r="A121" s="521" t="s">
        <v>2</v>
      </c>
      <c r="B121" s="658" t="s">
        <v>84</v>
      </c>
      <c r="C121" s="658"/>
      <c r="D121" s="13">
        <f>D49</f>
        <v>368.6</v>
      </c>
    </row>
    <row r="122" spans="1:6" x14ac:dyDescent="0.2">
      <c r="A122" s="521" t="s">
        <v>4</v>
      </c>
      <c r="B122" s="658" t="s">
        <v>85</v>
      </c>
      <c r="C122" s="658"/>
      <c r="D122" s="13">
        <f>D57</f>
        <v>409.72</v>
      </c>
    </row>
    <row r="123" spans="1:6" x14ac:dyDescent="0.2">
      <c r="A123" s="521" t="s">
        <v>3</v>
      </c>
      <c r="B123" s="658" t="s">
        <v>127</v>
      </c>
      <c r="C123" s="658"/>
      <c r="D123" s="13">
        <f>D105</f>
        <v>766.83</v>
      </c>
    </row>
    <row r="124" spans="1:6" x14ac:dyDescent="0.2">
      <c r="A124" s="655" t="s">
        <v>49</v>
      </c>
      <c r="B124" s="655"/>
      <c r="C124" s="655"/>
      <c r="D124" s="22">
        <f>ROUND(SUM(D120:D123),2)</f>
        <v>2598.0500000000002</v>
      </c>
    </row>
    <row r="125" spans="1:6" x14ac:dyDescent="0.2">
      <c r="A125" s="521" t="s">
        <v>18</v>
      </c>
      <c r="B125" s="683" t="s">
        <v>86</v>
      </c>
      <c r="C125" s="683"/>
      <c r="D125" s="13">
        <f>D116</f>
        <v>409.04</v>
      </c>
    </row>
    <row r="126" spans="1:6" x14ac:dyDescent="0.2">
      <c r="A126" s="655" t="s">
        <v>87</v>
      </c>
      <c r="B126" s="655"/>
      <c r="C126" s="655"/>
      <c r="D126" s="22">
        <f>ROUND(D125+D124,2)</f>
        <v>3007.09</v>
      </c>
    </row>
    <row r="128" spans="1:6" x14ac:dyDescent="0.2">
      <c r="A128" s="653" t="s">
        <v>110</v>
      </c>
      <c r="B128" s="653"/>
      <c r="C128" s="653"/>
      <c r="D128" s="653"/>
    </row>
    <row r="129" spans="1:5" x14ac:dyDescent="0.2">
      <c r="A129" s="658" t="s">
        <v>13</v>
      </c>
      <c r="B129" s="658"/>
      <c r="C129" s="658"/>
      <c r="D129" s="13"/>
    </row>
    <row r="130" spans="1:5" x14ac:dyDescent="0.2">
      <c r="A130" s="658" t="s">
        <v>88</v>
      </c>
      <c r="B130" s="658"/>
      <c r="C130" s="658"/>
      <c r="D130" s="13">
        <f>D126</f>
        <v>3007.09</v>
      </c>
      <c r="E130" s="200"/>
    </row>
    <row r="131" spans="1:5" x14ac:dyDescent="0.2">
      <c r="A131" s="658" t="s">
        <v>89</v>
      </c>
      <c r="B131" s="658"/>
      <c r="C131" s="658"/>
      <c r="D131" s="13">
        <v>1</v>
      </c>
      <c r="E131" s="200"/>
    </row>
    <row r="132" spans="1:5" x14ac:dyDescent="0.2">
      <c r="A132" s="658" t="s">
        <v>90</v>
      </c>
      <c r="B132" s="658"/>
      <c r="C132" s="658"/>
      <c r="D132" s="13">
        <f>ROUND(D131*D130,2)</f>
        <v>3007.09</v>
      </c>
      <c r="E132" s="200"/>
    </row>
    <row r="133" spans="1:5" x14ac:dyDescent="0.2">
      <c r="A133" s="658" t="s">
        <v>91</v>
      </c>
      <c r="B133" s="658"/>
      <c r="C133" s="658"/>
      <c r="D133" s="13">
        <v>1</v>
      </c>
      <c r="E133" s="200"/>
    </row>
    <row r="134" spans="1:5" x14ac:dyDescent="0.2">
      <c r="A134" s="665" t="s">
        <v>92</v>
      </c>
      <c r="B134" s="665"/>
      <c r="C134" s="665"/>
      <c r="D134" s="22">
        <f>ROUND(D133*D132,2)</f>
        <v>3007.09</v>
      </c>
      <c r="E134" s="200"/>
    </row>
    <row r="135" spans="1:5" x14ac:dyDescent="0.2">
      <c r="E135" s="200"/>
    </row>
    <row r="136" spans="1:5" x14ac:dyDescent="0.2">
      <c r="A136" s="653" t="s">
        <v>111</v>
      </c>
      <c r="B136" s="653"/>
      <c r="C136" s="653"/>
      <c r="D136" s="653"/>
    </row>
    <row r="137" spans="1:5" x14ac:dyDescent="0.2">
      <c r="A137" s="521" t="s">
        <v>1</v>
      </c>
      <c r="B137" s="658" t="s">
        <v>93</v>
      </c>
      <c r="C137" s="658"/>
      <c r="D137" s="202">
        <f>D130</f>
        <v>3007.09</v>
      </c>
      <c r="E137" s="201"/>
    </row>
    <row r="138" spans="1:5" x14ac:dyDescent="0.2">
      <c r="A138" s="521" t="s">
        <v>2</v>
      </c>
      <c r="B138" s="658" t="s">
        <v>94</v>
      </c>
      <c r="C138" s="658"/>
      <c r="D138" s="13">
        <f>D134</f>
        <v>3007.09</v>
      </c>
    </row>
    <row r="139" spans="1:5" x14ac:dyDescent="0.2">
      <c r="A139" s="523" t="s">
        <v>4</v>
      </c>
      <c r="B139" s="665" t="s">
        <v>95</v>
      </c>
      <c r="C139" s="665"/>
      <c r="D139" s="22">
        <f>ROUND(D138*12,2)</f>
        <v>36085.08</v>
      </c>
    </row>
    <row r="140" spans="1:5" x14ac:dyDescent="0.2">
      <c r="A140" s="1"/>
    </row>
    <row r="141" spans="1:5" x14ac:dyDescent="0.2">
      <c r="A141" s="1"/>
    </row>
    <row r="142" spans="1:5" x14ac:dyDescent="0.2">
      <c r="A142" s="685" t="s">
        <v>441</v>
      </c>
      <c r="B142" s="686"/>
    </row>
    <row r="143" spans="1:5" x14ac:dyDescent="0.2">
      <c r="A143" s="1"/>
    </row>
    <row r="144" spans="1:5" x14ac:dyDescent="0.2">
      <c r="A144" s="1"/>
    </row>
    <row r="145" spans="1:2" x14ac:dyDescent="0.2">
      <c r="A145" s="687" t="s">
        <v>381</v>
      </c>
      <c r="B145" s="687"/>
    </row>
    <row r="146" spans="1:2" x14ac:dyDescent="0.2">
      <c r="A146" s="688" t="s">
        <v>379</v>
      </c>
      <c r="B146" s="688"/>
    </row>
    <row r="147" spans="1:2" x14ac:dyDescent="0.2">
      <c r="A147" s="684" t="s">
        <v>380</v>
      </c>
      <c r="B147" s="68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WVK983067:WVL983067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C26:D26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3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57"/>
  <sheetViews>
    <sheetView view="pageBreakPreview" topLeftCell="A124" zoomScaleNormal="85" zoomScaleSheetLayoutView="100" workbookViewId="0">
      <selection activeCell="F157" sqref="F157"/>
    </sheetView>
  </sheetViews>
  <sheetFormatPr defaultRowHeight="12.75" x14ac:dyDescent="0.2"/>
  <cols>
    <col min="1" max="1" width="4.42578125" style="305" customWidth="1"/>
    <col min="2" max="2" width="60.140625" style="305" customWidth="1"/>
    <col min="3" max="3" width="11.5703125" style="8" customWidth="1"/>
    <col min="4" max="4" width="22.85546875" style="11" customWidth="1"/>
    <col min="5" max="5" width="14.7109375" style="330" hidden="1" customWidth="1"/>
    <col min="6" max="6" width="51.85546875" style="333" customWidth="1"/>
    <col min="7" max="7" width="9.7109375" style="305" bestFit="1" customWidth="1"/>
    <col min="8" max="256" width="9.140625" style="305"/>
    <col min="257" max="257" width="4.42578125" style="305" customWidth="1"/>
    <col min="258" max="258" width="60.140625" style="305" customWidth="1"/>
    <col min="259" max="259" width="11.5703125" style="305" customWidth="1"/>
    <col min="260" max="260" width="22.85546875" style="305" customWidth="1"/>
    <col min="261" max="261" width="14.7109375" style="305" customWidth="1"/>
    <col min="262" max="262" width="51.85546875" style="305" customWidth="1"/>
    <col min="263" max="263" width="9.7109375" style="305" bestFit="1" customWidth="1"/>
    <col min="264" max="512" width="9.140625" style="305"/>
    <col min="513" max="513" width="4.42578125" style="305" customWidth="1"/>
    <col min="514" max="514" width="60.140625" style="305" customWidth="1"/>
    <col min="515" max="515" width="11.5703125" style="305" customWidth="1"/>
    <col min="516" max="516" width="22.85546875" style="305" customWidth="1"/>
    <col min="517" max="517" width="14.7109375" style="305" customWidth="1"/>
    <col min="518" max="518" width="51.85546875" style="305" customWidth="1"/>
    <col min="519" max="519" width="9.7109375" style="305" bestFit="1" customWidth="1"/>
    <col min="520" max="768" width="9.140625" style="305"/>
    <col min="769" max="769" width="4.42578125" style="305" customWidth="1"/>
    <col min="770" max="770" width="60.140625" style="305" customWidth="1"/>
    <col min="771" max="771" width="11.5703125" style="305" customWidth="1"/>
    <col min="772" max="772" width="22.85546875" style="305" customWidth="1"/>
    <col min="773" max="773" width="14.7109375" style="305" customWidth="1"/>
    <col min="774" max="774" width="51.85546875" style="305" customWidth="1"/>
    <col min="775" max="775" width="9.7109375" style="305" bestFit="1" customWidth="1"/>
    <col min="776" max="1024" width="9.140625" style="305"/>
    <col min="1025" max="1025" width="4.42578125" style="305" customWidth="1"/>
    <col min="1026" max="1026" width="60.140625" style="305" customWidth="1"/>
    <col min="1027" max="1027" width="11.5703125" style="305" customWidth="1"/>
    <col min="1028" max="1028" width="22.85546875" style="305" customWidth="1"/>
    <col min="1029" max="1029" width="14.7109375" style="305" customWidth="1"/>
    <col min="1030" max="1030" width="51.85546875" style="305" customWidth="1"/>
    <col min="1031" max="1031" width="9.7109375" style="305" bestFit="1" customWidth="1"/>
    <col min="1032" max="1280" width="9.140625" style="305"/>
    <col min="1281" max="1281" width="4.42578125" style="305" customWidth="1"/>
    <col min="1282" max="1282" width="60.140625" style="305" customWidth="1"/>
    <col min="1283" max="1283" width="11.5703125" style="305" customWidth="1"/>
    <col min="1284" max="1284" width="22.85546875" style="305" customWidth="1"/>
    <col min="1285" max="1285" width="14.7109375" style="305" customWidth="1"/>
    <col min="1286" max="1286" width="51.85546875" style="305" customWidth="1"/>
    <col min="1287" max="1287" width="9.7109375" style="305" bestFit="1" customWidth="1"/>
    <col min="1288" max="1536" width="9.140625" style="305"/>
    <col min="1537" max="1537" width="4.42578125" style="305" customWidth="1"/>
    <col min="1538" max="1538" width="60.140625" style="305" customWidth="1"/>
    <col min="1539" max="1539" width="11.5703125" style="305" customWidth="1"/>
    <col min="1540" max="1540" width="22.85546875" style="305" customWidth="1"/>
    <col min="1541" max="1541" width="14.7109375" style="305" customWidth="1"/>
    <col min="1542" max="1542" width="51.85546875" style="305" customWidth="1"/>
    <col min="1543" max="1543" width="9.7109375" style="305" bestFit="1" customWidth="1"/>
    <col min="1544" max="1792" width="9.140625" style="305"/>
    <col min="1793" max="1793" width="4.42578125" style="305" customWidth="1"/>
    <col min="1794" max="1794" width="60.140625" style="305" customWidth="1"/>
    <col min="1795" max="1795" width="11.5703125" style="305" customWidth="1"/>
    <col min="1796" max="1796" width="22.85546875" style="305" customWidth="1"/>
    <col min="1797" max="1797" width="14.7109375" style="305" customWidth="1"/>
    <col min="1798" max="1798" width="51.85546875" style="305" customWidth="1"/>
    <col min="1799" max="1799" width="9.7109375" style="305" bestFit="1" customWidth="1"/>
    <col min="1800" max="2048" width="9.140625" style="305"/>
    <col min="2049" max="2049" width="4.42578125" style="305" customWidth="1"/>
    <col min="2050" max="2050" width="60.140625" style="305" customWidth="1"/>
    <col min="2051" max="2051" width="11.5703125" style="305" customWidth="1"/>
    <col min="2052" max="2052" width="22.85546875" style="305" customWidth="1"/>
    <col min="2053" max="2053" width="14.7109375" style="305" customWidth="1"/>
    <col min="2054" max="2054" width="51.85546875" style="305" customWidth="1"/>
    <col min="2055" max="2055" width="9.7109375" style="305" bestFit="1" customWidth="1"/>
    <col min="2056" max="2304" width="9.140625" style="305"/>
    <col min="2305" max="2305" width="4.42578125" style="305" customWidth="1"/>
    <col min="2306" max="2306" width="60.140625" style="305" customWidth="1"/>
    <col min="2307" max="2307" width="11.5703125" style="305" customWidth="1"/>
    <col min="2308" max="2308" width="22.85546875" style="305" customWidth="1"/>
    <col min="2309" max="2309" width="14.7109375" style="305" customWidth="1"/>
    <col min="2310" max="2310" width="51.85546875" style="305" customWidth="1"/>
    <col min="2311" max="2311" width="9.7109375" style="305" bestFit="1" customWidth="1"/>
    <col min="2312" max="2560" width="9.140625" style="305"/>
    <col min="2561" max="2561" width="4.42578125" style="305" customWidth="1"/>
    <col min="2562" max="2562" width="60.140625" style="305" customWidth="1"/>
    <col min="2563" max="2563" width="11.5703125" style="305" customWidth="1"/>
    <col min="2564" max="2564" width="22.85546875" style="305" customWidth="1"/>
    <col min="2565" max="2565" width="14.7109375" style="305" customWidth="1"/>
    <col min="2566" max="2566" width="51.85546875" style="305" customWidth="1"/>
    <col min="2567" max="2567" width="9.7109375" style="305" bestFit="1" customWidth="1"/>
    <col min="2568" max="2816" width="9.140625" style="305"/>
    <col min="2817" max="2817" width="4.42578125" style="305" customWidth="1"/>
    <col min="2818" max="2818" width="60.140625" style="305" customWidth="1"/>
    <col min="2819" max="2819" width="11.5703125" style="305" customWidth="1"/>
    <col min="2820" max="2820" width="22.85546875" style="305" customWidth="1"/>
    <col min="2821" max="2821" width="14.7109375" style="305" customWidth="1"/>
    <col min="2822" max="2822" width="51.85546875" style="305" customWidth="1"/>
    <col min="2823" max="2823" width="9.7109375" style="305" bestFit="1" customWidth="1"/>
    <col min="2824" max="3072" width="9.140625" style="305"/>
    <col min="3073" max="3073" width="4.42578125" style="305" customWidth="1"/>
    <col min="3074" max="3074" width="60.140625" style="305" customWidth="1"/>
    <col min="3075" max="3075" width="11.5703125" style="305" customWidth="1"/>
    <col min="3076" max="3076" width="22.85546875" style="305" customWidth="1"/>
    <col min="3077" max="3077" width="14.7109375" style="305" customWidth="1"/>
    <col min="3078" max="3078" width="51.85546875" style="305" customWidth="1"/>
    <col min="3079" max="3079" width="9.7109375" style="305" bestFit="1" customWidth="1"/>
    <col min="3080" max="3328" width="9.140625" style="305"/>
    <col min="3329" max="3329" width="4.42578125" style="305" customWidth="1"/>
    <col min="3330" max="3330" width="60.140625" style="305" customWidth="1"/>
    <col min="3331" max="3331" width="11.5703125" style="305" customWidth="1"/>
    <col min="3332" max="3332" width="22.85546875" style="305" customWidth="1"/>
    <col min="3333" max="3333" width="14.7109375" style="305" customWidth="1"/>
    <col min="3334" max="3334" width="51.85546875" style="305" customWidth="1"/>
    <col min="3335" max="3335" width="9.7109375" style="305" bestFit="1" customWidth="1"/>
    <col min="3336" max="3584" width="9.140625" style="305"/>
    <col min="3585" max="3585" width="4.42578125" style="305" customWidth="1"/>
    <col min="3586" max="3586" width="60.140625" style="305" customWidth="1"/>
    <col min="3587" max="3587" width="11.5703125" style="305" customWidth="1"/>
    <col min="3588" max="3588" width="22.85546875" style="305" customWidth="1"/>
    <col min="3589" max="3589" width="14.7109375" style="305" customWidth="1"/>
    <col min="3590" max="3590" width="51.85546875" style="305" customWidth="1"/>
    <col min="3591" max="3591" width="9.7109375" style="305" bestFit="1" customWidth="1"/>
    <col min="3592" max="3840" width="9.140625" style="305"/>
    <col min="3841" max="3841" width="4.42578125" style="305" customWidth="1"/>
    <col min="3842" max="3842" width="60.140625" style="305" customWidth="1"/>
    <col min="3843" max="3843" width="11.5703125" style="305" customWidth="1"/>
    <col min="3844" max="3844" width="22.85546875" style="305" customWidth="1"/>
    <col min="3845" max="3845" width="14.7109375" style="305" customWidth="1"/>
    <col min="3846" max="3846" width="51.85546875" style="305" customWidth="1"/>
    <col min="3847" max="3847" width="9.7109375" style="305" bestFit="1" customWidth="1"/>
    <col min="3848" max="4096" width="9.140625" style="305"/>
    <col min="4097" max="4097" width="4.42578125" style="305" customWidth="1"/>
    <col min="4098" max="4098" width="60.140625" style="305" customWidth="1"/>
    <col min="4099" max="4099" width="11.5703125" style="305" customWidth="1"/>
    <col min="4100" max="4100" width="22.85546875" style="305" customWidth="1"/>
    <col min="4101" max="4101" width="14.7109375" style="305" customWidth="1"/>
    <col min="4102" max="4102" width="51.85546875" style="305" customWidth="1"/>
    <col min="4103" max="4103" width="9.7109375" style="305" bestFit="1" customWidth="1"/>
    <col min="4104" max="4352" width="9.140625" style="305"/>
    <col min="4353" max="4353" width="4.42578125" style="305" customWidth="1"/>
    <col min="4354" max="4354" width="60.140625" style="305" customWidth="1"/>
    <col min="4355" max="4355" width="11.5703125" style="305" customWidth="1"/>
    <col min="4356" max="4356" width="22.85546875" style="305" customWidth="1"/>
    <col min="4357" max="4357" width="14.7109375" style="305" customWidth="1"/>
    <col min="4358" max="4358" width="51.85546875" style="305" customWidth="1"/>
    <col min="4359" max="4359" width="9.7109375" style="305" bestFit="1" customWidth="1"/>
    <col min="4360" max="4608" width="9.140625" style="305"/>
    <col min="4609" max="4609" width="4.42578125" style="305" customWidth="1"/>
    <col min="4610" max="4610" width="60.140625" style="305" customWidth="1"/>
    <col min="4611" max="4611" width="11.5703125" style="305" customWidth="1"/>
    <col min="4612" max="4612" width="22.85546875" style="305" customWidth="1"/>
    <col min="4613" max="4613" width="14.7109375" style="305" customWidth="1"/>
    <col min="4614" max="4614" width="51.85546875" style="305" customWidth="1"/>
    <col min="4615" max="4615" width="9.7109375" style="305" bestFit="1" customWidth="1"/>
    <col min="4616" max="4864" width="9.140625" style="305"/>
    <col min="4865" max="4865" width="4.42578125" style="305" customWidth="1"/>
    <col min="4866" max="4866" width="60.140625" style="305" customWidth="1"/>
    <col min="4867" max="4867" width="11.5703125" style="305" customWidth="1"/>
    <col min="4868" max="4868" width="22.85546875" style="305" customWidth="1"/>
    <col min="4869" max="4869" width="14.7109375" style="305" customWidth="1"/>
    <col min="4870" max="4870" width="51.85546875" style="305" customWidth="1"/>
    <col min="4871" max="4871" width="9.7109375" style="305" bestFit="1" customWidth="1"/>
    <col min="4872" max="5120" width="9.140625" style="305"/>
    <col min="5121" max="5121" width="4.42578125" style="305" customWidth="1"/>
    <col min="5122" max="5122" width="60.140625" style="305" customWidth="1"/>
    <col min="5123" max="5123" width="11.5703125" style="305" customWidth="1"/>
    <col min="5124" max="5124" width="22.85546875" style="305" customWidth="1"/>
    <col min="5125" max="5125" width="14.7109375" style="305" customWidth="1"/>
    <col min="5126" max="5126" width="51.85546875" style="305" customWidth="1"/>
    <col min="5127" max="5127" width="9.7109375" style="305" bestFit="1" customWidth="1"/>
    <col min="5128" max="5376" width="9.140625" style="305"/>
    <col min="5377" max="5377" width="4.42578125" style="305" customWidth="1"/>
    <col min="5378" max="5378" width="60.140625" style="305" customWidth="1"/>
    <col min="5379" max="5379" width="11.5703125" style="305" customWidth="1"/>
    <col min="5380" max="5380" width="22.85546875" style="305" customWidth="1"/>
    <col min="5381" max="5381" width="14.7109375" style="305" customWidth="1"/>
    <col min="5382" max="5382" width="51.85546875" style="305" customWidth="1"/>
    <col min="5383" max="5383" width="9.7109375" style="305" bestFit="1" customWidth="1"/>
    <col min="5384" max="5632" width="9.140625" style="305"/>
    <col min="5633" max="5633" width="4.42578125" style="305" customWidth="1"/>
    <col min="5634" max="5634" width="60.140625" style="305" customWidth="1"/>
    <col min="5635" max="5635" width="11.5703125" style="305" customWidth="1"/>
    <col min="5636" max="5636" width="22.85546875" style="305" customWidth="1"/>
    <col min="5637" max="5637" width="14.7109375" style="305" customWidth="1"/>
    <col min="5638" max="5638" width="51.85546875" style="305" customWidth="1"/>
    <col min="5639" max="5639" width="9.7109375" style="305" bestFit="1" customWidth="1"/>
    <col min="5640" max="5888" width="9.140625" style="305"/>
    <col min="5889" max="5889" width="4.42578125" style="305" customWidth="1"/>
    <col min="5890" max="5890" width="60.140625" style="305" customWidth="1"/>
    <col min="5891" max="5891" width="11.5703125" style="305" customWidth="1"/>
    <col min="5892" max="5892" width="22.85546875" style="305" customWidth="1"/>
    <col min="5893" max="5893" width="14.7109375" style="305" customWidth="1"/>
    <col min="5894" max="5894" width="51.85546875" style="305" customWidth="1"/>
    <col min="5895" max="5895" width="9.7109375" style="305" bestFit="1" customWidth="1"/>
    <col min="5896" max="6144" width="9.140625" style="305"/>
    <col min="6145" max="6145" width="4.42578125" style="305" customWidth="1"/>
    <col min="6146" max="6146" width="60.140625" style="305" customWidth="1"/>
    <col min="6147" max="6147" width="11.5703125" style="305" customWidth="1"/>
    <col min="6148" max="6148" width="22.85546875" style="305" customWidth="1"/>
    <col min="6149" max="6149" width="14.7109375" style="305" customWidth="1"/>
    <col min="6150" max="6150" width="51.85546875" style="305" customWidth="1"/>
    <col min="6151" max="6151" width="9.7109375" style="305" bestFit="1" customWidth="1"/>
    <col min="6152" max="6400" width="9.140625" style="305"/>
    <col min="6401" max="6401" width="4.42578125" style="305" customWidth="1"/>
    <col min="6402" max="6402" width="60.140625" style="305" customWidth="1"/>
    <col min="6403" max="6403" width="11.5703125" style="305" customWidth="1"/>
    <col min="6404" max="6404" width="22.85546875" style="305" customWidth="1"/>
    <col min="6405" max="6405" width="14.7109375" style="305" customWidth="1"/>
    <col min="6406" max="6406" width="51.85546875" style="305" customWidth="1"/>
    <col min="6407" max="6407" width="9.7109375" style="305" bestFit="1" customWidth="1"/>
    <col min="6408" max="6656" width="9.140625" style="305"/>
    <col min="6657" max="6657" width="4.42578125" style="305" customWidth="1"/>
    <col min="6658" max="6658" width="60.140625" style="305" customWidth="1"/>
    <col min="6659" max="6659" width="11.5703125" style="305" customWidth="1"/>
    <col min="6660" max="6660" width="22.85546875" style="305" customWidth="1"/>
    <col min="6661" max="6661" width="14.7109375" style="305" customWidth="1"/>
    <col min="6662" max="6662" width="51.85546875" style="305" customWidth="1"/>
    <col min="6663" max="6663" width="9.7109375" style="305" bestFit="1" customWidth="1"/>
    <col min="6664" max="6912" width="9.140625" style="305"/>
    <col min="6913" max="6913" width="4.42578125" style="305" customWidth="1"/>
    <col min="6914" max="6914" width="60.140625" style="305" customWidth="1"/>
    <col min="6915" max="6915" width="11.5703125" style="305" customWidth="1"/>
    <col min="6916" max="6916" width="22.85546875" style="305" customWidth="1"/>
    <col min="6917" max="6917" width="14.7109375" style="305" customWidth="1"/>
    <col min="6918" max="6918" width="51.85546875" style="305" customWidth="1"/>
    <col min="6919" max="6919" width="9.7109375" style="305" bestFit="1" customWidth="1"/>
    <col min="6920" max="7168" width="9.140625" style="305"/>
    <col min="7169" max="7169" width="4.42578125" style="305" customWidth="1"/>
    <col min="7170" max="7170" width="60.140625" style="305" customWidth="1"/>
    <col min="7171" max="7171" width="11.5703125" style="305" customWidth="1"/>
    <col min="7172" max="7172" width="22.85546875" style="305" customWidth="1"/>
    <col min="7173" max="7173" width="14.7109375" style="305" customWidth="1"/>
    <col min="7174" max="7174" width="51.85546875" style="305" customWidth="1"/>
    <col min="7175" max="7175" width="9.7109375" style="305" bestFit="1" customWidth="1"/>
    <col min="7176" max="7424" width="9.140625" style="305"/>
    <col min="7425" max="7425" width="4.42578125" style="305" customWidth="1"/>
    <col min="7426" max="7426" width="60.140625" style="305" customWidth="1"/>
    <col min="7427" max="7427" width="11.5703125" style="305" customWidth="1"/>
    <col min="7428" max="7428" width="22.85546875" style="305" customWidth="1"/>
    <col min="7429" max="7429" width="14.7109375" style="305" customWidth="1"/>
    <col min="7430" max="7430" width="51.85546875" style="305" customWidth="1"/>
    <col min="7431" max="7431" width="9.7109375" style="305" bestFit="1" customWidth="1"/>
    <col min="7432" max="7680" width="9.140625" style="305"/>
    <col min="7681" max="7681" width="4.42578125" style="305" customWidth="1"/>
    <col min="7682" max="7682" width="60.140625" style="305" customWidth="1"/>
    <col min="7683" max="7683" width="11.5703125" style="305" customWidth="1"/>
    <col min="7684" max="7684" width="22.85546875" style="305" customWidth="1"/>
    <col min="7685" max="7685" width="14.7109375" style="305" customWidth="1"/>
    <col min="7686" max="7686" width="51.85546875" style="305" customWidth="1"/>
    <col min="7687" max="7687" width="9.7109375" style="305" bestFit="1" customWidth="1"/>
    <col min="7688" max="7936" width="9.140625" style="305"/>
    <col min="7937" max="7937" width="4.42578125" style="305" customWidth="1"/>
    <col min="7938" max="7938" width="60.140625" style="305" customWidth="1"/>
    <col min="7939" max="7939" width="11.5703125" style="305" customWidth="1"/>
    <col min="7940" max="7940" width="22.85546875" style="305" customWidth="1"/>
    <col min="7941" max="7941" width="14.7109375" style="305" customWidth="1"/>
    <col min="7942" max="7942" width="51.85546875" style="305" customWidth="1"/>
    <col min="7943" max="7943" width="9.7109375" style="305" bestFit="1" customWidth="1"/>
    <col min="7944" max="8192" width="9.140625" style="305"/>
    <col min="8193" max="8193" width="4.42578125" style="305" customWidth="1"/>
    <col min="8194" max="8194" width="60.140625" style="305" customWidth="1"/>
    <col min="8195" max="8195" width="11.5703125" style="305" customWidth="1"/>
    <col min="8196" max="8196" width="22.85546875" style="305" customWidth="1"/>
    <col min="8197" max="8197" width="14.7109375" style="305" customWidth="1"/>
    <col min="8198" max="8198" width="51.85546875" style="305" customWidth="1"/>
    <col min="8199" max="8199" width="9.7109375" style="305" bestFit="1" customWidth="1"/>
    <col min="8200" max="8448" width="9.140625" style="305"/>
    <col min="8449" max="8449" width="4.42578125" style="305" customWidth="1"/>
    <col min="8450" max="8450" width="60.140625" style="305" customWidth="1"/>
    <col min="8451" max="8451" width="11.5703125" style="305" customWidth="1"/>
    <col min="8452" max="8452" width="22.85546875" style="305" customWidth="1"/>
    <col min="8453" max="8453" width="14.7109375" style="305" customWidth="1"/>
    <col min="8454" max="8454" width="51.85546875" style="305" customWidth="1"/>
    <col min="8455" max="8455" width="9.7109375" style="305" bestFit="1" customWidth="1"/>
    <col min="8456" max="8704" width="9.140625" style="305"/>
    <col min="8705" max="8705" width="4.42578125" style="305" customWidth="1"/>
    <col min="8706" max="8706" width="60.140625" style="305" customWidth="1"/>
    <col min="8707" max="8707" width="11.5703125" style="305" customWidth="1"/>
    <col min="8708" max="8708" width="22.85546875" style="305" customWidth="1"/>
    <col min="8709" max="8709" width="14.7109375" style="305" customWidth="1"/>
    <col min="8710" max="8710" width="51.85546875" style="305" customWidth="1"/>
    <col min="8711" max="8711" width="9.7109375" style="305" bestFit="1" customWidth="1"/>
    <col min="8712" max="8960" width="9.140625" style="305"/>
    <col min="8961" max="8961" width="4.42578125" style="305" customWidth="1"/>
    <col min="8962" max="8962" width="60.140625" style="305" customWidth="1"/>
    <col min="8963" max="8963" width="11.5703125" style="305" customWidth="1"/>
    <col min="8964" max="8964" width="22.85546875" style="305" customWidth="1"/>
    <col min="8965" max="8965" width="14.7109375" style="305" customWidth="1"/>
    <col min="8966" max="8966" width="51.85546875" style="305" customWidth="1"/>
    <col min="8967" max="8967" width="9.7109375" style="305" bestFit="1" customWidth="1"/>
    <col min="8968" max="9216" width="9.140625" style="305"/>
    <col min="9217" max="9217" width="4.42578125" style="305" customWidth="1"/>
    <col min="9218" max="9218" width="60.140625" style="305" customWidth="1"/>
    <col min="9219" max="9219" width="11.5703125" style="305" customWidth="1"/>
    <col min="9220" max="9220" width="22.85546875" style="305" customWidth="1"/>
    <col min="9221" max="9221" width="14.7109375" style="305" customWidth="1"/>
    <col min="9222" max="9222" width="51.85546875" style="305" customWidth="1"/>
    <col min="9223" max="9223" width="9.7109375" style="305" bestFit="1" customWidth="1"/>
    <col min="9224" max="9472" width="9.140625" style="305"/>
    <col min="9473" max="9473" width="4.42578125" style="305" customWidth="1"/>
    <col min="9474" max="9474" width="60.140625" style="305" customWidth="1"/>
    <col min="9475" max="9475" width="11.5703125" style="305" customWidth="1"/>
    <col min="9476" max="9476" width="22.85546875" style="305" customWidth="1"/>
    <col min="9477" max="9477" width="14.7109375" style="305" customWidth="1"/>
    <col min="9478" max="9478" width="51.85546875" style="305" customWidth="1"/>
    <col min="9479" max="9479" width="9.7109375" style="305" bestFit="1" customWidth="1"/>
    <col min="9480" max="9728" width="9.140625" style="305"/>
    <col min="9729" max="9729" width="4.42578125" style="305" customWidth="1"/>
    <col min="9730" max="9730" width="60.140625" style="305" customWidth="1"/>
    <col min="9731" max="9731" width="11.5703125" style="305" customWidth="1"/>
    <col min="9732" max="9732" width="22.85546875" style="305" customWidth="1"/>
    <col min="9733" max="9733" width="14.7109375" style="305" customWidth="1"/>
    <col min="9734" max="9734" width="51.85546875" style="305" customWidth="1"/>
    <col min="9735" max="9735" width="9.7109375" style="305" bestFit="1" customWidth="1"/>
    <col min="9736" max="9984" width="9.140625" style="305"/>
    <col min="9985" max="9985" width="4.42578125" style="305" customWidth="1"/>
    <col min="9986" max="9986" width="60.140625" style="305" customWidth="1"/>
    <col min="9987" max="9987" width="11.5703125" style="305" customWidth="1"/>
    <col min="9988" max="9988" width="22.85546875" style="305" customWidth="1"/>
    <col min="9989" max="9989" width="14.7109375" style="305" customWidth="1"/>
    <col min="9990" max="9990" width="51.85546875" style="305" customWidth="1"/>
    <col min="9991" max="9991" width="9.7109375" style="305" bestFit="1" customWidth="1"/>
    <col min="9992" max="10240" width="9.140625" style="305"/>
    <col min="10241" max="10241" width="4.42578125" style="305" customWidth="1"/>
    <col min="10242" max="10242" width="60.140625" style="305" customWidth="1"/>
    <col min="10243" max="10243" width="11.5703125" style="305" customWidth="1"/>
    <col min="10244" max="10244" width="22.85546875" style="305" customWidth="1"/>
    <col min="10245" max="10245" width="14.7109375" style="305" customWidth="1"/>
    <col min="10246" max="10246" width="51.85546875" style="305" customWidth="1"/>
    <col min="10247" max="10247" width="9.7109375" style="305" bestFit="1" customWidth="1"/>
    <col min="10248" max="10496" width="9.140625" style="305"/>
    <col min="10497" max="10497" width="4.42578125" style="305" customWidth="1"/>
    <col min="10498" max="10498" width="60.140625" style="305" customWidth="1"/>
    <col min="10499" max="10499" width="11.5703125" style="305" customWidth="1"/>
    <col min="10500" max="10500" width="22.85546875" style="305" customWidth="1"/>
    <col min="10501" max="10501" width="14.7109375" style="305" customWidth="1"/>
    <col min="10502" max="10502" width="51.85546875" style="305" customWidth="1"/>
    <col min="10503" max="10503" width="9.7109375" style="305" bestFit="1" customWidth="1"/>
    <col min="10504" max="10752" width="9.140625" style="305"/>
    <col min="10753" max="10753" width="4.42578125" style="305" customWidth="1"/>
    <col min="10754" max="10754" width="60.140625" style="305" customWidth="1"/>
    <col min="10755" max="10755" width="11.5703125" style="305" customWidth="1"/>
    <col min="10756" max="10756" width="22.85546875" style="305" customWidth="1"/>
    <col min="10757" max="10757" width="14.7109375" style="305" customWidth="1"/>
    <col min="10758" max="10758" width="51.85546875" style="305" customWidth="1"/>
    <col min="10759" max="10759" width="9.7109375" style="305" bestFit="1" customWidth="1"/>
    <col min="10760" max="11008" width="9.140625" style="305"/>
    <col min="11009" max="11009" width="4.42578125" style="305" customWidth="1"/>
    <col min="11010" max="11010" width="60.140625" style="305" customWidth="1"/>
    <col min="11011" max="11011" width="11.5703125" style="305" customWidth="1"/>
    <col min="11012" max="11012" width="22.85546875" style="305" customWidth="1"/>
    <col min="11013" max="11013" width="14.7109375" style="305" customWidth="1"/>
    <col min="11014" max="11014" width="51.85546875" style="305" customWidth="1"/>
    <col min="11015" max="11015" width="9.7109375" style="305" bestFit="1" customWidth="1"/>
    <col min="11016" max="11264" width="9.140625" style="305"/>
    <col min="11265" max="11265" width="4.42578125" style="305" customWidth="1"/>
    <col min="11266" max="11266" width="60.140625" style="305" customWidth="1"/>
    <col min="11267" max="11267" width="11.5703125" style="305" customWidth="1"/>
    <col min="11268" max="11268" width="22.85546875" style="305" customWidth="1"/>
    <col min="11269" max="11269" width="14.7109375" style="305" customWidth="1"/>
    <col min="11270" max="11270" width="51.85546875" style="305" customWidth="1"/>
    <col min="11271" max="11271" width="9.7109375" style="305" bestFit="1" customWidth="1"/>
    <col min="11272" max="11520" width="9.140625" style="305"/>
    <col min="11521" max="11521" width="4.42578125" style="305" customWidth="1"/>
    <col min="11522" max="11522" width="60.140625" style="305" customWidth="1"/>
    <col min="11523" max="11523" width="11.5703125" style="305" customWidth="1"/>
    <col min="11524" max="11524" width="22.85546875" style="305" customWidth="1"/>
    <col min="11525" max="11525" width="14.7109375" style="305" customWidth="1"/>
    <col min="11526" max="11526" width="51.85546875" style="305" customWidth="1"/>
    <col min="11527" max="11527" width="9.7109375" style="305" bestFit="1" customWidth="1"/>
    <col min="11528" max="11776" width="9.140625" style="305"/>
    <col min="11777" max="11777" width="4.42578125" style="305" customWidth="1"/>
    <col min="11778" max="11778" width="60.140625" style="305" customWidth="1"/>
    <col min="11779" max="11779" width="11.5703125" style="305" customWidth="1"/>
    <col min="11780" max="11780" width="22.85546875" style="305" customWidth="1"/>
    <col min="11781" max="11781" width="14.7109375" style="305" customWidth="1"/>
    <col min="11782" max="11782" width="51.85546875" style="305" customWidth="1"/>
    <col min="11783" max="11783" width="9.7109375" style="305" bestFit="1" customWidth="1"/>
    <col min="11784" max="12032" width="9.140625" style="305"/>
    <col min="12033" max="12033" width="4.42578125" style="305" customWidth="1"/>
    <col min="12034" max="12034" width="60.140625" style="305" customWidth="1"/>
    <col min="12035" max="12035" width="11.5703125" style="305" customWidth="1"/>
    <col min="12036" max="12036" width="22.85546875" style="305" customWidth="1"/>
    <col min="12037" max="12037" width="14.7109375" style="305" customWidth="1"/>
    <col min="12038" max="12038" width="51.85546875" style="305" customWidth="1"/>
    <col min="12039" max="12039" width="9.7109375" style="305" bestFit="1" customWidth="1"/>
    <col min="12040" max="12288" width="9.140625" style="305"/>
    <col min="12289" max="12289" width="4.42578125" style="305" customWidth="1"/>
    <col min="12290" max="12290" width="60.140625" style="305" customWidth="1"/>
    <col min="12291" max="12291" width="11.5703125" style="305" customWidth="1"/>
    <col min="12292" max="12292" width="22.85546875" style="305" customWidth="1"/>
    <col min="12293" max="12293" width="14.7109375" style="305" customWidth="1"/>
    <col min="12294" max="12294" width="51.85546875" style="305" customWidth="1"/>
    <col min="12295" max="12295" width="9.7109375" style="305" bestFit="1" customWidth="1"/>
    <col min="12296" max="12544" width="9.140625" style="305"/>
    <col min="12545" max="12545" width="4.42578125" style="305" customWidth="1"/>
    <col min="12546" max="12546" width="60.140625" style="305" customWidth="1"/>
    <col min="12547" max="12547" width="11.5703125" style="305" customWidth="1"/>
    <col min="12548" max="12548" width="22.85546875" style="305" customWidth="1"/>
    <col min="12549" max="12549" width="14.7109375" style="305" customWidth="1"/>
    <col min="12550" max="12550" width="51.85546875" style="305" customWidth="1"/>
    <col min="12551" max="12551" width="9.7109375" style="305" bestFit="1" customWidth="1"/>
    <col min="12552" max="12800" width="9.140625" style="305"/>
    <col min="12801" max="12801" width="4.42578125" style="305" customWidth="1"/>
    <col min="12802" max="12802" width="60.140625" style="305" customWidth="1"/>
    <col min="12803" max="12803" width="11.5703125" style="305" customWidth="1"/>
    <col min="12804" max="12804" width="22.85546875" style="305" customWidth="1"/>
    <col min="12805" max="12805" width="14.7109375" style="305" customWidth="1"/>
    <col min="12806" max="12806" width="51.85546875" style="305" customWidth="1"/>
    <col min="12807" max="12807" width="9.7109375" style="305" bestFit="1" customWidth="1"/>
    <col min="12808" max="13056" width="9.140625" style="305"/>
    <col min="13057" max="13057" width="4.42578125" style="305" customWidth="1"/>
    <col min="13058" max="13058" width="60.140625" style="305" customWidth="1"/>
    <col min="13059" max="13059" width="11.5703125" style="305" customWidth="1"/>
    <col min="13060" max="13060" width="22.85546875" style="305" customWidth="1"/>
    <col min="13061" max="13061" width="14.7109375" style="305" customWidth="1"/>
    <col min="13062" max="13062" width="51.85546875" style="305" customWidth="1"/>
    <col min="13063" max="13063" width="9.7109375" style="305" bestFit="1" customWidth="1"/>
    <col min="13064" max="13312" width="9.140625" style="305"/>
    <col min="13313" max="13313" width="4.42578125" style="305" customWidth="1"/>
    <col min="13314" max="13314" width="60.140625" style="305" customWidth="1"/>
    <col min="13315" max="13315" width="11.5703125" style="305" customWidth="1"/>
    <col min="13316" max="13316" width="22.85546875" style="305" customWidth="1"/>
    <col min="13317" max="13317" width="14.7109375" style="305" customWidth="1"/>
    <col min="13318" max="13318" width="51.85546875" style="305" customWidth="1"/>
    <col min="13319" max="13319" width="9.7109375" style="305" bestFit="1" customWidth="1"/>
    <col min="13320" max="13568" width="9.140625" style="305"/>
    <col min="13569" max="13569" width="4.42578125" style="305" customWidth="1"/>
    <col min="13570" max="13570" width="60.140625" style="305" customWidth="1"/>
    <col min="13571" max="13571" width="11.5703125" style="305" customWidth="1"/>
    <col min="13572" max="13572" width="22.85546875" style="305" customWidth="1"/>
    <col min="13573" max="13573" width="14.7109375" style="305" customWidth="1"/>
    <col min="13574" max="13574" width="51.85546875" style="305" customWidth="1"/>
    <col min="13575" max="13575" width="9.7109375" style="305" bestFit="1" customWidth="1"/>
    <col min="13576" max="13824" width="9.140625" style="305"/>
    <col min="13825" max="13825" width="4.42578125" style="305" customWidth="1"/>
    <col min="13826" max="13826" width="60.140625" style="305" customWidth="1"/>
    <col min="13827" max="13827" width="11.5703125" style="305" customWidth="1"/>
    <col min="13828" max="13828" width="22.85546875" style="305" customWidth="1"/>
    <col min="13829" max="13829" width="14.7109375" style="305" customWidth="1"/>
    <col min="13830" max="13830" width="51.85546875" style="305" customWidth="1"/>
    <col min="13831" max="13831" width="9.7109375" style="305" bestFit="1" customWidth="1"/>
    <col min="13832" max="14080" width="9.140625" style="305"/>
    <col min="14081" max="14081" width="4.42578125" style="305" customWidth="1"/>
    <col min="14082" max="14082" width="60.140625" style="305" customWidth="1"/>
    <col min="14083" max="14083" width="11.5703125" style="305" customWidth="1"/>
    <col min="14084" max="14084" width="22.85546875" style="305" customWidth="1"/>
    <col min="14085" max="14085" width="14.7109375" style="305" customWidth="1"/>
    <col min="14086" max="14086" width="51.85546875" style="305" customWidth="1"/>
    <col min="14087" max="14087" width="9.7109375" style="305" bestFit="1" customWidth="1"/>
    <col min="14088" max="14336" width="9.140625" style="305"/>
    <col min="14337" max="14337" width="4.42578125" style="305" customWidth="1"/>
    <col min="14338" max="14338" width="60.140625" style="305" customWidth="1"/>
    <col min="14339" max="14339" width="11.5703125" style="305" customWidth="1"/>
    <col min="14340" max="14340" width="22.85546875" style="305" customWidth="1"/>
    <col min="14341" max="14341" width="14.7109375" style="305" customWidth="1"/>
    <col min="14342" max="14342" width="51.85546875" style="305" customWidth="1"/>
    <col min="14343" max="14343" width="9.7109375" style="305" bestFit="1" customWidth="1"/>
    <col min="14344" max="14592" width="9.140625" style="305"/>
    <col min="14593" max="14593" width="4.42578125" style="305" customWidth="1"/>
    <col min="14594" max="14594" width="60.140625" style="305" customWidth="1"/>
    <col min="14595" max="14595" width="11.5703125" style="305" customWidth="1"/>
    <col min="14596" max="14596" width="22.85546875" style="305" customWidth="1"/>
    <col min="14597" max="14597" width="14.7109375" style="305" customWidth="1"/>
    <col min="14598" max="14598" width="51.85546875" style="305" customWidth="1"/>
    <col min="14599" max="14599" width="9.7109375" style="305" bestFit="1" customWidth="1"/>
    <col min="14600" max="14848" width="9.140625" style="305"/>
    <col min="14849" max="14849" width="4.42578125" style="305" customWidth="1"/>
    <col min="14850" max="14850" width="60.140625" style="305" customWidth="1"/>
    <col min="14851" max="14851" width="11.5703125" style="305" customWidth="1"/>
    <col min="14852" max="14852" width="22.85546875" style="305" customWidth="1"/>
    <col min="14853" max="14853" width="14.7109375" style="305" customWidth="1"/>
    <col min="14854" max="14854" width="51.85546875" style="305" customWidth="1"/>
    <col min="14855" max="14855" width="9.7109375" style="305" bestFit="1" customWidth="1"/>
    <col min="14856" max="15104" width="9.140625" style="305"/>
    <col min="15105" max="15105" width="4.42578125" style="305" customWidth="1"/>
    <col min="15106" max="15106" width="60.140625" style="305" customWidth="1"/>
    <col min="15107" max="15107" width="11.5703125" style="305" customWidth="1"/>
    <col min="15108" max="15108" width="22.85546875" style="305" customWidth="1"/>
    <col min="15109" max="15109" width="14.7109375" style="305" customWidth="1"/>
    <col min="15110" max="15110" width="51.85546875" style="305" customWidth="1"/>
    <col min="15111" max="15111" width="9.7109375" style="305" bestFit="1" customWidth="1"/>
    <col min="15112" max="15360" width="9.140625" style="305"/>
    <col min="15361" max="15361" width="4.42578125" style="305" customWidth="1"/>
    <col min="15362" max="15362" width="60.140625" style="305" customWidth="1"/>
    <col min="15363" max="15363" width="11.5703125" style="305" customWidth="1"/>
    <col min="15364" max="15364" width="22.85546875" style="305" customWidth="1"/>
    <col min="15365" max="15365" width="14.7109375" style="305" customWidth="1"/>
    <col min="15366" max="15366" width="51.85546875" style="305" customWidth="1"/>
    <col min="15367" max="15367" width="9.7109375" style="305" bestFit="1" customWidth="1"/>
    <col min="15368" max="15616" width="9.140625" style="305"/>
    <col min="15617" max="15617" width="4.42578125" style="305" customWidth="1"/>
    <col min="15618" max="15618" width="60.140625" style="305" customWidth="1"/>
    <col min="15619" max="15619" width="11.5703125" style="305" customWidth="1"/>
    <col min="15620" max="15620" width="22.85546875" style="305" customWidth="1"/>
    <col min="15621" max="15621" width="14.7109375" style="305" customWidth="1"/>
    <col min="15622" max="15622" width="51.85546875" style="305" customWidth="1"/>
    <col min="15623" max="15623" width="9.7109375" style="305" bestFit="1" customWidth="1"/>
    <col min="15624" max="15872" width="9.140625" style="305"/>
    <col min="15873" max="15873" width="4.42578125" style="305" customWidth="1"/>
    <col min="15874" max="15874" width="60.140625" style="305" customWidth="1"/>
    <col min="15875" max="15875" width="11.5703125" style="305" customWidth="1"/>
    <col min="15876" max="15876" width="22.85546875" style="305" customWidth="1"/>
    <col min="15877" max="15877" width="14.7109375" style="305" customWidth="1"/>
    <col min="15878" max="15878" width="51.85546875" style="305" customWidth="1"/>
    <col min="15879" max="15879" width="9.7109375" style="305" bestFit="1" customWidth="1"/>
    <col min="15880" max="16128" width="9.140625" style="305"/>
    <col min="16129" max="16129" width="4.42578125" style="305" customWidth="1"/>
    <col min="16130" max="16130" width="60.140625" style="305" customWidth="1"/>
    <col min="16131" max="16131" width="11.5703125" style="305" customWidth="1"/>
    <col min="16132" max="16132" width="22.85546875" style="305" customWidth="1"/>
    <col min="16133" max="16133" width="14.7109375" style="305" customWidth="1"/>
    <col min="16134" max="16134" width="51.85546875" style="305" customWidth="1"/>
    <col min="16135" max="16135" width="9.7109375" style="305" bestFit="1" customWidth="1"/>
    <col min="16136" max="16384" width="9.140625" style="305"/>
  </cols>
  <sheetData>
    <row r="1" spans="1:4" x14ac:dyDescent="0.2">
      <c r="A1" s="622" t="s">
        <v>0</v>
      </c>
      <c r="B1" s="622"/>
      <c r="C1" s="622"/>
      <c r="D1" s="622"/>
    </row>
    <row r="4" spans="1:4" x14ac:dyDescent="0.2">
      <c r="A4" s="330"/>
    </row>
    <row r="5" spans="1:4" x14ac:dyDescent="0.2">
      <c r="A5" s="330"/>
    </row>
    <row r="6" spans="1:4" x14ac:dyDescent="0.2">
      <c r="C6" s="17" t="s">
        <v>118</v>
      </c>
      <c r="D6" s="16" t="s">
        <v>117</v>
      </c>
    </row>
    <row r="7" spans="1:4" x14ac:dyDescent="0.2">
      <c r="A7" s="623" t="s">
        <v>128</v>
      </c>
      <c r="B7" s="623"/>
      <c r="C7" s="623"/>
      <c r="D7" s="623"/>
    </row>
    <row r="8" spans="1:4" x14ac:dyDescent="0.2">
      <c r="A8" s="331" t="s">
        <v>1</v>
      </c>
      <c r="B8" s="332" t="s">
        <v>5</v>
      </c>
      <c r="C8" s="624">
        <v>41015</v>
      </c>
      <c r="D8" s="621"/>
    </row>
    <row r="9" spans="1:4" x14ac:dyDescent="0.2">
      <c r="A9" s="331" t="s">
        <v>2</v>
      </c>
      <c r="B9" s="332" t="s">
        <v>114</v>
      </c>
      <c r="C9" s="625" t="s">
        <v>523</v>
      </c>
      <c r="D9" s="625"/>
    </row>
    <row r="10" spans="1:4" x14ac:dyDescent="0.2">
      <c r="A10" s="331" t="s">
        <v>4</v>
      </c>
      <c r="B10" s="332" t="s">
        <v>6</v>
      </c>
      <c r="C10" s="624">
        <v>41641</v>
      </c>
      <c r="D10" s="621"/>
    </row>
    <row r="11" spans="1:4" x14ac:dyDescent="0.2">
      <c r="A11" s="331" t="s">
        <v>3</v>
      </c>
      <c r="B11" s="332" t="s">
        <v>7</v>
      </c>
      <c r="C11" s="620" t="s">
        <v>141</v>
      </c>
      <c r="D11" s="621"/>
    </row>
    <row r="13" spans="1:4" x14ac:dyDescent="0.2">
      <c r="A13" s="623" t="s">
        <v>8</v>
      </c>
      <c r="B13" s="623"/>
      <c r="C13" s="623"/>
      <c r="D13" s="623"/>
    </row>
    <row r="14" spans="1:4" x14ac:dyDescent="0.2">
      <c r="A14" s="626" t="s">
        <v>9</v>
      </c>
      <c r="B14" s="626"/>
      <c r="C14" s="620" t="s">
        <v>113</v>
      </c>
      <c r="D14" s="621"/>
    </row>
    <row r="15" spans="1:4" x14ac:dyDescent="0.2">
      <c r="A15" s="626" t="s">
        <v>129</v>
      </c>
      <c r="B15" s="626"/>
      <c r="C15" s="620" t="s">
        <v>142</v>
      </c>
      <c r="D15" s="621"/>
    </row>
    <row r="16" spans="1:4" x14ac:dyDescent="0.2">
      <c r="A16" s="626" t="s">
        <v>10</v>
      </c>
      <c r="B16" s="626"/>
      <c r="C16" s="621">
        <v>1</v>
      </c>
      <c r="D16" s="621"/>
    </row>
    <row r="17" spans="1:5" x14ac:dyDescent="0.2">
      <c r="A17" s="627" t="s">
        <v>253</v>
      </c>
      <c r="B17" s="628"/>
      <c r="C17" s="621" t="s">
        <v>254</v>
      </c>
      <c r="D17" s="621"/>
    </row>
    <row r="18" spans="1:5" x14ac:dyDescent="0.2">
      <c r="A18" s="334"/>
    </row>
    <row r="19" spans="1:5" x14ac:dyDescent="0.2">
      <c r="A19" s="622" t="s">
        <v>130</v>
      </c>
      <c r="B19" s="622"/>
      <c r="C19" s="622"/>
      <c r="D19" s="622"/>
    </row>
    <row r="20" spans="1:5" x14ac:dyDescent="0.2">
      <c r="A20" s="629" t="s">
        <v>11</v>
      </c>
      <c r="B20" s="629"/>
      <c r="C20" s="629"/>
      <c r="D20" s="629"/>
    </row>
    <row r="21" spans="1:5" x14ac:dyDescent="0.2">
      <c r="A21" s="630" t="s">
        <v>12</v>
      </c>
      <c r="B21" s="631"/>
      <c r="C21" s="631"/>
      <c r="D21" s="632"/>
    </row>
    <row r="22" spans="1:5" x14ac:dyDescent="0.2">
      <c r="A22" s="331">
        <v>1</v>
      </c>
      <c r="B22" s="332" t="s">
        <v>131</v>
      </c>
      <c r="C22" s="620" t="s">
        <v>145</v>
      </c>
      <c r="D22" s="621"/>
    </row>
    <row r="23" spans="1:5" x14ac:dyDescent="0.2">
      <c r="A23" s="331">
        <v>2</v>
      </c>
      <c r="B23" s="332" t="s">
        <v>14</v>
      </c>
      <c r="C23" s="634">
        <f>'REPACTUAÇÃO 2014'!F6</f>
        <v>950</v>
      </c>
      <c r="D23" s="634"/>
      <c r="E23" s="303">
        <v>714</v>
      </c>
    </row>
    <row r="24" spans="1:5" x14ac:dyDescent="0.2">
      <c r="A24" s="331">
        <v>3</v>
      </c>
      <c r="B24" s="332" t="s">
        <v>15</v>
      </c>
      <c r="C24" s="620" t="s">
        <v>146</v>
      </c>
      <c r="D24" s="621"/>
    </row>
    <row r="25" spans="1:5" x14ac:dyDescent="0.2">
      <c r="A25" s="331">
        <v>4</v>
      </c>
      <c r="B25" s="332" t="s">
        <v>16</v>
      </c>
      <c r="C25" s="635">
        <v>41671</v>
      </c>
      <c r="D25" s="636"/>
    </row>
    <row r="26" spans="1:5" x14ac:dyDescent="0.2">
      <c r="A26" s="335"/>
      <c r="B26" s="336"/>
      <c r="C26" s="637"/>
      <c r="D26" s="637"/>
    </row>
    <row r="27" spans="1:5" x14ac:dyDescent="0.2">
      <c r="A27" s="629" t="s">
        <v>96</v>
      </c>
      <c r="B27" s="629"/>
      <c r="C27" s="629"/>
      <c r="D27" s="629"/>
    </row>
    <row r="28" spans="1:5" x14ac:dyDescent="0.2">
      <c r="A28" s="337">
        <v>1</v>
      </c>
      <c r="B28" s="338" t="s">
        <v>17</v>
      </c>
      <c r="C28" s="9" t="s">
        <v>121</v>
      </c>
      <c r="D28" s="12" t="s">
        <v>98</v>
      </c>
    </row>
    <row r="29" spans="1:5" x14ac:dyDescent="0.2">
      <c r="A29" s="331" t="s">
        <v>1</v>
      </c>
      <c r="B29" s="332" t="s">
        <v>22</v>
      </c>
      <c r="C29" s="296">
        <v>1</v>
      </c>
      <c r="D29" s="297">
        <f>C23</f>
        <v>950</v>
      </c>
      <c r="E29" s="203">
        <v>714</v>
      </c>
    </row>
    <row r="30" spans="1:5" x14ac:dyDescent="0.2">
      <c r="A30" s="331" t="s">
        <v>2</v>
      </c>
      <c r="B30" s="332" t="s">
        <v>438</v>
      </c>
      <c r="C30" s="535"/>
      <c r="D30" s="438"/>
      <c r="E30" s="303">
        <v>62</v>
      </c>
    </row>
    <row r="31" spans="1:5" x14ac:dyDescent="0.2">
      <c r="A31" s="331" t="s">
        <v>4</v>
      </c>
      <c r="B31" s="332" t="s">
        <v>24</v>
      </c>
      <c r="C31" s="535"/>
      <c r="D31" s="438"/>
      <c r="E31" s="196"/>
    </row>
    <row r="32" spans="1:5" x14ac:dyDescent="0.2">
      <c r="A32" s="331" t="s">
        <v>3</v>
      </c>
      <c r="B32" s="332" t="s">
        <v>25</v>
      </c>
      <c r="C32" s="20"/>
      <c r="D32" s="13"/>
      <c r="E32" s="153"/>
    </row>
    <row r="33" spans="1:6" x14ac:dyDescent="0.2">
      <c r="A33" s="331" t="s">
        <v>18</v>
      </c>
      <c r="B33" s="332" t="s">
        <v>26</v>
      </c>
      <c r="C33" s="20"/>
      <c r="D33" s="13"/>
      <c r="E33" s="153"/>
    </row>
    <row r="34" spans="1:6" x14ac:dyDescent="0.2">
      <c r="A34" s="331" t="s">
        <v>19</v>
      </c>
      <c r="B34" s="332" t="s">
        <v>27</v>
      </c>
      <c r="C34" s="18"/>
      <c r="D34" s="13"/>
      <c r="E34" s="196"/>
    </row>
    <row r="35" spans="1:6" x14ac:dyDescent="0.2">
      <c r="A35" s="331" t="s">
        <v>20</v>
      </c>
      <c r="B35" s="332" t="s">
        <v>28</v>
      </c>
      <c r="C35" s="20"/>
      <c r="D35" s="13"/>
      <c r="E35" s="153"/>
    </row>
    <row r="36" spans="1:6" x14ac:dyDescent="0.2">
      <c r="A36" s="331" t="s">
        <v>21</v>
      </c>
      <c r="B36" s="332" t="s">
        <v>119</v>
      </c>
      <c r="C36" s="18"/>
      <c r="D36" s="13"/>
    </row>
    <row r="37" spans="1:6" x14ac:dyDescent="0.2">
      <c r="A37" s="331" t="s">
        <v>116</v>
      </c>
      <c r="B37" s="332" t="s">
        <v>122</v>
      </c>
      <c r="C37" s="18"/>
      <c r="D37" s="13">
        <f>ROUND(SUM(D32:D35)/23*7,2)</f>
        <v>0</v>
      </c>
    </row>
    <row r="38" spans="1:6" x14ac:dyDescent="0.2">
      <c r="A38" s="299" t="s">
        <v>487</v>
      </c>
      <c r="B38" s="300" t="s">
        <v>488</v>
      </c>
      <c r="C38" s="301"/>
      <c r="D38" s="302">
        <f>(D29+D30)*3.6316%</f>
        <v>34.5</v>
      </c>
      <c r="E38" s="303" t="s">
        <v>489</v>
      </c>
      <c r="F38" s="304"/>
    </row>
    <row r="39" spans="1:6" x14ac:dyDescent="0.2">
      <c r="A39" s="638" t="s">
        <v>30</v>
      </c>
      <c r="B39" s="639"/>
      <c r="C39" s="18"/>
      <c r="D39" s="22">
        <f>ROUND(SUM(D29:D38),2)</f>
        <v>984.5</v>
      </c>
    </row>
    <row r="41" spans="1:6" x14ac:dyDescent="0.2">
      <c r="A41" s="640" t="s">
        <v>99</v>
      </c>
      <c r="B41" s="641"/>
      <c r="C41" s="641"/>
      <c r="D41" s="642"/>
    </row>
    <row r="42" spans="1:6" x14ac:dyDescent="0.2">
      <c r="A42" s="337">
        <v>2</v>
      </c>
      <c r="B42" s="339" t="s">
        <v>31</v>
      </c>
      <c r="C42" s="9" t="s">
        <v>120</v>
      </c>
      <c r="D42" s="12" t="s">
        <v>98</v>
      </c>
    </row>
    <row r="43" spans="1:6" ht="13.5" customHeight="1" x14ac:dyDescent="0.2">
      <c r="A43" s="331" t="s">
        <v>1</v>
      </c>
      <c r="B43" s="340" t="s">
        <v>133</v>
      </c>
      <c r="C43" s="13">
        <v>2.2000000000000002</v>
      </c>
      <c r="D43" s="13">
        <f>ROUND((C43*44)-(D29*6%),2)</f>
        <v>39.799999999999997</v>
      </c>
      <c r="E43" s="197"/>
    </row>
    <row r="44" spans="1:6" ht="13.5" customHeight="1" x14ac:dyDescent="0.2">
      <c r="A44" s="331" t="s">
        <v>2</v>
      </c>
      <c r="B44" s="341" t="s">
        <v>132</v>
      </c>
      <c r="C44" s="13">
        <f>'REPACTUAÇÃO 2014'!F32</f>
        <v>280</v>
      </c>
      <c r="D44" s="297">
        <f>C44-(C44*20%)</f>
        <v>224</v>
      </c>
      <c r="E44" s="342">
        <v>199.5</v>
      </c>
    </row>
    <row r="45" spans="1:6" ht="13.5" customHeight="1" x14ac:dyDescent="0.2">
      <c r="A45" s="331" t="s">
        <v>4</v>
      </c>
      <c r="B45" s="341" t="s">
        <v>374</v>
      </c>
      <c r="C45" s="13"/>
      <c r="D45" s="439">
        <f>'REPACTUAÇÃO 2014'!F19</f>
        <v>45</v>
      </c>
      <c r="E45" s="342">
        <v>31.8</v>
      </c>
    </row>
    <row r="46" spans="1:6" ht="13.5" customHeight="1" x14ac:dyDescent="0.2">
      <c r="A46" s="331" t="s">
        <v>3</v>
      </c>
      <c r="B46" s="341" t="s">
        <v>32</v>
      </c>
      <c r="C46" s="13">
        <v>0</v>
      </c>
      <c r="D46" s="13">
        <f>ROUND(C46*$C$29,2)</f>
        <v>0</v>
      </c>
    </row>
    <row r="47" spans="1:6" ht="13.5" customHeight="1" x14ac:dyDescent="0.2">
      <c r="A47" s="331" t="s">
        <v>18</v>
      </c>
      <c r="B47" s="341" t="s">
        <v>375</v>
      </c>
      <c r="C47" s="13"/>
      <c r="D47" s="297">
        <f>'REPACTUAÇÃO 2014'!F23</f>
        <v>14.5</v>
      </c>
      <c r="E47" s="303">
        <v>10.85</v>
      </c>
    </row>
    <row r="48" spans="1:6" ht="13.5" customHeight="1" x14ac:dyDescent="0.2">
      <c r="A48" s="331" t="s">
        <v>19</v>
      </c>
      <c r="B48" s="341" t="s">
        <v>33</v>
      </c>
      <c r="C48" s="13"/>
      <c r="D48" s="297">
        <f>'REPACTUAÇÃO 2014'!F27</f>
        <v>14.5</v>
      </c>
      <c r="E48" s="303">
        <v>8.75</v>
      </c>
    </row>
    <row r="49" spans="1:5" ht="13.5" customHeight="1" x14ac:dyDescent="0.2">
      <c r="A49" s="638" t="s">
        <v>34</v>
      </c>
      <c r="B49" s="639"/>
      <c r="C49" s="10"/>
      <c r="D49" s="22">
        <f>ROUND(SUM(D43:D48),2)</f>
        <v>337.8</v>
      </c>
    </row>
    <row r="50" spans="1:5" ht="13.5" customHeight="1" x14ac:dyDescent="0.2">
      <c r="A50" s="343"/>
    </row>
    <row r="51" spans="1:5" ht="13.5" customHeight="1" x14ac:dyDescent="0.2">
      <c r="A51" s="640" t="s">
        <v>100</v>
      </c>
      <c r="B51" s="641"/>
      <c r="C51" s="641"/>
      <c r="D51" s="642"/>
    </row>
    <row r="52" spans="1:5" ht="13.5" customHeight="1" x14ac:dyDescent="0.2">
      <c r="A52" s="337">
        <v>3</v>
      </c>
      <c r="B52" s="339" t="s">
        <v>35</v>
      </c>
      <c r="C52" s="9" t="s">
        <v>97</v>
      </c>
      <c r="D52" s="12" t="s">
        <v>98</v>
      </c>
    </row>
    <row r="53" spans="1:5" x14ac:dyDescent="0.2">
      <c r="A53" s="331" t="s">
        <v>1</v>
      </c>
      <c r="B53" s="332" t="s">
        <v>36</v>
      </c>
      <c r="C53" s="23">
        <v>31.1</v>
      </c>
      <c r="D53" s="13">
        <f>ROUND(C53*$C$29,2)</f>
        <v>31.1</v>
      </c>
    </row>
    <row r="54" spans="1:5" x14ac:dyDescent="0.2">
      <c r="A54" s="331" t="s">
        <v>2</v>
      </c>
      <c r="B54" s="300" t="s">
        <v>37</v>
      </c>
      <c r="C54" s="312"/>
      <c r="D54" s="297">
        <f>'REPACTUAÇÃO 2014'!F30</f>
        <v>338.34</v>
      </c>
      <c r="E54" s="342">
        <v>245.59</v>
      </c>
    </row>
    <row r="55" spans="1:5" x14ac:dyDescent="0.2">
      <c r="A55" s="331" t="s">
        <v>4</v>
      </c>
      <c r="B55" s="332" t="s">
        <v>38</v>
      </c>
      <c r="C55" s="23">
        <v>37.479999999999997</v>
      </c>
      <c r="D55" s="13">
        <f>ROUND(C55*$C$29,2)</f>
        <v>37.479999999999997</v>
      </c>
    </row>
    <row r="56" spans="1:5" x14ac:dyDescent="0.2">
      <c r="A56" s="331" t="s">
        <v>3</v>
      </c>
      <c r="B56" s="300" t="s">
        <v>251</v>
      </c>
      <c r="C56" s="13">
        <v>2.8</v>
      </c>
      <c r="D56" s="13">
        <f>C56</f>
        <v>2.8</v>
      </c>
      <c r="E56" s="344"/>
    </row>
    <row r="57" spans="1:5" x14ac:dyDescent="0.2">
      <c r="A57" s="638" t="s">
        <v>39</v>
      </c>
      <c r="B57" s="639"/>
      <c r="C57" s="10"/>
      <c r="D57" s="22">
        <f>ROUND(SUM(D53:D56),2)</f>
        <v>409.72</v>
      </c>
      <c r="E57" s="344"/>
    </row>
    <row r="59" spans="1:5" x14ac:dyDescent="0.2">
      <c r="A59" s="640" t="s">
        <v>101</v>
      </c>
      <c r="B59" s="641"/>
      <c r="C59" s="641"/>
      <c r="D59" s="642"/>
    </row>
    <row r="60" spans="1:5" x14ac:dyDescent="0.2">
      <c r="A60" s="633" t="s">
        <v>102</v>
      </c>
      <c r="B60" s="633"/>
      <c r="C60" s="9" t="s">
        <v>97</v>
      </c>
      <c r="D60" s="12" t="s">
        <v>98</v>
      </c>
    </row>
    <row r="61" spans="1:5" x14ac:dyDescent="0.2">
      <c r="A61" s="299" t="s">
        <v>1</v>
      </c>
      <c r="B61" s="300" t="s">
        <v>40</v>
      </c>
      <c r="C61" s="10">
        <v>0.2</v>
      </c>
      <c r="D61" s="13">
        <f>ROUND($D$39*C61,2)</f>
        <v>196.9</v>
      </c>
    </row>
    <row r="62" spans="1:5" x14ac:dyDescent="0.2">
      <c r="A62" s="299" t="s">
        <v>2</v>
      </c>
      <c r="B62" s="300" t="s">
        <v>41</v>
      </c>
      <c r="C62" s="10">
        <v>1.4999999999999999E-2</v>
      </c>
      <c r="D62" s="13">
        <f>ROUND($D$39*C62,2)</f>
        <v>14.77</v>
      </c>
    </row>
    <row r="63" spans="1:5" x14ac:dyDescent="0.2">
      <c r="A63" s="299" t="s">
        <v>4</v>
      </c>
      <c r="B63" s="300" t="s">
        <v>123</v>
      </c>
      <c r="C63" s="10">
        <v>0.01</v>
      </c>
      <c r="D63" s="13">
        <f t="shared" ref="D63:D68" si="0">ROUND($D$39*C63,2)</f>
        <v>9.85</v>
      </c>
    </row>
    <row r="64" spans="1:5" x14ac:dyDescent="0.2">
      <c r="A64" s="299" t="s">
        <v>3</v>
      </c>
      <c r="B64" s="300" t="s">
        <v>42</v>
      </c>
      <c r="C64" s="10">
        <v>2E-3</v>
      </c>
      <c r="D64" s="13">
        <f t="shared" si="0"/>
        <v>1.97</v>
      </c>
    </row>
    <row r="65" spans="1:6" x14ac:dyDescent="0.2">
      <c r="A65" s="299" t="s">
        <v>18</v>
      </c>
      <c r="B65" s="300" t="s">
        <v>43</v>
      </c>
      <c r="C65" s="10">
        <v>2.5000000000000001E-2</v>
      </c>
      <c r="D65" s="13">
        <f t="shared" si="0"/>
        <v>24.61</v>
      </c>
    </row>
    <row r="66" spans="1:6" x14ac:dyDescent="0.2">
      <c r="A66" s="299" t="s">
        <v>19</v>
      </c>
      <c r="B66" s="300" t="s">
        <v>44</v>
      </c>
      <c r="C66" s="10">
        <v>0.08</v>
      </c>
      <c r="D66" s="13">
        <f t="shared" si="0"/>
        <v>78.760000000000005</v>
      </c>
    </row>
    <row r="67" spans="1:6" x14ac:dyDescent="0.2">
      <c r="A67" s="299" t="s">
        <v>20</v>
      </c>
      <c r="B67" s="300" t="s">
        <v>124</v>
      </c>
      <c r="C67" s="10">
        <f>2%*F71</f>
        <v>0.03</v>
      </c>
      <c r="D67" s="13">
        <f t="shared" si="0"/>
        <v>29.54</v>
      </c>
    </row>
    <row r="68" spans="1:6" x14ac:dyDescent="0.2">
      <c r="A68" s="299" t="s">
        <v>21</v>
      </c>
      <c r="B68" s="300" t="s">
        <v>45</v>
      </c>
      <c r="C68" s="10">
        <v>6.0000000000000001E-3</v>
      </c>
      <c r="D68" s="13">
        <f t="shared" si="0"/>
        <v>5.91</v>
      </c>
    </row>
    <row r="69" spans="1:6" x14ac:dyDescent="0.2">
      <c r="A69" s="638" t="s">
        <v>51</v>
      </c>
      <c r="B69" s="644"/>
      <c r="C69" s="24">
        <f>SUM(C61:C68)</f>
        <v>0.36799999999999999</v>
      </c>
      <c r="D69" s="22">
        <f>ROUND(SUM(D61:D68),2)</f>
        <v>362.31</v>
      </c>
    </row>
    <row r="70" spans="1:6" x14ac:dyDescent="0.2">
      <c r="A70" s="330"/>
      <c r="B70" s="330"/>
    </row>
    <row r="71" spans="1:6" x14ac:dyDescent="0.2">
      <c r="A71" s="633" t="s">
        <v>103</v>
      </c>
      <c r="B71" s="633"/>
      <c r="C71" s="9" t="s">
        <v>97</v>
      </c>
      <c r="D71" s="12" t="s">
        <v>98</v>
      </c>
      <c r="E71" s="330" t="s">
        <v>125</v>
      </c>
      <c r="F71" s="345">
        <v>1.5</v>
      </c>
    </row>
    <row r="72" spans="1:6" x14ac:dyDescent="0.2">
      <c r="A72" s="299" t="s">
        <v>1</v>
      </c>
      <c r="B72" s="300" t="s">
        <v>47</v>
      </c>
      <c r="C72" s="10">
        <v>8.3299999999999999E-2</v>
      </c>
      <c r="D72" s="13">
        <f>ROUND($D$39*C72,2)</f>
        <v>82.01</v>
      </c>
    </row>
    <row r="73" spans="1:6" x14ac:dyDescent="0.2">
      <c r="A73" s="299" t="s">
        <v>2</v>
      </c>
      <c r="B73" s="300" t="s">
        <v>48</v>
      </c>
      <c r="C73" s="10">
        <f>C88/3</f>
        <v>2.7799999999999998E-2</v>
      </c>
      <c r="D73" s="13">
        <f>ROUND($D$39*C73,2)</f>
        <v>27.37</v>
      </c>
    </row>
    <row r="74" spans="1:6" x14ac:dyDescent="0.2">
      <c r="A74" s="625" t="s">
        <v>49</v>
      </c>
      <c r="B74" s="625"/>
      <c r="C74" s="24">
        <f>SUM(C72:C73)</f>
        <v>0.1111</v>
      </c>
      <c r="D74" s="22">
        <f>ROUND(SUM(D72:D73),2)</f>
        <v>109.38</v>
      </c>
    </row>
    <row r="75" spans="1:6" x14ac:dyDescent="0.2">
      <c r="A75" s="299" t="s">
        <v>4</v>
      </c>
      <c r="B75" s="300" t="s">
        <v>50</v>
      </c>
      <c r="C75" s="10">
        <f>C69*C74</f>
        <v>4.0899999999999999E-2</v>
      </c>
      <c r="D75" s="13">
        <f>ROUND($D$39*C75,2)</f>
        <v>40.270000000000003</v>
      </c>
    </row>
    <row r="76" spans="1:6" x14ac:dyDescent="0.2">
      <c r="A76" s="625" t="s">
        <v>46</v>
      </c>
      <c r="B76" s="625"/>
      <c r="C76" s="24">
        <f>C75+C74</f>
        <v>0.152</v>
      </c>
      <c r="D76" s="22">
        <f>ROUND(D75+D74,2)</f>
        <v>149.65</v>
      </c>
    </row>
    <row r="77" spans="1:6" x14ac:dyDescent="0.2">
      <c r="A77" s="330"/>
      <c r="B77" s="330"/>
      <c r="E77" s="346"/>
    </row>
    <row r="78" spans="1:6" x14ac:dyDescent="0.2">
      <c r="A78" s="630" t="s">
        <v>356</v>
      </c>
      <c r="B78" s="632"/>
      <c r="C78" s="9" t="s">
        <v>97</v>
      </c>
      <c r="D78" s="12" t="s">
        <v>98</v>
      </c>
    </row>
    <row r="79" spans="1:6" x14ac:dyDescent="0.2">
      <c r="A79" s="299" t="s">
        <v>1</v>
      </c>
      <c r="B79" s="300" t="s">
        <v>52</v>
      </c>
      <c r="C79" s="10">
        <v>1.6999999999999999E-3</v>
      </c>
      <c r="D79" s="13">
        <f t="shared" ref="D79:D84" si="1">ROUND($D$39*C79,2)</f>
        <v>1.67</v>
      </c>
    </row>
    <row r="80" spans="1:6" x14ac:dyDescent="0.2">
      <c r="A80" s="299" t="s">
        <v>2</v>
      </c>
      <c r="B80" s="300" t="s">
        <v>53</v>
      </c>
      <c r="C80" s="10">
        <f>C66*C79</f>
        <v>1E-4</v>
      </c>
      <c r="D80" s="13">
        <f t="shared" si="1"/>
        <v>0.1</v>
      </c>
    </row>
    <row r="81" spans="1:5" x14ac:dyDescent="0.2">
      <c r="A81" s="299" t="s">
        <v>4</v>
      </c>
      <c r="B81" s="300" t="s">
        <v>54</v>
      </c>
      <c r="C81" s="10">
        <f>C66*10%</f>
        <v>8.0000000000000002E-3</v>
      </c>
      <c r="D81" s="13">
        <f t="shared" si="1"/>
        <v>7.88</v>
      </c>
    </row>
    <row r="82" spans="1:5" x14ac:dyDescent="0.2">
      <c r="A82" s="331" t="s">
        <v>3</v>
      </c>
      <c r="B82" s="332" t="s">
        <v>55</v>
      </c>
      <c r="C82" s="10">
        <v>1.9400000000000001E-2</v>
      </c>
      <c r="D82" s="13">
        <f t="shared" si="1"/>
        <v>19.100000000000001</v>
      </c>
    </row>
    <row r="83" spans="1:5" x14ac:dyDescent="0.2">
      <c r="A83" s="331" t="s">
        <v>18</v>
      </c>
      <c r="B83" s="332" t="s">
        <v>56</v>
      </c>
      <c r="C83" s="10">
        <f>C69*C82</f>
        <v>7.1000000000000004E-3</v>
      </c>
      <c r="D83" s="13">
        <f t="shared" si="1"/>
        <v>6.99</v>
      </c>
    </row>
    <row r="84" spans="1:5" x14ac:dyDescent="0.2">
      <c r="A84" s="331" t="s">
        <v>19</v>
      </c>
      <c r="B84" s="332" t="s">
        <v>57</v>
      </c>
      <c r="C84" s="10">
        <v>4.4200000000000003E-2</v>
      </c>
      <c r="D84" s="13">
        <f t="shared" si="1"/>
        <v>43.51</v>
      </c>
    </row>
    <row r="85" spans="1:5" x14ac:dyDescent="0.2">
      <c r="A85" s="625" t="s">
        <v>46</v>
      </c>
      <c r="B85" s="625"/>
      <c r="C85" s="24">
        <f>SUM(C79:C84)</f>
        <v>8.0500000000000002E-2</v>
      </c>
      <c r="D85" s="22">
        <f>ROUND(SUM(D79:D84),2)</f>
        <v>79.25</v>
      </c>
    </row>
    <row r="86" spans="1:5" x14ac:dyDescent="0.2">
      <c r="E86" s="346"/>
    </row>
    <row r="87" spans="1:5" x14ac:dyDescent="0.2">
      <c r="A87" s="630" t="s">
        <v>357</v>
      </c>
      <c r="B87" s="632"/>
      <c r="C87" s="9" t="s">
        <v>97</v>
      </c>
      <c r="D87" s="12" t="s">
        <v>98</v>
      </c>
      <c r="E87" s="346"/>
    </row>
    <row r="88" spans="1:5" x14ac:dyDescent="0.2">
      <c r="A88" s="331" t="s">
        <v>1</v>
      </c>
      <c r="B88" s="332" t="s">
        <v>58</v>
      </c>
      <c r="C88" s="10">
        <v>8.3299999999999999E-2</v>
      </c>
      <c r="D88" s="13">
        <f t="shared" ref="D88:D95" si="2">ROUND($D$39*C88,2)</f>
        <v>82.01</v>
      </c>
      <c r="E88" s="346"/>
    </row>
    <row r="89" spans="1:5" x14ac:dyDescent="0.2">
      <c r="A89" s="331" t="s">
        <v>2</v>
      </c>
      <c r="B89" s="332" t="s">
        <v>59</v>
      </c>
      <c r="C89" s="10">
        <v>5.5999999999999999E-3</v>
      </c>
      <c r="D89" s="13">
        <f t="shared" si="2"/>
        <v>5.51</v>
      </c>
    </row>
    <row r="90" spans="1:5" x14ac:dyDescent="0.2">
      <c r="A90" s="331" t="s">
        <v>4</v>
      </c>
      <c r="B90" s="300" t="s">
        <v>360</v>
      </c>
      <c r="C90" s="10">
        <v>6.9999999999999999E-4</v>
      </c>
      <c r="D90" s="13">
        <f t="shared" si="2"/>
        <v>0.69</v>
      </c>
    </row>
    <row r="91" spans="1:5" x14ac:dyDescent="0.2">
      <c r="A91" s="331" t="s">
        <v>3</v>
      </c>
      <c r="B91" s="332" t="s">
        <v>60</v>
      </c>
      <c r="C91" s="10">
        <v>2.8E-3</v>
      </c>
      <c r="D91" s="13">
        <f t="shared" si="2"/>
        <v>2.76</v>
      </c>
    </row>
    <row r="92" spans="1:5" x14ac:dyDescent="0.2">
      <c r="A92" s="331" t="s">
        <v>18</v>
      </c>
      <c r="B92" s="332" t="s">
        <v>61</v>
      </c>
      <c r="C92" s="10">
        <v>8.0000000000000004E-4</v>
      </c>
      <c r="D92" s="13">
        <f t="shared" si="2"/>
        <v>0.79</v>
      </c>
    </row>
    <row r="93" spans="1:5" x14ac:dyDescent="0.2">
      <c r="A93" s="331" t="s">
        <v>19</v>
      </c>
      <c r="B93" s="300" t="s">
        <v>367</v>
      </c>
      <c r="C93" s="10">
        <v>2.0000000000000001E-4</v>
      </c>
      <c r="D93" s="13">
        <f t="shared" si="2"/>
        <v>0.2</v>
      </c>
    </row>
    <row r="94" spans="1:5" x14ac:dyDescent="0.2">
      <c r="A94" s="625" t="s">
        <v>49</v>
      </c>
      <c r="B94" s="625"/>
      <c r="C94" s="24">
        <f>SUM(C88:C93)</f>
        <v>9.3399999999999997E-2</v>
      </c>
      <c r="D94" s="22">
        <f t="shared" si="2"/>
        <v>91.95</v>
      </c>
    </row>
    <row r="95" spans="1:5" x14ac:dyDescent="0.2">
      <c r="A95" s="331" t="s">
        <v>20</v>
      </c>
      <c r="B95" s="332" t="s">
        <v>104</v>
      </c>
      <c r="C95" s="10">
        <f>C69*C94</f>
        <v>3.44E-2</v>
      </c>
      <c r="D95" s="13">
        <f t="shared" si="2"/>
        <v>33.869999999999997</v>
      </c>
    </row>
    <row r="96" spans="1:5" x14ac:dyDescent="0.2">
      <c r="A96" s="625" t="s">
        <v>46</v>
      </c>
      <c r="B96" s="625"/>
      <c r="C96" s="24">
        <f>C95+C94</f>
        <v>0.1278</v>
      </c>
      <c r="D96" s="22">
        <f>ROUND(D95+D94,2)</f>
        <v>125.82</v>
      </c>
    </row>
    <row r="98" spans="1:5" x14ac:dyDescent="0.2">
      <c r="A98" s="629" t="s">
        <v>62</v>
      </c>
      <c r="B98" s="629"/>
      <c r="C98" s="629"/>
      <c r="D98" s="629"/>
    </row>
    <row r="99" spans="1:5" x14ac:dyDescent="0.2">
      <c r="A99" s="337">
        <v>4</v>
      </c>
      <c r="B99" s="633" t="s">
        <v>68</v>
      </c>
      <c r="C99" s="633"/>
      <c r="D99" s="12" t="s">
        <v>98</v>
      </c>
    </row>
    <row r="100" spans="1:5" x14ac:dyDescent="0.2">
      <c r="A100" s="331" t="s">
        <v>63</v>
      </c>
      <c r="B100" s="347" t="s">
        <v>69</v>
      </c>
      <c r="C100" s="348">
        <f>C76</f>
        <v>0.152</v>
      </c>
      <c r="D100" s="13">
        <f>ROUND($D$39*C100,2)</f>
        <v>149.63999999999999</v>
      </c>
      <c r="E100" s="346"/>
    </row>
    <row r="101" spans="1:5" x14ac:dyDescent="0.2">
      <c r="A101" s="331" t="s">
        <v>64</v>
      </c>
      <c r="B101" s="347" t="s">
        <v>126</v>
      </c>
      <c r="C101" s="348">
        <f>C69</f>
        <v>0.36799999999999999</v>
      </c>
      <c r="D101" s="13">
        <f>ROUND($D$39*C101,2)</f>
        <v>362.3</v>
      </c>
    </row>
    <row r="102" spans="1:5" x14ac:dyDescent="0.2">
      <c r="A102" s="299" t="s">
        <v>65</v>
      </c>
      <c r="B102" s="347" t="s">
        <v>70</v>
      </c>
      <c r="C102" s="348">
        <f>C85</f>
        <v>8.0500000000000002E-2</v>
      </c>
      <c r="D102" s="13">
        <f>ROUND($D$39*C102,2)</f>
        <v>79.25</v>
      </c>
    </row>
    <row r="103" spans="1:5" x14ac:dyDescent="0.2">
      <c r="A103" s="299" t="s">
        <v>66</v>
      </c>
      <c r="B103" s="347" t="s">
        <v>71</v>
      </c>
      <c r="C103" s="348">
        <f>C96</f>
        <v>0.1278</v>
      </c>
      <c r="D103" s="13">
        <f>ROUND($D$39*C103,2)</f>
        <v>125.82</v>
      </c>
    </row>
    <row r="104" spans="1:5" x14ac:dyDescent="0.2">
      <c r="A104" s="299" t="s">
        <v>67</v>
      </c>
      <c r="B104" s="347" t="s">
        <v>29</v>
      </c>
      <c r="C104" s="349"/>
      <c r="D104" s="13"/>
    </row>
    <row r="105" spans="1:5" x14ac:dyDescent="0.2">
      <c r="A105" s="331"/>
      <c r="B105" s="350" t="s">
        <v>46</v>
      </c>
      <c r="C105" s="351">
        <f>SUM(C100:C104)</f>
        <v>0.72829999999999995</v>
      </c>
      <c r="D105" s="22">
        <f>ROUND($D$39*C105,2)</f>
        <v>717.01</v>
      </c>
    </row>
    <row r="106" spans="1:5" x14ac:dyDescent="0.2">
      <c r="D106" s="28">
        <f>ROUND(D105+D57+D49+D39,2)</f>
        <v>2449.0300000000002</v>
      </c>
    </row>
    <row r="107" spans="1:5" x14ac:dyDescent="0.2">
      <c r="A107" s="337">
        <v>5</v>
      </c>
      <c r="B107" s="339" t="s">
        <v>72</v>
      </c>
      <c r="C107" s="9" t="s">
        <v>97</v>
      </c>
      <c r="D107" s="12" t="s">
        <v>98</v>
      </c>
      <c r="E107" s="346"/>
    </row>
    <row r="108" spans="1:5" x14ac:dyDescent="0.2">
      <c r="A108" s="331" t="s">
        <v>1</v>
      </c>
      <c r="B108" s="332" t="s">
        <v>73</v>
      </c>
      <c r="C108" s="10">
        <v>1.06E-2</v>
      </c>
      <c r="D108" s="13">
        <f>ROUND($D$106*C108,2)</f>
        <v>25.96</v>
      </c>
    </row>
    <row r="109" spans="1:5" x14ac:dyDescent="0.2">
      <c r="A109" s="331" t="s">
        <v>2</v>
      </c>
      <c r="B109" s="332" t="s">
        <v>74</v>
      </c>
      <c r="C109" s="10"/>
      <c r="D109" s="13"/>
      <c r="E109" s="344"/>
    </row>
    <row r="110" spans="1:5" x14ac:dyDescent="0.2">
      <c r="A110" s="352" t="s">
        <v>105</v>
      </c>
      <c r="B110" s="332" t="s">
        <v>75</v>
      </c>
      <c r="C110" s="10">
        <v>0</v>
      </c>
      <c r="D110" s="13">
        <v>0</v>
      </c>
    </row>
    <row r="111" spans="1:5" x14ac:dyDescent="0.2">
      <c r="A111" s="352" t="s">
        <v>106</v>
      </c>
      <c r="B111" s="332" t="s">
        <v>76</v>
      </c>
      <c r="C111" s="10">
        <v>0</v>
      </c>
      <c r="D111" s="13">
        <v>0</v>
      </c>
    </row>
    <row r="112" spans="1:5" x14ac:dyDescent="0.2">
      <c r="A112" s="352" t="s">
        <v>107</v>
      </c>
      <c r="B112" s="332" t="s">
        <v>77</v>
      </c>
      <c r="C112" s="10">
        <v>1.6500000000000001E-2</v>
      </c>
      <c r="D112" s="13">
        <f>ROUND($F$115*C112,2)</f>
        <v>46.24</v>
      </c>
    </row>
    <row r="113" spans="1:9" x14ac:dyDescent="0.2">
      <c r="A113" s="352" t="s">
        <v>108</v>
      </c>
      <c r="B113" s="332" t="s">
        <v>78</v>
      </c>
      <c r="C113" s="10">
        <v>7.5999999999999998E-2</v>
      </c>
      <c r="D113" s="13">
        <f>ROUND($F$115*C113,2)</f>
        <v>213</v>
      </c>
      <c r="F113" s="353">
        <f>SUM(C110:C114)</f>
        <v>0.1125</v>
      </c>
    </row>
    <row r="114" spans="1:9" x14ac:dyDescent="0.2">
      <c r="A114" s="352" t="s">
        <v>109</v>
      </c>
      <c r="B114" s="332" t="s">
        <v>79</v>
      </c>
      <c r="C114" s="131">
        <v>0.02</v>
      </c>
      <c r="D114" s="13">
        <f>ROUND($F$115*C114,2)</f>
        <v>56.05</v>
      </c>
      <c r="F114" s="354">
        <f>ROUND(D115+D108+D106,2)</f>
        <v>2487.36</v>
      </c>
    </row>
    <row r="115" spans="1:9" x14ac:dyDescent="0.2">
      <c r="A115" s="331" t="s">
        <v>4</v>
      </c>
      <c r="B115" s="332" t="s">
        <v>80</v>
      </c>
      <c r="C115" s="10">
        <v>5.0000000000000001E-3</v>
      </c>
      <c r="D115" s="13">
        <f>ROUND(($D$106+D108)*C115,2)</f>
        <v>12.37</v>
      </c>
      <c r="F115" s="41">
        <f>ROUND(F114/(1-F113),2)</f>
        <v>2802.66</v>
      </c>
    </row>
    <row r="116" spans="1:9" x14ac:dyDescent="0.2">
      <c r="A116" s="638" t="s">
        <v>46</v>
      </c>
      <c r="B116" s="643"/>
      <c r="C116" s="639"/>
      <c r="D116" s="22">
        <f>ROUND(SUM(D108:D115),2)</f>
        <v>353.62</v>
      </c>
    </row>
    <row r="117" spans="1:9" x14ac:dyDescent="0.2">
      <c r="D117" s="28"/>
    </row>
    <row r="118" spans="1:9" x14ac:dyDescent="0.2">
      <c r="A118" s="629" t="s">
        <v>81</v>
      </c>
      <c r="B118" s="629"/>
      <c r="C118" s="629"/>
      <c r="D118" s="629"/>
    </row>
    <row r="119" spans="1:9" x14ac:dyDescent="0.2">
      <c r="A119" s="625" t="s">
        <v>82</v>
      </c>
      <c r="B119" s="625"/>
      <c r="C119" s="625"/>
      <c r="D119" s="625"/>
    </row>
    <row r="120" spans="1:9" x14ac:dyDescent="0.2">
      <c r="A120" s="331" t="s">
        <v>1</v>
      </c>
      <c r="B120" s="626" t="s">
        <v>83</v>
      </c>
      <c r="C120" s="626"/>
      <c r="D120" s="13">
        <f>D39</f>
        <v>984.5</v>
      </c>
    </row>
    <row r="121" spans="1:9" x14ac:dyDescent="0.2">
      <c r="A121" s="331" t="s">
        <v>2</v>
      </c>
      <c r="B121" s="626" t="s">
        <v>84</v>
      </c>
      <c r="C121" s="626"/>
      <c r="D121" s="13">
        <f>D49</f>
        <v>337.8</v>
      </c>
    </row>
    <row r="122" spans="1:9" x14ac:dyDescent="0.2">
      <c r="A122" s="331" t="s">
        <v>4</v>
      </c>
      <c r="B122" s="626" t="s">
        <v>85</v>
      </c>
      <c r="C122" s="626"/>
      <c r="D122" s="13">
        <f>D57</f>
        <v>409.72</v>
      </c>
    </row>
    <row r="123" spans="1:9" x14ac:dyDescent="0.2">
      <c r="A123" s="331" t="s">
        <v>3</v>
      </c>
      <c r="B123" s="626" t="s">
        <v>127</v>
      </c>
      <c r="C123" s="626"/>
      <c r="D123" s="13">
        <f>D105</f>
        <v>717.01</v>
      </c>
    </row>
    <row r="124" spans="1:9" x14ac:dyDescent="0.2">
      <c r="A124" s="625" t="s">
        <v>49</v>
      </c>
      <c r="B124" s="625"/>
      <c r="C124" s="625"/>
      <c r="D124" s="22">
        <f>ROUND(SUM(D120:D123),2)</f>
        <v>2449.0300000000002</v>
      </c>
    </row>
    <row r="125" spans="1:9" ht="18.75" x14ac:dyDescent="0.3">
      <c r="A125" s="331" t="s">
        <v>18</v>
      </c>
      <c r="B125" s="645" t="s">
        <v>86</v>
      </c>
      <c r="C125" s="645"/>
      <c r="D125" s="13">
        <f>D116</f>
        <v>353.62</v>
      </c>
      <c r="F125" s="355"/>
      <c r="G125" s="330"/>
      <c r="H125" s="330"/>
    </row>
    <row r="126" spans="1:9" ht="18.75" x14ac:dyDescent="0.3">
      <c r="A126" s="625" t="s">
        <v>87</v>
      </c>
      <c r="B126" s="625"/>
      <c r="C126" s="625"/>
      <c r="D126" s="22">
        <f>ROUND(D125+D124,2)</f>
        <v>2802.65</v>
      </c>
      <c r="F126" s="355"/>
    </row>
    <row r="127" spans="1:9" ht="18.75" x14ac:dyDescent="0.3">
      <c r="F127" s="355"/>
    </row>
    <row r="128" spans="1:9" ht="18.75" x14ac:dyDescent="0.3">
      <c r="A128" s="623" t="s">
        <v>110</v>
      </c>
      <c r="B128" s="623"/>
      <c r="C128" s="623"/>
      <c r="D128" s="623"/>
      <c r="F128" s="355"/>
      <c r="I128" s="330"/>
    </row>
    <row r="129" spans="1:9" ht="18.75" x14ac:dyDescent="0.3">
      <c r="A129" s="626" t="s">
        <v>13</v>
      </c>
      <c r="B129" s="626"/>
      <c r="C129" s="626"/>
      <c r="D129" s="13"/>
      <c r="F129" s="355"/>
      <c r="I129" s="330"/>
    </row>
    <row r="130" spans="1:9" ht="18.75" x14ac:dyDescent="0.3">
      <c r="A130" s="626" t="s">
        <v>88</v>
      </c>
      <c r="B130" s="626"/>
      <c r="C130" s="626"/>
      <c r="D130" s="13">
        <f>D126</f>
        <v>2802.65</v>
      </c>
      <c r="E130" s="200"/>
      <c r="F130" s="355"/>
      <c r="I130" s="330"/>
    </row>
    <row r="131" spans="1:9" ht="18.75" x14ac:dyDescent="0.3">
      <c r="A131" s="626" t="s">
        <v>89</v>
      </c>
      <c r="B131" s="626"/>
      <c r="C131" s="626"/>
      <c r="D131" s="13">
        <v>1</v>
      </c>
      <c r="E131" s="200"/>
      <c r="F131" s="355"/>
      <c r="I131" s="330"/>
    </row>
    <row r="132" spans="1:9" ht="18.75" x14ac:dyDescent="0.3">
      <c r="A132" s="626" t="s">
        <v>90</v>
      </c>
      <c r="B132" s="626"/>
      <c r="C132" s="626"/>
      <c r="D132" s="13">
        <f>ROUND(D131*D130,2)</f>
        <v>2802.65</v>
      </c>
      <c r="E132" s="200"/>
      <c r="F132" s="355"/>
      <c r="I132" s="330"/>
    </row>
    <row r="133" spans="1:9" ht="18.75" x14ac:dyDescent="0.3">
      <c r="A133" s="626" t="s">
        <v>91</v>
      </c>
      <c r="B133" s="626"/>
      <c r="C133" s="626"/>
      <c r="D133" s="13">
        <v>3</v>
      </c>
      <c r="E133" s="200"/>
      <c r="F133" s="355"/>
      <c r="I133" s="330"/>
    </row>
    <row r="134" spans="1:9" ht="18.75" x14ac:dyDescent="0.3">
      <c r="A134" s="633" t="s">
        <v>92</v>
      </c>
      <c r="B134" s="633"/>
      <c r="C134" s="633"/>
      <c r="D134" s="22">
        <f>ROUND(D133*D132,2)</f>
        <v>8407.9500000000007</v>
      </c>
      <c r="E134" s="200"/>
      <c r="F134" s="355"/>
    </row>
    <row r="135" spans="1:9" ht="18.75" x14ac:dyDescent="0.3">
      <c r="E135" s="200"/>
      <c r="F135" s="355"/>
    </row>
    <row r="136" spans="1:9" ht="18.75" x14ac:dyDescent="0.3">
      <c r="A136" s="623" t="s">
        <v>111</v>
      </c>
      <c r="B136" s="623"/>
      <c r="C136" s="623"/>
      <c r="D136" s="623"/>
      <c r="F136" s="355"/>
    </row>
    <row r="137" spans="1:9" x14ac:dyDescent="0.2">
      <c r="A137" s="331" t="s">
        <v>1</v>
      </c>
      <c r="B137" s="626" t="s">
        <v>93</v>
      </c>
      <c r="C137" s="626"/>
      <c r="D137" s="297">
        <f>D130</f>
        <v>2802.65</v>
      </c>
      <c r="E137" s="303">
        <v>2279.4299999999998</v>
      </c>
    </row>
    <row r="138" spans="1:9" x14ac:dyDescent="0.2">
      <c r="A138" s="331" t="s">
        <v>2</v>
      </c>
      <c r="B138" s="626" t="s">
        <v>94</v>
      </c>
      <c r="C138" s="626"/>
      <c r="D138" s="13">
        <f>D134</f>
        <v>8407.9500000000007</v>
      </c>
    </row>
    <row r="139" spans="1:9" x14ac:dyDescent="0.2">
      <c r="A139" s="337" t="s">
        <v>4</v>
      </c>
      <c r="B139" s="633" t="s">
        <v>95</v>
      </c>
      <c r="C139" s="633"/>
      <c r="D139" s="22">
        <f>ROUND(D138*12,2)</f>
        <v>100895.4</v>
      </c>
      <c r="F139" s="304"/>
    </row>
    <row r="140" spans="1:9" x14ac:dyDescent="0.2">
      <c r="A140" s="343"/>
      <c r="F140" s="356"/>
    </row>
    <row r="141" spans="1:9" x14ac:dyDescent="0.2">
      <c r="A141" s="343"/>
    </row>
    <row r="142" spans="1:9" x14ac:dyDescent="0.2">
      <c r="A142" s="647" t="s">
        <v>522</v>
      </c>
      <c r="B142" s="648"/>
    </row>
    <row r="143" spans="1:9" x14ac:dyDescent="0.2">
      <c r="A143" s="343"/>
      <c r="F143" s="304"/>
    </row>
    <row r="144" spans="1:9" x14ac:dyDescent="0.2">
      <c r="A144" s="343"/>
      <c r="F144" s="304"/>
      <c r="G144" s="357"/>
    </row>
    <row r="145" spans="1:8" x14ac:dyDescent="0.2">
      <c r="A145" s="649" t="s">
        <v>381</v>
      </c>
      <c r="B145" s="649"/>
      <c r="F145" s="304"/>
      <c r="G145" s="29"/>
    </row>
    <row r="146" spans="1:8" x14ac:dyDescent="0.2">
      <c r="A146" s="646" t="s">
        <v>379</v>
      </c>
      <c r="B146" s="646"/>
      <c r="F146" s="304"/>
    </row>
    <row r="147" spans="1:8" x14ac:dyDescent="0.2">
      <c r="A147" s="646" t="s">
        <v>380</v>
      </c>
      <c r="B147" s="646"/>
      <c r="F147" s="304"/>
    </row>
    <row r="148" spans="1:8" x14ac:dyDescent="0.2">
      <c r="F148" s="358"/>
      <c r="H148" s="330"/>
    </row>
    <row r="149" spans="1:8" x14ac:dyDescent="0.2">
      <c r="F149" s="304"/>
    </row>
    <row r="150" spans="1:8" x14ac:dyDescent="0.2">
      <c r="F150" s="304"/>
    </row>
    <row r="151" spans="1:8" x14ac:dyDescent="0.2">
      <c r="F151" s="304"/>
    </row>
    <row r="152" spans="1:8" x14ac:dyDescent="0.2">
      <c r="F152" s="304"/>
    </row>
    <row r="153" spans="1:8" x14ac:dyDescent="0.2">
      <c r="F153" s="304"/>
    </row>
    <row r="154" spans="1:8" x14ac:dyDescent="0.2">
      <c r="F154" s="304"/>
    </row>
    <row r="155" spans="1:8" x14ac:dyDescent="0.2">
      <c r="F155" s="304"/>
    </row>
    <row r="156" spans="1:8" x14ac:dyDescent="0.2">
      <c r="F156" s="358"/>
    </row>
    <row r="157" spans="1:8" x14ac:dyDescent="0.2">
      <c r="F157" s="304"/>
    </row>
  </sheetData>
  <mergeCells count="67">
    <mergeCell ref="A147:B147"/>
    <mergeCell ref="A131:C131"/>
    <mergeCell ref="A132:C132"/>
    <mergeCell ref="A133:C133"/>
    <mergeCell ref="A134:C134"/>
    <mergeCell ref="A136:D136"/>
    <mergeCell ref="B137:C137"/>
    <mergeCell ref="B138:C138"/>
    <mergeCell ref="B139:C139"/>
    <mergeCell ref="A142:B142"/>
    <mergeCell ref="A145:B145"/>
    <mergeCell ref="A146:B146"/>
    <mergeCell ref="A130:C130"/>
    <mergeCell ref="A118:D118"/>
    <mergeCell ref="A119:D119"/>
    <mergeCell ref="B120:C120"/>
    <mergeCell ref="B121:C121"/>
    <mergeCell ref="B122:C122"/>
    <mergeCell ref="B123:C123"/>
    <mergeCell ref="A124:C124"/>
    <mergeCell ref="B125:C125"/>
    <mergeCell ref="A126:C126"/>
    <mergeCell ref="A128:D128"/>
    <mergeCell ref="A129:C129"/>
    <mergeCell ref="A116:C116"/>
    <mergeCell ref="A69:B69"/>
    <mergeCell ref="A71:B71"/>
    <mergeCell ref="A74:B74"/>
    <mergeCell ref="A76:B76"/>
    <mergeCell ref="A78:B78"/>
    <mergeCell ref="A85:B85"/>
    <mergeCell ref="A87:B87"/>
    <mergeCell ref="A94:B94"/>
    <mergeCell ref="A96:B96"/>
    <mergeCell ref="A98:D98"/>
    <mergeCell ref="B99:C99"/>
    <mergeCell ref="A60:B60"/>
    <mergeCell ref="C23:D23"/>
    <mergeCell ref="C24:D24"/>
    <mergeCell ref="C25:D25"/>
    <mergeCell ref="C26:D26"/>
    <mergeCell ref="A27:D27"/>
    <mergeCell ref="A39:B39"/>
    <mergeCell ref="A41:D41"/>
    <mergeCell ref="A49:B49"/>
    <mergeCell ref="A51:D51"/>
    <mergeCell ref="A57:B57"/>
    <mergeCell ref="A59:D59"/>
    <mergeCell ref="C22:D2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0:D20"/>
    <mergeCell ref="A21:D21"/>
    <mergeCell ref="C11:D11"/>
    <mergeCell ref="A1:D1"/>
    <mergeCell ref="A7:D7"/>
    <mergeCell ref="C8:D8"/>
    <mergeCell ref="C9:D9"/>
    <mergeCell ref="C10:D10"/>
  </mergeCells>
  <dataValidations count="1">
    <dataValidation type="list" allowBlank="1" showInputMessage="1" showErrorMessage="1" sqref="C26:D26 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">
      <formula1>#REF!</formula1>
    </dataValidation>
  </dataValidations>
  <pageMargins left="0.78740157480314965" right="0.78740157480314965" top="1.3779527559055118" bottom="0.98425196850393704" header="0.51181102362204722" footer="0.51181102362204722"/>
  <pageSetup paperSize="9" scale="70" orientation="portrait" r:id="rId1"/>
  <headerFooter alignWithMargins="0"/>
  <rowBreaks count="1" manualBreakCount="1"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56</vt:i4>
      </vt:variant>
      <vt:variant>
        <vt:lpstr>Intervalos nomeados</vt:lpstr>
      </vt:variant>
      <vt:variant>
        <vt:i4>51</vt:i4>
      </vt:variant>
    </vt:vector>
  </HeadingPairs>
  <TitlesOfParts>
    <vt:vector size="107" baseType="lpstr">
      <vt:lpstr>REPACTUAÇÃO 2014</vt:lpstr>
      <vt:lpstr>Resumo</vt:lpstr>
      <vt:lpstr>QUEDAS DO IGUAÇU</vt:lpstr>
      <vt:lpstr>GOIOERÊ</vt:lpstr>
      <vt:lpstr>GOIOERÊ SERVENTE+COPEIRA</vt:lpstr>
      <vt:lpstr>COLOMBO</vt:lpstr>
      <vt:lpstr>CAPANEMA</vt:lpstr>
      <vt:lpstr>BARRACÃO</vt:lpstr>
      <vt:lpstr>JAGUARIAIVA</vt:lpstr>
      <vt:lpstr>Jaguariaiva (servente+Copei</vt:lpstr>
      <vt:lpstr>PARANAGUÁ (SERVENTE+COPEIRA)</vt:lpstr>
      <vt:lpstr>CEL. VIVIDA</vt:lpstr>
      <vt:lpstr>Pinhais</vt:lpstr>
      <vt:lpstr>Pinhais (servente+Copei)</vt:lpstr>
      <vt:lpstr>PITANGA</vt:lpstr>
      <vt:lpstr>PITANGA (servente+Copei)</vt:lpstr>
      <vt:lpstr>UNIÃO DA VITÓRIA</vt:lpstr>
      <vt:lpstr>UNIÃODAVIT (servente+Copei)</vt:lpstr>
      <vt:lpstr>CURITIBA (servente copeira )</vt:lpstr>
      <vt:lpstr>CURITIBA</vt:lpstr>
      <vt:lpstr>ASSIS</vt:lpstr>
      <vt:lpstr>CAMPO LARGO (servente copeira)</vt:lpstr>
      <vt:lpstr>CAMPO LARGO</vt:lpstr>
      <vt:lpstr>FOZ DO IGUAÇU (servente copeir)</vt:lpstr>
      <vt:lpstr>FOZ DO IGUAÇU</vt:lpstr>
      <vt:lpstr>IRATI (servente copeira)</vt:lpstr>
      <vt:lpstr>IRATI</vt:lpstr>
      <vt:lpstr>IVAIPORÃ (servente copeira)</vt:lpstr>
      <vt:lpstr>IVAIPORÃ</vt:lpstr>
      <vt:lpstr>JACAREZINHO (servente copeira)</vt:lpstr>
      <vt:lpstr>JACAREZINHO</vt:lpstr>
      <vt:lpstr>LONDRINA (servente copeira)</vt:lpstr>
      <vt:lpstr>LONDRINA</vt:lpstr>
      <vt:lpstr>PALMAS (servente copeira)</vt:lpstr>
      <vt:lpstr>PALMAS</vt:lpstr>
      <vt:lpstr>ASTORGA</vt:lpstr>
      <vt:lpstr>ASTORGA (SERVENTE COPEIRA) </vt:lpstr>
      <vt:lpstr>PARANAGUA</vt:lpstr>
      <vt:lpstr>PARANAVAI (servente copeira)</vt:lpstr>
      <vt:lpstr>PARANAVAI</vt:lpstr>
      <vt:lpstr>CASCAVEL</vt:lpstr>
      <vt:lpstr>CASCAVEL (servente copeira)</vt:lpstr>
      <vt:lpstr>TELEMACO (servente copeira)</vt:lpstr>
      <vt:lpstr>TELEMACO BORBA</vt:lpstr>
      <vt:lpstr>UMUARAMA</vt:lpstr>
      <vt:lpstr>UMUARAMA (servente copeira) </vt:lpstr>
      <vt:lpstr>ENCARREGADO GERAL</vt:lpstr>
      <vt:lpstr>ENCARREGADO REG I</vt:lpstr>
      <vt:lpstr>ENCARREGADO REG II</vt:lpstr>
      <vt:lpstr>ENCARREGADO REG III</vt:lpstr>
      <vt:lpstr>Memoria de calculo</vt:lpstr>
      <vt:lpstr>area</vt:lpstr>
      <vt:lpstr>Material de limpeza</vt:lpstr>
      <vt:lpstr>Equipamentos</vt:lpstr>
      <vt:lpstr>Epi's</vt:lpstr>
      <vt:lpstr>Material de limpeza (2)</vt:lpstr>
      <vt:lpstr>area!Area_de_impressao</vt:lpstr>
      <vt:lpstr>ASSIS!Area_de_impressao</vt:lpstr>
      <vt:lpstr>ASTORGA!Area_de_impressao</vt:lpstr>
      <vt:lpstr>'ASTORGA (SERVENTE COPEIRA) '!Area_de_impressao</vt:lpstr>
      <vt:lpstr>BARRACÃO!Area_de_impressao</vt:lpstr>
      <vt:lpstr>'CAMPO LARGO'!Area_de_impressao</vt:lpstr>
      <vt:lpstr>'CAMPO LARGO (servente copeira)'!Area_de_impressao</vt:lpstr>
      <vt:lpstr>CAPANEMA!Area_de_impressao</vt:lpstr>
      <vt:lpstr>CASCAVEL!Area_de_impressao</vt:lpstr>
      <vt:lpstr>'CASCAVEL (servente copeira)'!Area_de_impressao</vt:lpstr>
      <vt:lpstr>'CEL. VIVIDA'!Area_de_impressao</vt:lpstr>
      <vt:lpstr>COLOMBO!Area_de_impressao</vt:lpstr>
      <vt:lpstr>CURITIBA!Area_de_impressao</vt:lpstr>
      <vt:lpstr>'CURITIBA (servente copeira )'!Area_de_impressao</vt:lpstr>
      <vt:lpstr>'ENCARREGADO GERAL'!Area_de_impressao</vt:lpstr>
      <vt:lpstr>'ENCARREGADO REG I'!Area_de_impressao</vt:lpstr>
      <vt:lpstr>'ENCARREGADO REG II'!Area_de_impressao</vt:lpstr>
      <vt:lpstr>'ENCARREGADO REG III'!Area_de_impressao</vt:lpstr>
      <vt:lpstr>'FOZ DO IGUAÇU'!Area_de_impressao</vt:lpstr>
      <vt:lpstr>'FOZ DO IGUAÇU (servente copeir)'!Area_de_impressao</vt:lpstr>
      <vt:lpstr>GOIOERÊ!Area_de_impressao</vt:lpstr>
      <vt:lpstr>'GOIOERÊ SERVENTE+COPEIRA'!Area_de_impressao</vt:lpstr>
      <vt:lpstr>IRATI!Area_de_impressao</vt:lpstr>
      <vt:lpstr>'IRATI (servente copeira)'!Area_de_impressao</vt:lpstr>
      <vt:lpstr>IVAIPORÃ!Area_de_impressao</vt:lpstr>
      <vt:lpstr>'IVAIPORÃ (servente copeira)'!Area_de_impressao</vt:lpstr>
      <vt:lpstr>JACAREZINHO!Area_de_impressao</vt:lpstr>
      <vt:lpstr>'JACAREZINHO (servente copeira)'!Area_de_impressao</vt:lpstr>
      <vt:lpstr>JAGUARIAIVA!Area_de_impressao</vt:lpstr>
      <vt:lpstr>'Jaguariaiva (servente+Copei'!Area_de_impressao</vt:lpstr>
      <vt:lpstr>LONDRINA!Area_de_impressao</vt:lpstr>
      <vt:lpstr>'LONDRINA (servente copeira)'!Area_de_impressao</vt:lpstr>
      <vt:lpstr>'Material de limpeza (2)'!Area_de_impressao</vt:lpstr>
      <vt:lpstr>PALMAS!Area_de_impressao</vt:lpstr>
      <vt:lpstr>'PALMAS (servente copeira)'!Area_de_impressao</vt:lpstr>
      <vt:lpstr>PARANAGUA!Area_de_impressao</vt:lpstr>
      <vt:lpstr>'PARANAGUÁ (SERVENTE+COPEIRA)'!Area_de_impressao</vt:lpstr>
      <vt:lpstr>PARANAVAI!Area_de_impressao</vt:lpstr>
      <vt:lpstr>'PARANAVAI (servente copeira)'!Area_de_impressao</vt:lpstr>
      <vt:lpstr>Pinhais!Area_de_impressao</vt:lpstr>
      <vt:lpstr>'Pinhais (servente+Copei)'!Area_de_impressao</vt:lpstr>
      <vt:lpstr>PITANGA!Area_de_impressao</vt:lpstr>
      <vt:lpstr>'PITANGA (servente+Copei)'!Area_de_impressao</vt:lpstr>
      <vt:lpstr>'QUEDAS DO IGUAÇU'!Area_de_impressao</vt:lpstr>
      <vt:lpstr>Resumo!Area_de_impressao</vt:lpstr>
      <vt:lpstr>'TELEMACO (servente copeira)'!Area_de_impressao</vt:lpstr>
      <vt:lpstr>'TELEMACO BORBA'!Area_de_impressao</vt:lpstr>
      <vt:lpstr>UMUARAMA!Area_de_impressao</vt:lpstr>
      <vt:lpstr>'UMUARAMA (servente copeira) '!Area_de_impressao</vt:lpstr>
      <vt:lpstr>'UNIÃO DA VITÓRIA'!Area_de_impressao</vt:lpstr>
      <vt:lpstr>'UNIÃODAVIT (servente+Copei)'!Area_de_impressao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Nicolly</cp:lastModifiedBy>
  <cp:lastPrinted>2015-01-06T17:57:38Z</cp:lastPrinted>
  <dcterms:created xsi:type="dcterms:W3CDTF">2011-05-04T12:17:55Z</dcterms:created>
  <dcterms:modified xsi:type="dcterms:W3CDTF">2015-12-23T14:21:48Z</dcterms:modified>
</cp:coreProperties>
</file>