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13695" windowHeight="12735" tabRatio="994" firstSheet="1" activeTab="2"/>
  </bookViews>
  <sheets>
    <sheet name="REPACTUAÇÃO SIEMACO 2013" sheetId="54" r:id="rId1"/>
    <sheet name="ADITIVO E APOSTILAMENTO" sheetId="53" r:id="rId2"/>
    <sheet name="Resumo PARCIAL" sheetId="31" r:id="rId3"/>
    <sheet name="Super 2" sheetId="15" r:id="rId4"/>
    <sheet name="Recepção 2" sheetId="13" r:id="rId5"/>
    <sheet name="Recepção 3" sheetId="32" r:id="rId6"/>
    <sheet name="Recepção 4" sheetId="40" r:id="rId7"/>
    <sheet name="Copeira 2" sheetId="5" r:id="rId8"/>
    <sheet name="Copeira 3" sheetId="43" r:id="rId9"/>
    <sheet name="Copeira 4" sheetId="41" r:id="rId10"/>
    <sheet name="Porteiro 2" sheetId="8" r:id="rId11"/>
    <sheet name="Porteiro 3" sheetId="33" r:id="rId12"/>
    <sheet name="Porteiro 4" sheetId="36" r:id="rId13"/>
    <sheet name="Porteiro 5" sheetId="55" r:id="rId14"/>
    <sheet name="ASG 2" sheetId="4" r:id="rId15"/>
    <sheet name="ASG 3" sheetId="39" r:id="rId16"/>
    <sheet name="ASG 4" sheetId="42" r:id="rId17"/>
    <sheet name="ASG 5" sheetId="44" r:id="rId18"/>
    <sheet name="Caldereiro 3" sheetId="24" r:id="rId19"/>
    <sheet name="Almoxarife 2" sheetId="21" r:id="rId20"/>
    <sheet name="Oficial 2" sheetId="23" r:id="rId21"/>
    <sheet name="Oficial 3" sheetId="34" r:id="rId22"/>
    <sheet name="Oficial 4" sheetId="37" r:id="rId23"/>
    <sheet name="Oficial 5" sheetId="45" r:id="rId24"/>
    <sheet name="Op. de maq. 2" sheetId="7" r:id="rId25"/>
    <sheet name="Op.de maq. 3" sheetId="35" r:id="rId26"/>
    <sheet name="Op.de maq. 4" sheetId="38" r:id="rId27"/>
    <sheet name="Op.de maq. 5" sheetId="46" r:id="rId28"/>
    <sheet name="Cerim. 2" sheetId="29" r:id="rId29"/>
    <sheet name="Orçam 2" sheetId="12" r:id="rId30"/>
    <sheet name="Jardineiro 3" sheetId="6" r:id="rId31"/>
    <sheet name="Mat Maq Costal" sheetId="25" r:id="rId32"/>
    <sheet name="Mat Jard" sheetId="26" r:id="rId33"/>
    <sheet name="Manut." sheetId="27" r:id="rId34"/>
    <sheet name="Epis" sheetId="28" r:id="rId35"/>
    <sheet name="Uniforme 1" sheetId="48" r:id="rId36"/>
    <sheet name="Uniforme 2" sheetId="49" r:id="rId37"/>
    <sheet name="Memoria de calculo" sheetId="50" r:id="rId38"/>
    <sheet name="Memoria de calculo Lucro e Desp" sheetId="51" r:id="rId39"/>
    <sheet name="Plan1" sheetId="52" r:id="rId40"/>
  </sheets>
  <externalReferences>
    <externalReference r:id="rId41"/>
  </externalReferences>
  <definedNames>
    <definedName name="_xlnm._FilterDatabase" localSheetId="19" hidden="1">'Almoxarife 2'!#REF!</definedName>
    <definedName name="_xlnm._FilterDatabase" localSheetId="14" hidden="1">'ASG 2'!#REF!</definedName>
    <definedName name="_xlnm._FilterDatabase" localSheetId="15" hidden="1">'ASG 3'!#REF!</definedName>
    <definedName name="_xlnm._FilterDatabase" localSheetId="16" hidden="1">'ASG 4'!#REF!</definedName>
    <definedName name="_xlnm._FilterDatabase" localSheetId="17" hidden="1">'ASG 5'!#REF!</definedName>
    <definedName name="_xlnm._FilterDatabase" localSheetId="18" hidden="1">'Caldereiro 3'!#REF!</definedName>
    <definedName name="_xlnm._FilterDatabase" localSheetId="28" hidden="1">'Cerim. 2'!#REF!</definedName>
    <definedName name="_xlnm._FilterDatabase" localSheetId="7" hidden="1">'Copeira 2'!#REF!</definedName>
    <definedName name="_xlnm._FilterDatabase" localSheetId="8" hidden="1">'Copeira 3'!#REF!</definedName>
    <definedName name="_xlnm._FilterDatabase" localSheetId="9" hidden="1">'Copeira 4'!#REF!</definedName>
    <definedName name="_xlnm._FilterDatabase" localSheetId="30" hidden="1">'Jardineiro 3'!#REF!</definedName>
    <definedName name="_xlnm._FilterDatabase" localSheetId="20" hidden="1">'Oficial 2'!#REF!</definedName>
    <definedName name="_xlnm._FilterDatabase" localSheetId="21" hidden="1">'Oficial 3'!#REF!</definedName>
    <definedName name="_xlnm._FilterDatabase" localSheetId="22" hidden="1">'Oficial 4'!#REF!</definedName>
    <definedName name="_xlnm._FilterDatabase" localSheetId="23" hidden="1">'Oficial 5'!#REF!</definedName>
    <definedName name="_xlnm._FilterDatabase" localSheetId="24" hidden="1">'Op. de maq. 2'!#REF!</definedName>
    <definedName name="_xlnm._FilterDatabase" localSheetId="25" hidden="1">'Op.de maq. 3'!#REF!</definedName>
    <definedName name="_xlnm._FilterDatabase" localSheetId="26" hidden="1">'Op.de maq. 4'!#REF!</definedName>
    <definedName name="_xlnm._FilterDatabase" localSheetId="27" hidden="1">'Op.de maq. 5'!#REF!</definedName>
    <definedName name="_xlnm._FilterDatabase" localSheetId="29" hidden="1">'Orçam 2'!#REF!</definedName>
    <definedName name="_xlnm._FilterDatabase" localSheetId="10" hidden="1">'Porteiro 2'!#REF!</definedName>
    <definedName name="_xlnm._FilterDatabase" localSheetId="11" hidden="1">'Porteiro 3'!#REF!</definedName>
    <definedName name="_xlnm._FilterDatabase" localSheetId="12" hidden="1">'Porteiro 4'!#REF!</definedName>
    <definedName name="_xlnm._FilterDatabase" localSheetId="13" hidden="1">'Porteiro 5'!#REF!</definedName>
    <definedName name="_xlnm._FilterDatabase" localSheetId="4" hidden="1">'Recepção 2'!#REF!</definedName>
    <definedName name="_xlnm._FilterDatabase" localSheetId="5" hidden="1">'Recepção 3'!#REF!</definedName>
    <definedName name="_xlnm._FilterDatabase" localSheetId="6" hidden="1">'Recepção 4'!#REF!</definedName>
    <definedName name="_xlnm._FilterDatabase" localSheetId="2" hidden="1">'Resumo PARCIAL'!$A$10:$BJ$81</definedName>
    <definedName name="_xlnm._FilterDatabase" localSheetId="3" hidden="1">'Super 2'!#REF!</definedName>
    <definedName name="_xlnm.Print_Area" localSheetId="1">'ADITIVO E APOSTILAMENTO'!$A$1:$CF$63</definedName>
    <definedName name="_xlnm.Print_Area" localSheetId="19">'Almoxarife 2'!$A$1:$E$139</definedName>
    <definedName name="_xlnm.Print_Area" localSheetId="14">'ASG 2'!$A$1:$E$139</definedName>
    <definedName name="_xlnm.Print_Area" localSheetId="15">'ASG 3'!$A$1:$E$139</definedName>
    <definedName name="_xlnm.Print_Area" localSheetId="16">'ASG 4'!$A$1:$E$139</definedName>
    <definedName name="_xlnm.Print_Area" localSheetId="17">'ASG 5'!$A$1:$E$139</definedName>
    <definedName name="_xlnm.Print_Area" localSheetId="18">'Caldereiro 3'!$A$1:$E$138</definedName>
    <definedName name="_xlnm.Print_Area" localSheetId="28">'Cerim. 2'!$A$1:$E$147</definedName>
    <definedName name="_xlnm.Print_Area" localSheetId="7">'Copeira 2'!$A$1:$E$139</definedName>
    <definedName name="_xlnm.Print_Area" localSheetId="8">'Copeira 3'!$A$1:$E$139</definedName>
    <definedName name="_xlnm.Print_Area" localSheetId="9">'Copeira 4'!$A$1:$E$139</definedName>
    <definedName name="_xlnm.Print_Area" localSheetId="30">'Jardineiro 3'!$A$1:$E$139</definedName>
    <definedName name="_xlnm.Print_Area" localSheetId="37">'Memoria de calculo'!$A$1:$D$77</definedName>
    <definedName name="_xlnm.Print_Area" localSheetId="38">'Memoria de calculo Lucro e Desp'!$A$1:$C$43</definedName>
    <definedName name="_xlnm.Print_Area" localSheetId="20">'Oficial 2'!$A$1:$E$138</definedName>
    <definedName name="_xlnm.Print_Area" localSheetId="21">'Oficial 3'!$A$1:$E$138</definedName>
    <definedName name="_xlnm.Print_Area" localSheetId="22">'Oficial 4'!$A$1:$E$138</definedName>
    <definedName name="_xlnm.Print_Area" localSheetId="23">'Oficial 5'!$A$1:$E$138</definedName>
    <definedName name="_xlnm.Print_Area" localSheetId="24">'Op. de maq. 2'!$A$1:$E$139</definedName>
    <definedName name="_xlnm.Print_Area" localSheetId="25">'Op.de maq. 3'!$A$1:$E$139</definedName>
    <definedName name="_xlnm.Print_Area" localSheetId="26">'Op.de maq. 4'!$A$1:$E$139</definedName>
    <definedName name="_xlnm.Print_Area" localSheetId="27">'Op.de maq. 5'!$A$1:$E$139</definedName>
    <definedName name="_xlnm.Print_Area" localSheetId="29">'Orçam 2'!$A$1:$E$139</definedName>
    <definedName name="_xlnm.Print_Area" localSheetId="10">'Porteiro 2'!$A$1:$E$139</definedName>
    <definedName name="_xlnm.Print_Area" localSheetId="11">'Porteiro 3'!$A$1:$E$139</definedName>
    <definedName name="_xlnm.Print_Area" localSheetId="12">'Porteiro 4'!$A$1:$E$139</definedName>
    <definedName name="_xlnm.Print_Area" localSheetId="13">'Porteiro 5'!$A$1:$E$139</definedName>
    <definedName name="_xlnm.Print_Area" localSheetId="4">'Recepção 2'!$A$1:$E$139</definedName>
    <definedName name="_xlnm.Print_Area" localSheetId="5">'Recepção 3'!$A$1:$E$139</definedName>
    <definedName name="_xlnm.Print_Area" localSheetId="6">'Recepção 4'!$A$1:$E$139</definedName>
    <definedName name="_xlnm.Print_Area" localSheetId="0">'REPACTUAÇÃO SIEMACO 2013'!$A$1:$R$63</definedName>
    <definedName name="_xlnm.Print_Area" localSheetId="2">'Resumo PARCIAL'!$B$1:$BC$235</definedName>
    <definedName name="_xlnm.Print_Area" localSheetId="3">'Super 2'!$A$1:$E$139</definedName>
  </definedNames>
  <calcPr calcId="145621"/>
</workbook>
</file>

<file path=xl/calcChain.xml><?xml version="1.0" encoding="utf-8"?>
<calcChain xmlns="http://schemas.openxmlformats.org/spreadsheetml/2006/main">
  <c r="CD20" i="53" l="1"/>
  <c r="CD17" i="53"/>
  <c r="CD16" i="53"/>
  <c r="CD15" i="53"/>
  <c r="CC20" i="53"/>
  <c r="CC17" i="53"/>
  <c r="CC16" i="53"/>
  <c r="CA16" i="53"/>
  <c r="CC14" i="53"/>
  <c r="AZ233" i="31"/>
  <c r="BA233" i="31" s="1"/>
  <c r="AY233" i="31"/>
  <c r="AU233" i="31"/>
  <c r="AV233" i="31" s="1"/>
  <c r="AW233" i="31" s="1"/>
  <c r="AT233" i="31"/>
  <c r="I233" i="31"/>
  <c r="J233" i="31" s="1"/>
  <c r="H233" i="31"/>
  <c r="AX234" i="31"/>
  <c r="AT234" i="31"/>
  <c r="AH234" i="31"/>
  <c r="AG234" i="31"/>
  <c r="AE234" i="31"/>
  <c r="X234" i="31"/>
  <c r="W234" i="31"/>
  <c r="U234" i="31"/>
  <c r="S234" i="31"/>
  <c r="R234" i="31"/>
  <c r="P234" i="31"/>
  <c r="L234" i="31"/>
  <c r="K234" i="31"/>
  <c r="J234" i="31"/>
  <c r="I234" i="31"/>
  <c r="F234" i="31"/>
  <c r="D234" i="31"/>
  <c r="AY228" i="31"/>
  <c r="AZ228" i="31" s="1"/>
  <c r="AV228" i="31"/>
  <c r="AW228" i="31" s="1"/>
  <c r="AU228" i="31"/>
  <c r="V228" i="31"/>
  <c r="W228" i="31" s="1"/>
  <c r="X228" i="31" s="1"/>
  <c r="R228" i="31"/>
  <c r="S228" i="31" s="1"/>
  <c r="H228" i="31"/>
  <c r="I228" i="31" s="1"/>
  <c r="AX229" i="31"/>
  <c r="AT229" i="31"/>
  <c r="AE229" i="31"/>
  <c r="X229" i="31"/>
  <c r="W229" i="31"/>
  <c r="U229" i="31"/>
  <c r="S229" i="31"/>
  <c r="R229" i="31"/>
  <c r="P229" i="31"/>
  <c r="L229" i="31"/>
  <c r="K229" i="31"/>
  <c r="J229" i="31"/>
  <c r="I229" i="31"/>
  <c r="F229" i="31"/>
  <c r="D229" i="31"/>
  <c r="AG229" i="31"/>
  <c r="AZ223" i="31"/>
  <c r="AX224" i="31"/>
  <c r="AT224" i="31"/>
  <c r="AE224" i="31"/>
  <c r="X224" i="31"/>
  <c r="W224" i="31"/>
  <c r="U224" i="31"/>
  <c r="S224" i="31"/>
  <c r="R224" i="31"/>
  <c r="P224" i="31"/>
  <c r="L224" i="31"/>
  <c r="K224" i="31"/>
  <c r="J224" i="31"/>
  <c r="I224" i="31"/>
  <c r="F224" i="31"/>
  <c r="D224" i="31"/>
  <c r="AZ224" i="31"/>
  <c r="AY223" i="31"/>
  <c r="AU223" i="31"/>
  <c r="AV223" i="31" s="1"/>
  <c r="AG223" i="31"/>
  <c r="AG224" i="31" s="1"/>
  <c r="I223" i="31"/>
  <c r="J223" i="31" s="1"/>
  <c r="BA219" i="31"/>
  <c r="AZ219" i="31"/>
  <c r="AY219" i="31"/>
  <c r="AX219" i="31"/>
  <c r="AT219" i="31"/>
  <c r="AE219" i="31"/>
  <c r="X219" i="31"/>
  <c r="W219" i="31"/>
  <c r="U219" i="31"/>
  <c r="S219" i="31"/>
  <c r="R219" i="31"/>
  <c r="P219" i="31"/>
  <c r="L219" i="31"/>
  <c r="K219" i="31"/>
  <c r="J219" i="31"/>
  <c r="I219" i="31"/>
  <c r="F219" i="31"/>
  <c r="D219" i="31"/>
  <c r="AW219" i="31"/>
  <c r="AH219" i="31"/>
  <c r="AG219" i="31"/>
  <c r="AY199" i="31"/>
  <c r="AZ199" i="31" s="1"/>
  <c r="BA199" i="31" s="1"/>
  <c r="AU199" i="31"/>
  <c r="AT199" i="31"/>
  <c r="H199" i="31"/>
  <c r="I199" i="31" s="1"/>
  <c r="L199" i="31" s="1"/>
  <c r="L233" i="31" l="1"/>
  <c r="AZ234" i="31"/>
  <c r="AV234" i="31"/>
  <c r="AW234" i="31"/>
  <c r="BA234" i="31"/>
  <c r="L228" i="31"/>
  <c r="J228" i="31"/>
  <c r="BA228" i="31"/>
  <c r="AZ229" i="31"/>
  <c r="AV229" i="31"/>
  <c r="AW229" i="31"/>
  <c r="AH229" i="31"/>
  <c r="BA229" i="31"/>
  <c r="AV224" i="31"/>
  <c r="AW223" i="31"/>
  <c r="AW224" i="31" s="1"/>
  <c r="AH223" i="31"/>
  <c r="AH224" i="31" s="1"/>
  <c r="BA223" i="31"/>
  <c r="BA224" i="31" s="1"/>
  <c r="AV199" i="31"/>
  <c r="AW199" i="31" s="1"/>
  <c r="AV219" i="31"/>
  <c r="J199" i="31"/>
  <c r="BV27" i="53" l="1"/>
  <c r="BV26" i="53"/>
  <c r="O24" i="53"/>
  <c r="O23" i="53"/>
  <c r="O22" i="53"/>
  <c r="O20" i="53"/>
  <c r="O21" i="53"/>
  <c r="O19" i="53"/>
  <c r="O18" i="53"/>
  <c r="O17" i="53"/>
  <c r="O16" i="53"/>
  <c r="O15" i="53"/>
  <c r="O14" i="53"/>
  <c r="O13" i="53" l="1"/>
  <c r="AX12" i="31" l="1"/>
  <c r="AY213" i="31"/>
  <c r="AX214" i="31"/>
  <c r="AT214" i="31"/>
  <c r="AE214" i="31"/>
  <c r="X214" i="31"/>
  <c r="W214" i="31"/>
  <c r="U214" i="31"/>
  <c r="S214" i="31"/>
  <c r="R214" i="31"/>
  <c r="P214" i="31"/>
  <c r="L214" i="31"/>
  <c r="K214" i="31"/>
  <c r="J214" i="31"/>
  <c r="I214" i="31"/>
  <c r="F214" i="31"/>
  <c r="D214" i="31"/>
  <c r="AU213" i="31"/>
  <c r="AV213" i="31" s="1"/>
  <c r="AG213" i="31"/>
  <c r="AH213" i="31" s="1"/>
  <c r="AH214" i="31" s="1"/>
  <c r="I213" i="31"/>
  <c r="J213" i="31" s="1"/>
  <c r="AV214" i="31" l="1"/>
  <c r="AW213" i="31"/>
  <c r="AW214" i="31" s="1"/>
  <c r="AG214" i="31"/>
  <c r="D36" i="36" l="1"/>
  <c r="D36" i="33"/>
  <c r="D36" i="8"/>
  <c r="AX209" i="31" l="1"/>
  <c r="AX189" i="31" l="1"/>
  <c r="CA24" i="53"/>
  <c r="CA23" i="53"/>
  <c r="CA22" i="53"/>
  <c r="CA21" i="53"/>
  <c r="CA20" i="53"/>
  <c r="CA15" i="53"/>
  <c r="CA14" i="53"/>
  <c r="AX205" i="31"/>
  <c r="R130" i="31" l="1"/>
  <c r="S130" i="31" s="1"/>
  <c r="BT25" i="53" l="1"/>
  <c r="AX200" i="31" l="1"/>
  <c r="AX194" i="31"/>
  <c r="AX180" i="31"/>
  <c r="AX172" i="31"/>
  <c r="AX161" i="31"/>
  <c r="AX153" i="31"/>
  <c r="AX142" i="31"/>
  <c r="AX133" i="31"/>
  <c r="AX125" i="31"/>
  <c r="AZ124" i="31"/>
  <c r="BA124" i="31" s="1"/>
  <c r="AX115" i="31"/>
  <c r="AX107" i="31"/>
  <c r="AX99" i="31"/>
  <c r="AX89" i="31"/>
  <c r="AZ88" i="31"/>
  <c r="BA88" i="31" s="1"/>
  <c r="AX81" i="31"/>
  <c r="AZ80" i="31"/>
  <c r="BA80" i="31" s="1"/>
  <c r="CA17" i="53"/>
  <c r="AY65" i="31"/>
  <c r="AZ65" i="31" s="1"/>
  <c r="BA65" i="31" s="1"/>
  <c r="AY42" i="31"/>
  <c r="AZ42" i="31" s="1"/>
  <c r="BA42" i="31" s="1"/>
  <c r="AX19" i="31"/>
  <c r="AX18" i="31"/>
  <c r="AX17" i="31"/>
  <c r="AX15" i="31"/>
  <c r="AX14" i="31"/>
  <c r="AX13" i="31"/>
  <c r="AX11" i="31"/>
  <c r="CA13" i="53" s="1"/>
  <c r="AX21" i="31" l="1"/>
  <c r="Q188" i="31"/>
  <c r="R188" i="31" s="1"/>
  <c r="S188" i="31" s="1"/>
  <c r="AT200" i="31" l="1"/>
  <c r="AE200" i="31"/>
  <c r="X200" i="31"/>
  <c r="W200" i="31"/>
  <c r="U200" i="31"/>
  <c r="S200" i="31"/>
  <c r="R200" i="31"/>
  <c r="P200" i="31"/>
  <c r="L200" i="31"/>
  <c r="K200" i="31"/>
  <c r="J200" i="31"/>
  <c r="I200" i="31"/>
  <c r="F200" i="31"/>
  <c r="D200" i="31"/>
  <c r="AG198" i="31"/>
  <c r="AG200" i="31" s="1"/>
  <c r="I198" i="31"/>
  <c r="J198" i="31" s="1"/>
  <c r="AT194" i="31"/>
  <c r="AE194" i="31"/>
  <c r="X194" i="31"/>
  <c r="W194" i="31"/>
  <c r="U194" i="31"/>
  <c r="S194" i="31"/>
  <c r="R194" i="31"/>
  <c r="P194" i="31"/>
  <c r="L194" i="31"/>
  <c r="K194" i="31"/>
  <c r="F194" i="31"/>
  <c r="D194" i="31"/>
  <c r="I194" i="31"/>
  <c r="AG193" i="31"/>
  <c r="I193" i="31"/>
  <c r="J193" i="31" s="1"/>
  <c r="F113" i="55"/>
  <c r="C94" i="55"/>
  <c r="C81" i="55"/>
  <c r="C80" i="55"/>
  <c r="C73" i="55"/>
  <c r="C74" i="55" s="1"/>
  <c r="C67" i="55"/>
  <c r="C69" i="55" s="1"/>
  <c r="C101" i="55" s="1"/>
  <c r="D56" i="55"/>
  <c r="D55" i="55"/>
  <c r="D48" i="55"/>
  <c r="D47" i="55"/>
  <c r="D46" i="55"/>
  <c r="D45" i="55"/>
  <c r="D44" i="55"/>
  <c r="D37" i="55"/>
  <c r="D29" i="55"/>
  <c r="D43" i="55" s="1"/>
  <c r="C23" i="55"/>
  <c r="AS22" i="31"/>
  <c r="D49" i="55" l="1"/>
  <c r="D121" i="55" s="1"/>
  <c r="AH198" i="31"/>
  <c r="AH200" i="31" s="1"/>
  <c r="AG194" i="31"/>
  <c r="AH193" i="31"/>
  <c r="AH194" i="31" s="1"/>
  <c r="J194" i="31"/>
  <c r="D38" i="55"/>
  <c r="D39" i="55" s="1"/>
  <c r="C75" i="55"/>
  <c r="C76" i="55" s="1"/>
  <c r="C100" i="55" s="1"/>
  <c r="C83" i="55"/>
  <c r="C85" i="55" s="1"/>
  <c r="C102" i="55" s="1"/>
  <c r="C95" i="55"/>
  <c r="C96" i="55" s="1"/>
  <c r="C103" i="55" s="1"/>
  <c r="D120" i="55" l="1"/>
  <c r="D92" i="55"/>
  <c r="D90" i="55"/>
  <c r="D88" i="55"/>
  <c r="D83" i="55"/>
  <c r="D82" i="55"/>
  <c r="D75" i="55"/>
  <c r="D73" i="55"/>
  <c r="D72" i="55"/>
  <c r="D67" i="55"/>
  <c r="D66" i="55"/>
  <c r="D64" i="55"/>
  <c r="D62" i="55"/>
  <c r="D103" i="55"/>
  <c r="D102" i="55"/>
  <c r="D101" i="55"/>
  <c r="D100" i="55"/>
  <c r="D95" i="55"/>
  <c r="D94" i="55"/>
  <c r="D93" i="55"/>
  <c r="D91" i="55"/>
  <c r="D89" i="55"/>
  <c r="D84" i="55"/>
  <c r="D81" i="55"/>
  <c r="D80" i="55"/>
  <c r="D79" i="55"/>
  <c r="D85" i="55" s="1"/>
  <c r="D68" i="55"/>
  <c r="D65" i="55"/>
  <c r="D63" i="55"/>
  <c r="D61" i="55"/>
  <c r="D69" i="55" s="1"/>
  <c r="C105" i="55"/>
  <c r="D105" i="55" s="1"/>
  <c r="D74" i="55" l="1"/>
  <c r="D96" i="55"/>
  <c r="D123" i="55"/>
  <c r="D76" i="55"/>
  <c r="D29" i="13" l="1"/>
  <c r="D38" i="13" s="1"/>
  <c r="P13" i="53" l="1"/>
  <c r="P14" i="53"/>
  <c r="P15" i="53"/>
  <c r="P16" i="53"/>
  <c r="P17" i="53"/>
  <c r="P18" i="53"/>
  <c r="P19" i="53"/>
  <c r="P20" i="53"/>
  <c r="P21" i="53"/>
  <c r="P22" i="53"/>
  <c r="P23" i="53"/>
  <c r="P24" i="53"/>
  <c r="N25" i="53"/>
  <c r="O25" i="53"/>
  <c r="D36" i="40"/>
  <c r="D36" i="32"/>
  <c r="D29" i="40"/>
  <c r="D38" i="40" s="1"/>
  <c r="D29" i="43"/>
  <c r="D38" i="43" s="1"/>
  <c r="D29" i="41"/>
  <c r="D38" i="41" s="1"/>
  <c r="D45" i="45"/>
  <c r="D45" i="37"/>
  <c r="D45" i="34"/>
  <c r="D45" i="23"/>
  <c r="D45" i="21"/>
  <c r="D45" i="24"/>
  <c r="D29" i="6"/>
  <c r="C23" i="6"/>
  <c r="D29" i="12"/>
  <c r="D29" i="29"/>
  <c r="D38" i="29" s="1"/>
  <c r="D29" i="46"/>
  <c r="D29" i="38"/>
  <c r="D29" i="35"/>
  <c r="D29" i="7"/>
  <c r="D29" i="44"/>
  <c r="D38" i="44" s="1"/>
  <c r="D29" i="42"/>
  <c r="D38" i="42" s="1"/>
  <c r="D29" i="39"/>
  <c r="D38" i="39" s="1"/>
  <c r="D29" i="4"/>
  <c r="D29" i="36"/>
  <c r="D38" i="36" s="1"/>
  <c r="C23" i="36"/>
  <c r="D29" i="33"/>
  <c r="D38" i="33" s="1"/>
  <c r="C23" i="33"/>
  <c r="D29" i="8"/>
  <c r="D38" i="8" s="1"/>
  <c r="C23" i="8"/>
  <c r="D29" i="5"/>
  <c r="D38" i="5" s="1"/>
  <c r="D48" i="6"/>
  <c r="D47" i="6"/>
  <c r="D46" i="6"/>
  <c r="D45" i="6"/>
  <c r="D44" i="6"/>
  <c r="D48" i="12"/>
  <c r="D47" i="12"/>
  <c r="D46" i="12"/>
  <c r="D45" i="12"/>
  <c r="D44" i="12"/>
  <c r="D48" i="29"/>
  <c r="D47" i="29"/>
  <c r="D46" i="29"/>
  <c r="D45" i="29"/>
  <c r="D44" i="29"/>
  <c r="D48" i="46"/>
  <c r="D47" i="46"/>
  <c r="D46" i="46"/>
  <c r="D45" i="46"/>
  <c r="D44" i="46"/>
  <c r="D48" i="38"/>
  <c r="D47" i="38"/>
  <c r="D46" i="38"/>
  <c r="D45" i="38"/>
  <c r="D44" i="38"/>
  <c r="D48" i="35"/>
  <c r="D47" i="35"/>
  <c r="D46" i="35"/>
  <c r="D45" i="35"/>
  <c r="D44" i="35"/>
  <c r="D48" i="7"/>
  <c r="D47" i="7"/>
  <c r="D46" i="7"/>
  <c r="D45" i="7"/>
  <c r="D44" i="7"/>
  <c r="D48" i="44"/>
  <c r="D47" i="44"/>
  <c r="D46" i="44"/>
  <c r="D45" i="44"/>
  <c r="D44" i="44"/>
  <c r="D48" i="42"/>
  <c r="D47" i="42"/>
  <c r="D46" i="42"/>
  <c r="D45" i="42"/>
  <c r="D44" i="42"/>
  <c r="D48" i="39"/>
  <c r="D47" i="39"/>
  <c r="D46" i="39"/>
  <c r="D45" i="39"/>
  <c r="D44" i="39"/>
  <c r="D48" i="4"/>
  <c r="D47" i="4"/>
  <c r="D46" i="4"/>
  <c r="D45" i="4"/>
  <c r="D44" i="4"/>
  <c r="D48" i="36"/>
  <c r="D47" i="36"/>
  <c r="D46" i="36"/>
  <c r="D45" i="36"/>
  <c r="D44" i="36"/>
  <c r="D48" i="33"/>
  <c r="D47" i="33"/>
  <c r="D46" i="33"/>
  <c r="D45" i="33"/>
  <c r="D44" i="33"/>
  <c r="D48" i="8"/>
  <c r="D47" i="8"/>
  <c r="D46" i="8"/>
  <c r="D45" i="8"/>
  <c r="D44" i="8"/>
  <c r="D48" i="41"/>
  <c r="D47" i="41"/>
  <c r="D46" i="41"/>
  <c r="D45" i="41"/>
  <c r="D44" i="41"/>
  <c r="D48" i="43"/>
  <c r="D47" i="43"/>
  <c r="D46" i="43"/>
  <c r="D45" i="43"/>
  <c r="D44" i="43"/>
  <c r="D48" i="5"/>
  <c r="D47" i="5"/>
  <c r="D46" i="5"/>
  <c r="D45" i="5"/>
  <c r="D44" i="5"/>
  <c r="D48" i="40"/>
  <c r="D47" i="40"/>
  <c r="D46" i="40"/>
  <c r="D45" i="40"/>
  <c r="D44" i="40"/>
  <c r="D48" i="32"/>
  <c r="D47" i="32"/>
  <c r="D45" i="32"/>
  <c r="D44" i="32"/>
  <c r="D44" i="13"/>
  <c r="D44" i="15" s="1"/>
  <c r="D36" i="13"/>
  <c r="D29" i="32"/>
  <c r="D38" i="32" s="1"/>
  <c r="P25" i="53" l="1"/>
  <c r="D48" i="13"/>
  <c r="D48" i="15" s="1"/>
  <c r="D47" i="13"/>
  <c r="D47" i="15" s="1"/>
  <c r="D45" i="13"/>
  <c r="D46" i="15" s="1"/>
  <c r="C23" i="13"/>
  <c r="C23" i="15"/>
  <c r="D29" i="15" s="1"/>
  <c r="D38" i="15" s="1"/>
  <c r="C23" i="23" l="1"/>
  <c r="C23" i="34"/>
  <c r="C23" i="37"/>
  <c r="C23" i="45"/>
  <c r="D29" i="45"/>
  <c r="D44" i="45"/>
  <c r="D43" i="45"/>
  <c r="D29" i="37"/>
  <c r="D44" i="37"/>
  <c r="D43" i="37"/>
  <c r="D29" i="34"/>
  <c r="D44" i="34"/>
  <c r="D43" i="34"/>
  <c r="D44" i="23"/>
  <c r="D43" i="23"/>
  <c r="D29" i="23"/>
  <c r="D44" i="21" l="1"/>
  <c r="D43" i="21"/>
  <c r="C23" i="21"/>
  <c r="D29" i="21"/>
  <c r="D30" i="21" s="1"/>
  <c r="C23" i="24"/>
  <c r="D44" i="24"/>
  <c r="D43" i="24"/>
  <c r="D29" i="24"/>
  <c r="D42" i="24" s="1"/>
  <c r="K30" i="54"/>
  <c r="BA17" i="53" l="1"/>
  <c r="CA19" i="53" l="1"/>
  <c r="CA18" i="53"/>
  <c r="AT172" i="31" l="1"/>
  <c r="AT180" i="31"/>
  <c r="AT189" i="31"/>
  <c r="AT70" i="31"/>
  <c r="BA20" i="53"/>
  <c r="AT71" i="31"/>
  <c r="AT107" i="31"/>
  <c r="AN215" i="31"/>
  <c r="D38" i="53"/>
  <c r="BB20" i="53"/>
  <c r="BB15" i="53"/>
  <c r="BB17" i="53"/>
  <c r="BC17" i="53" s="1"/>
  <c r="BD17" i="53" s="1"/>
  <c r="BB18" i="53"/>
  <c r="BB19" i="53"/>
  <c r="BB24" i="53"/>
  <c r="BB13" i="53"/>
  <c r="M13" i="53"/>
  <c r="BA14" i="53"/>
  <c r="BA16" i="53"/>
  <c r="BA21" i="53"/>
  <c r="BA23" i="53"/>
  <c r="BA22" i="53"/>
  <c r="BA13" i="53"/>
  <c r="BA15" i="53"/>
  <c r="BA18" i="53"/>
  <c r="BA19" i="53"/>
  <c r="BA24" i="53"/>
  <c r="BA25" i="53" l="1"/>
  <c r="BC13" i="53"/>
  <c r="BD13" i="53" s="1"/>
  <c r="BC19" i="53"/>
  <c r="BD19" i="53" s="1"/>
  <c r="BC24" i="53"/>
  <c r="BD24" i="53" s="1"/>
  <c r="BC18" i="53"/>
  <c r="BD18" i="53" s="1"/>
  <c r="BC15" i="53"/>
  <c r="BD15" i="53" s="1"/>
  <c r="BC20" i="53"/>
  <c r="BD20" i="53" s="1"/>
  <c r="AT17" i="31"/>
  <c r="AT15" i="31"/>
  <c r="AT14" i="31"/>
  <c r="AT13" i="31"/>
  <c r="AT12" i="31"/>
  <c r="AT11" i="31"/>
  <c r="AT99" i="31"/>
  <c r="AG94" i="31" l="1"/>
  <c r="AH94" i="31" s="1"/>
  <c r="AG93" i="31"/>
  <c r="AH93" i="31" s="1"/>
  <c r="AB94" i="31"/>
  <c r="AB93" i="31"/>
  <c r="R94" i="31"/>
  <c r="S94" i="31" s="1"/>
  <c r="AG73" i="31"/>
  <c r="AH73" i="31" s="1"/>
  <c r="AG218" i="31"/>
  <c r="AH218" i="31" s="1"/>
  <c r="AB73" i="31"/>
  <c r="AC73" i="31" s="1"/>
  <c r="AB218" i="31"/>
  <c r="AC218" i="31" s="1"/>
  <c r="AH99" i="31" l="1"/>
  <c r="AG99" i="31"/>
  <c r="AT19" i="31"/>
  <c r="AI17" i="31" l="1"/>
  <c r="AV25" i="53" l="1"/>
  <c r="AU25" i="53"/>
  <c r="K25" i="53"/>
  <c r="L23" i="53"/>
  <c r="BB23" i="53" s="1"/>
  <c r="BC23" i="53" s="1"/>
  <c r="BD23" i="53" s="1"/>
  <c r="L22" i="53"/>
  <c r="BB22" i="53" s="1"/>
  <c r="BC22" i="53" s="1"/>
  <c r="BD22" i="53" s="1"/>
  <c r="L21" i="53"/>
  <c r="BB21" i="53" s="1"/>
  <c r="BC21" i="53" s="1"/>
  <c r="BD21" i="53" s="1"/>
  <c r="L16" i="53"/>
  <c r="BB16" i="53" s="1"/>
  <c r="BC16" i="53" s="1"/>
  <c r="BD16" i="53" s="1"/>
  <c r="AE189" i="31"/>
  <c r="AQ31" i="53" l="1"/>
  <c r="M24" i="53"/>
  <c r="M23" i="53"/>
  <c r="M22" i="53"/>
  <c r="M21" i="53"/>
  <c r="M17" i="53"/>
  <c r="M16" i="53"/>
  <c r="M15" i="53"/>
  <c r="C32" i="54" l="1"/>
  <c r="F3" i="54"/>
  <c r="F11" i="54"/>
  <c r="F10" i="54"/>
  <c r="D38" i="6" l="1"/>
  <c r="D38" i="12"/>
  <c r="D38" i="46"/>
  <c r="D38" i="38"/>
  <c r="D38" i="35"/>
  <c r="D38" i="7"/>
  <c r="D38" i="4"/>
  <c r="D37" i="36" l="1"/>
  <c r="D39" i="36" s="1"/>
  <c r="D37" i="33"/>
  <c r="D39" i="33" s="1"/>
  <c r="D46" i="32"/>
  <c r="D43" i="15"/>
  <c r="E29" i="15"/>
  <c r="AY31" i="53"/>
  <c r="C40" i="54"/>
  <c r="C39" i="54"/>
  <c r="C24" i="54"/>
  <c r="C25" i="54" s="1"/>
  <c r="C19" i="54"/>
  <c r="C20" i="54" s="1"/>
  <c r="AD13" i="31" l="1"/>
  <c r="AD21" i="31"/>
  <c r="AC215" i="31" l="1"/>
  <c r="AI23" i="53" l="1"/>
  <c r="AI21" i="53"/>
  <c r="AI14" i="53"/>
  <c r="AT20" i="31" l="1"/>
  <c r="AT18" i="31"/>
  <c r="CA25" i="53" l="1"/>
  <c r="AT21" i="31"/>
  <c r="AG20" i="53"/>
  <c r="J14" i="53" l="1"/>
  <c r="AJ14" i="53" s="1"/>
  <c r="J15" i="53"/>
  <c r="J16" i="53"/>
  <c r="J17" i="53"/>
  <c r="J21" i="53"/>
  <c r="AJ21" i="53" s="1"/>
  <c r="J22" i="53"/>
  <c r="J23" i="53"/>
  <c r="AJ23" i="53" s="1"/>
  <c r="J24" i="53"/>
  <c r="J13" i="53"/>
  <c r="AF22" i="53"/>
  <c r="AE22" i="53"/>
  <c r="AF15" i="53"/>
  <c r="AE15" i="53"/>
  <c r="AG18" i="53" l="1"/>
  <c r="AG17" i="53"/>
  <c r="AF13" i="53"/>
  <c r="AE13" i="53"/>
  <c r="AD13" i="53"/>
  <c r="AC24" i="53"/>
  <c r="AC23" i="53"/>
  <c r="AC20" i="53"/>
  <c r="AC19" i="53"/>
  <c r="AC18" i="53"/>
  <c r="AC17" i="53"/>
  <c r="AC16" i="53"/>
  <c r="AC14" i="53"/>
  <c r="AC13" i="53"/>
  <c r="I184" i="31"/>
  <c r="J184" i="31" s="1"/>
  <c r="I186" i="31"/>
  <c r="J186" i="31" s="1"/>
  <c r="U189" i="31"/>
  <c r="P189" i="31"/>
  <c r="F189" i="31"/>
  <c r="D189" i="31"/>
  <c r="S189" i="31"/>
  <c r="AT153" i="31"/>
  <c r="AV177" i="31"/>
  <c r="AT161" i="31"/>
  <c r="AT142" i="31"/>
  <c r="AT133" i="31"/>
  <c r="AT125" i="31"/>
  <c r="AT115" i="31"/>
  <c r="AT89" i="31"/>
  <c r="AT81" i="31"/>
  <c r="D12" i="31"/>
  <c r="R176" i="31"/>
  <c r="S176" i="31" s="1"/>
  <c r="I176" i="31"/>
  <c r="L176" i="31" s="1"/>
  <c r="Q139" i="31"/>
  <c r="R139" i="31" s="1"/>
  <c r="S139" i="31" s="1"/>
  <c r="K139" i="31"/>
  <c r="AV30" i="31"/>
  <c r="AW177" i="31" l="1"/>
  <c r="AC25" i="53"/>
  <c r="I189" i="31"/>
  <c r="L189" i="31"/>
  <c r="W189" i="31"/>
  <c r="X189" i="31"/>
  <c r="K189" i="31"/>
  <c r="R189" i="31"/>
  <c r="J176" i="31"/>
  <c r="AW30" i="31"/>
  <c r="M18" i="53" l="1"/>
  <c r="J189" i="31"/>
  <c r="G99" i="31" l="1"/>
  <c r="F99" i="31"/>
  <c r="G89" i="31"/>
  <c r="F89" i="31"/>
  <c r="F180" i="31"/>
  <c r="E80" i="31" l="1"/>
  <c r="F80" i="31" s="1"/>
  <c r="G80" i="31" s="1"/>
  <c r="E79" i="31"/>
  <c r="F79" i="31" s="1"/>
  <c r="G79" i="31" s="1"/>
  <c r="E78" i="31"/>
  <c r="F78" i="31" s="1"/>
  <c r="G78" i="31" s="1"/>
  <c r="E77" i="31"/>
  <c r="F77" i="31" s="1"/>
  <c r="G21" i="31"/>
  <c r="F21" i="31"/>
  <c r="F81" i="31" l="1"/>
  <c r="G77" i="31"/>
  <c r="G81" i="31" s="1"/>
  <c r="W13" i="53" l="1"/>
  <c r="Z13" i="53" s="1"/>
  <c r="AG13" i="53" s="1"/>
  <c r="U14" i="53"/>
  <c r="C44" i="45"/>
  <c r="C44" i="37"/>
  <c r="C44" i="34"/>
  <c r="C44" i="23"/>
  <c r="D31" i="24"/>
  <c r="D30" i="24"/>
  <c r="F29" i="24"/>
  <c r="C44" i="24" l="1"/>
  <c r="F33" i="29" l="1"/>
  <c r="X24" i="53" l="1"/>
  <c r="X23" i="53"/>
  <c r="X22" i="53"/>
  <c r="AI22" i="53" s="1"/>
  <c r="X21" i="53"/>
  <c r="Y21" i="53" s="1"/>
  <c r="X20" i="53"/>
  <c r="Y20" i="53" s="1"/>
  <c r="X19" i="53"/>
  <c r="Y19" i="53" s="1"/>
  <c r="X18" i="53"/>
  <c r="Y18" i="53" s="1"/>
  <c r="X17" i="53"/>
  <c r="Y17" i="53" s="1"/>
  <c r="X16" i="53"/>
  <c r="Y16" i="53" s="1"/>
  <c r="X15" i="53"/>
  <c r="X14" i="53"/>
  <c r="Y14" i="53" s="1"/>
  <c r="W24" i="53"/>
  <c r="Z24" i="53" s="1"/>
  <c r="AG24" i="53" s="1"/>
  <c r="W23" i="53"/>
  <c r="Z23" i="53" s="1"/>
  <c r="W22" i="53"/>
  <c r="Z22" i="53" s="1"/>
  <c r="W21" i="53"/>
  <c r="Z21" i="53" s="1"/>
  <c r="W17" i="53"/>
  <c r="Z17" i="53" s="1"/>
  <c r="W18" i="53"/>
  <c r="Z18" i="53" s="1"/>
  <c r="AG19" i="53" s="1"/>
  <c r="W19" i="53"/>
  <c r="Z19" i="53" s="1"/>
  <c r="W20" i="53"/>
  <c r="Z20" i="53" s="1"/>
  <c r="W16" i="53"/>
  <c r="Z16" i="53" s="1"/>
  <c r="AG16" i="53" s="1"/>
  <c r="W15" i="53"/>
  <c r="Z15" i="53" s="1"/>
  <c r="W14" i="53"/>
  <c r="Z14" i="53" s="1"/>
  <c r="Y24" i="53"/>
  <c r="Y23" i="53"/>
  <c r="X13" i="53"/>
  <c r="AG25" i="53" l="1"/>
  <c r="Z25" i="53"/>
  <c r="Y22" i="53"/>
  <c r="AJ22" i="53" s="1"/>
  <c r="Y15" i="53"/>
  <c r="W25" i="53"/>
  <c r="X25" i="53"/>
  <c r="Y13" i="53"/>
  <c r="Q25" i="53"/>
  <c r="U13" i="53"/>
  <c r="V13" i="53" s="1"/>
  <c r="V14" i="53"/>
  <c r="T14" i="53"/>
  <c r="T13" i="53"/>
  <c r="G25" i="53"/>
  <c r="T25" i="53" l="1"/>
  <c r="V25" i="53"/>
  <c r="V26" i="53" s="1"/>
  <c r="Y25" i="53"/>
  <c r="U25" i="53"/>
  <c r="AI27" i="53" s="1"/>
  <c r="AI28" i="53" s="1"/>
  <c r="AJ27" i="53" l="1"/>
  <c r="AJ28" i="53" s="1"/>
  <c r="V27" i="53"/>
  <c r="F33" i="53" l="1"/>
  <c r="G33" i="53" s="1"/>
  <c r="F32" i="53"/>
  <c r="G32" i="53" s="1"/>
  <c r="N12" i="31"/>
  <c r="G34" i="53" l="1"/>
  <c r="I123" i="31"/>
  <c r="R25" i="53" l="1"/>
  <c r="AE27" i="53" s="1"/>
  <c r="AE28" i="53" s="1"/>
  <c r="J123" i="31"/>
  <c r="S25" i="53" l="1"/>
  <c r="S26" i="53" l="1"/>
  <c r="AF27" i="53"/>
  <c r="AF28" i="53" s="1"/>
  <c r="S27" i="53"/>
  <c r="R44" i="31"/>
  <c r="F113" i="12" l="1"/>
  <c r="N11" i="31" l="1"/>
  <c r="N20" i="31"/>
  <c r="N19" i="31"/>
  <c r="N17" i="31"/>
  <c r="N15" i="31"/>
  <c r="N13" i="31"/>
  <c r="N16" i="31"/>
  <c r="N14" i="31"/>
  <c r="N21" i="31" l="1"/>
  <c r="P89" i="31" l="1"/>
  <c r="U21" i="31" l="1"/>
  <c r="R12" i="31" l="1"/>
  <c r="Q12" i="31" s="1"/>
  <c r="U180" i="31"/>
  <c r="U172" i="31"/>
  <c r="U153" i="31"/>
  <c r="U142" i="31"/>
  <c r="U125" i="31"/>
  <c r="U115" i="31"/>
  <c r="U107" i="31"/>
  <c r="U99" i="31"/>
  <c r="U89" i="31"/>
  <c r="R19" i="31"/>
  <c r="Q19" i="31" s="1"/>
  <c r="R17" i="31"/>
  <c r="Q17" i="31" s="1"/>
  <c r="R15" i="31"/>
  <c r="Q15" i="31" s="1"/>
  <c r="R14" i="31"/>
  <c r="Q14" i="31" s="1"/>
  <c r="R13" i="31"/>
  <c r="Q13" i="31" s="1"/>
  <c r="P180" i="31"/>
  <c r="Q179" i="31"/>
  <c r="R179" i="31" s="1"/>
  <c r="S179" i="31" s="1"/>
  <c r="Q178" i="31"/>
  <c r="R178" i="31" s="1"/>
  <c r="S178" i="31" s="1"/>
  <c r="R177" i="31"/>
  <c r="P172" i="31"/>
  <c r="Q171" i="31"/>
  <c r="R171" i="31" s="1"/>
  <c r="S171" i="31" s="1"/>
  <c r="Q170" i="31"/>
  <c r="R170" i="31" s="1"/>
  <c r="S170" i="31" s="1"/>
  <c r="R169" i="31"/>
  <c r="S169" i="31" s="1"/>
  <c r="Q168" i="31"/>
  <c r="R168" i="31" s="1"/>
  <c r="S168" i="31" s="1"/>
  <c r="Q166" i="31"/>
  <c r="R166" i="31" s="1"/>
  <c r="S166" i="31" s="1"/>
  <c r="Q165" i="31"/>
  <c r="R165" i="31" s="1"/>
  <c r="P161" i="31"/>
  <c r="Q160" i="31"/>
  <c r="R160" i="31" s="1"/>
  <c r="S160" i="31" s="1"/>
  <c r="Q159" i="31"/>
  <c r="R159" i="31" s="1"/>
  <c r="S159" i="31" s="1"/>
  <c r="Q158" i="31"/>
  <c r="R158" i="31" s="1"/>
  <c r="S158" i="31" s="1"/>
  <c r="Q157" i="31"/>
  <c r="R157" i="31" s="1"/>
  <c r="S157" i="31" s="1"/>
  <c r="P153" i="31"/>
  <c r="R152" i="31"/>
  <c r="S152" i="31" s="1"/>
  <c r="Q151" i="31"/>
  <c r="R151" i="31" s="1"/>
  <c r="S151" i="31" s="1"/>
  <c r="R150" i="31"/>
  <c r="S150" i="31" s="1"/>
  <c r="Q149" i="31"/>
  <c r="R149" i="31" s="1"/>
  <c r="S149" i="31" s="1"/>
  <c r="R148" i="31"/>
  <c r="S148" i="31" s="1"/>
  <c r="R147" i="31"/>
  <c r="S147" i="31" s="1"/>
  <c r="R146" i="31"/>
  <c r="P142" i="31"/>
  <c r="Q141" i="31"/>
  <c r="R141" i="31" s="1"/>
  <c r="S141" i="31" s="1"/>
  <c r="Q140" i="31"/>
  <c r="R140" i="31" s="1"/>
  <c r="S140" i="31" s="1"/>
  <c r="R138" i="31"/>
  <c r="S138" i="31" s="1"/>
  <c r="Q137" i="31"/>
  <c r="R137" i="31" s="1"/>
  <c r="S137" i="31" s="1"/>
  <c r="P133" i="31"/>
  <c r="Q132" i="31"/>
  <c r="R132" i="31" s="1"/>
  <c r="S132" i="31" s="1"/>
  <c r="Q131" i="31"/>
  <c r="R131" i="31" s="1"/>
  <c r="S131" i="31" s="1"/>
  <c r="Q129" i="31"/>
  <c r="R129" i="31" s="1"/>
  <c r="P125" i="31"/>
  <c r="R124" i="31"/>
  <c r="S124" i="31" s="1"/>
  <c r="R122" i="31"/>
  <c r="S122" i="31" s="1"/>
  <c r="Q121" i="31"/>
  <c r="R121" i="31" s="1"/>
  <c r="S121" i="31" s="1"/>
  <c r="R120" i="31"/>
  <c r="S120" i="31" s="1"/>
  <c r="Q119" i="31"/>
  <c r="R119" i="31" s="1"/>
  <c r="P115" i="31"/>
  <c r="Q114" i="31"/>
  <c r="R114" i="31" s="1"/>
  <c r="S114" i="31" s="1"/>
  <c r="R113" i="31"/>
  <c r="S113" i="31" s="1"/>
  <c r="R112" i="31"/>
  <c r="P107" i="31"/>
  <c r="R106" i="31"/>
  <c r="S106" i="31" s="1"/>
  <c r="Q105" i="31"/>
  <c r="R105" i="31" s="1"/>
  <c r="S105" i="31" s="1"/>
  <c r="R104" i="31"/>
  <c r="S104" i="31" s="1"/>
  <c r="R103" i="31"/>
  <c r="P99" i="31"/>
  <c r="Q98" i="31"/>
  <c r="R98" i="31" s="1"/>
  <c r="S98" i="31" s="1"/>
  <c r="R97" i="31"/>
  <c r="S97" i="31" s="1"/>
  <c r="R96" i="31"/>
  <c r="S96" i="31" s="1"/>
  <c r="R95" i="31"/>
  <c r="S95" i="31" s="1"/>
  <c r="R93" i="31"/>
  <c r="R88" i="31"/>
  <c r="S88" i="31" s="1"/>
  <c r="R87" i="31"/>
  <c r="S87" i="31" s="1"/>
  <c r="R85" i="31"/>
  <c r="P81" i="31"/>
  <c r="R80" i="31"/>
  <c r="S80" i="31" s="1"/>
  <c r="R79" i="31"/>
  <c r="S79" i="31" s="1"/>
  <c r="R78" i="31"/>
  <c r="S78" i="31" s="1"/>
  <c r="R77" i="31"/>
  <c r="S77" i="31" s="1"/>
  <c r="P21" i="31"/>
  <c r="R20" i="31"/>
  <c r="S20" i="31" s="1"/>
  <c r="R11" i="31"/>
  <c r="S12" i="31" l="1"/>
  <c r="S15" i="31"/>
  <c r="S13" i="31"/>
  <c r="S19" i="31"/>
  <c r="S14" i="31"/>
  <c r="S17" i="31"/>
  <c r="R133" i="31"/>
  <c r="R172" i="31"/>
  <c r="S161" i="31"/>
  <c r="R180" i="31"/>
  <c r="S177" i="31"/>
  <c r="S180" i="31" s="1"/>
  <c r="S165" i="31"/>
  <c r="S172" i="31" s="1"/>
  <c r="R161" i="31"/>
  <c r="R153" i="31"/>
  <c r="S146" i="31"/>
  <c r="S153" i="31" s="1"/>
  <c r="S142" i="31"/>
  <c r="R142" i="31"/>
  <c r="S129" i="31"/>
  <c r="S133" i="31" s="1"/>
  <c r="R125" i="31"/>
  <c r="S119" i="31"/>
  <c r="S125" i="31" s="1"/>
  <c r="R115" i="31"/>
  <c r="S112" i="31"/>
  <c r="S115" i="31" s="1"/>
  <c r="S103" i="31"/>
  <c r="S107" i="31" s="1"/>
  <c r="R107" i="31"/>
  <c r="R99" i="31"/>
  <c r="S93" i="31"/>
  <c r="S99" i="31" s="1"/>
  <c r="R89" i="31"/>
  <c r="S85" i="31"/>
  <c r="S89" i="31" s="1"/>
  <c r="S81" i="31"/>
  <c r="R81" i="31"/>
  <c r="S11" i="31"/>
  <c r="D103" i="50"/>
  <c r="D106" i="50" s="1"/>
  <c r="C32" i="51" l="1"/>
  <c r="B23" i="51"/>
  <c r="C22" i="51"/>
  <c r="C21" i="51"/>
  <c r="C20" i="51"/>
  <c r="C19" i="51"/>
  <c r="C18" i="51"/>
  <c r="C17" i="51"/>
  <c r="C16" i="51"/>
  <c r="C15" i="51"/>
  <c r="C23" i="51" s="1"/>
  <c r="C14" i="51"/>
  <c r="B92" i="50"/>
  <c r="C91" i="50"/>
  <c r="C90" i="50"/>
  <c r="C89" i="50"/>
  <c r="C88" i="50"/>
  <c r="C87" i="50"/>
  <c r="C86" i="50"/>
  <c r="C85" i="50"/>
  <c r="C84" i="50"/>
  <c r="C83" i="50"/>
  <c r="B43" i="50"/>
  <c r="B28" i="50"/>
  <c r="B16" i="50"/>
  <c r="D19" i="25"/>
  <c r="D13" i="26"/>
  <c r="E3" i="25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9" i="27"/>
  <c r="D141" i="29"/>
  <c r="C92" i="50" l="1"/>
  <c r="D4" i="49"/>
  <c r="D5" i="49"/>
  <c r="D6" i="49"/>
  <c r="D7" i="49"/>
  <c r="D8" i="49"/>
  <c r="D3" i="49"/>
  <c r="D15" i="48"/>
  <c r="D16" i="48"/>
  <c r="D17" i="48"/>
  <c r="D18" i="48"/>
  <c r="D19" i="48"/>
  <c r="D14" i="48"/>
  <c r="D5" i="48"/>
  <c r="D6" i="48"/>
  <c r="D7" i="48"/>
  <c r="D8" i="48"/>
  <c r="D4" i="48"/>
  <c r="D9" i="49" l="1"/>
  <c r="D10" i="49" s="1"/>
  <c r="D20" i="48"/>
  <c r="D21" i="48" s="1"/>
  <c r="D9" i="48"/>
  <c r="D10" i="48" s="1"/>
  <c r="F113" i="46"/>
  <c r="C94" i="46"/>
  <c r="C81" i="46"/>
  <c r="C80" i="46"/>
  <c r="C73" i="46"/>
  <c r="C74" i="46" s="1"/>
  <c r="C67" i="46"/>
  <c r="C69" i="46" s="1"/>
  <c r="F45" i="46"/>
  <c r="D43" i="46"/>
  <c r="D49" i="46" s="1"/>
  <c r="D121" i="46" s="1"/>
  <c r="D37" i="46"/>
  <c r="D39" i="46" s="1"/>
  <c r="F112" i="45"/>
  <c r="C93" i="45"/>
  <c r="C80" i="45"/>
  <c r="C79" i="45"/>
  <c r="C73" i="45"/>
  <c r="C72" i="45"/>
  <c r="C68" i="45"/>
  <c r="C66" i="45"/>
  <c r="D47" i="45"/>
  <c r="D46" i="45"/>
  <c r="D37" i="45"/>
  <c r="D30" i="45"/>
  <c r="D42" i="45"/>
  <c r="D133" i="44"/>
  <c r="F113" i="44"/>
  <c r="C94" i="44"/>
  <c r="C81" i="44"/>
  <c r="C80" i="44"/>
  <c r="C73" i="44"/>
  <c r="C74" i="44" s="1"/>
  <c r="C67" i="44"/>
  <c r="C69" i="44" s="1"/>
  <c r="D55" i="44"/>
  <c r="D54" i="44"/>
  <c r="D53" i="44"/>
  <c r="F45" i="44"/>
  <c r="D43" i="44"/>
  <c r="D49" i="44" s="1"/>
  <c r="D121" i="44" s="1"/>
  <c r="D37" i="44"/>
  <c r="D39" i="44" s="1"/>
  <c r="F113" i="43"/>
  <c r="C94" i="43"/>
  <c r="C81" i="43"/>
  <c r="C80" i="43"/>
  <c r="C73" i="43"/>
  <c r="C74" i="43" s="1"/>
  <c r="C67" i="43"/>
  <c r="C69" i="43" s="1"/>
  <c r="D55" i="43"/>
  <c r="D54" i="43"/>
  <c r="D53" i="43"/>
  <c r="D57" i="43" s="1"/>
  <c r="D122" i="43" s="1"/>
  <c r="D43" i="43"/>
  <c r="D49" i="43" s="1"/>
  <c r="D121" i="43" s="1"/>
  <c r="D37" i="43"/>
  <c r="D39" i="43" s="1"/>
  <c r="D133" i="42"/>
  <c r="F113" i="42"/>
  <c r="C94" i="42"/>
  <c r="C81" i="42"/>
  <c r="C80" i="42"/>
  <c r="C73" i="42"/>
  <c r="C74" i="42" s="1"/>
  <c r="C67" i="42"/>
  <c r="C69" i="42" s="1"/>
  <c r="D55" i="42"/>
  <c r="D54" i="42"/>
  <c r="D53" i="42"/>
  <c r="D57" i="42" s="1"/>
  <c r="D122" i="42" s="1"/>
  <c r="F45" i="42"/>
  <c r="D43" i="42"/>
  <c r="D49" i="42" s="1"/>
  <c r="D121" i="42" s="1"/>
  <c r="D37" i="42"/>
  <c r="D39" i="42" s="1"/>
  <c r="F113" i="41"/>
  <c r="C94" i="41"/>
  <c r="C81" i="41"/>
  <c r="C80" i="41"/>
  <c r="C74" i="41"/>
  <c r="C73" i="41"/>
  <c r="C67" i="41"/>
  <c r="C69" i="41" s="1"/>
  <c r="D55" i="41"/>
  <c r="D54" i="41"/>
  <c r="D53" i="41"/>
  <c r="D43" i="41"/>
  <c r="D49" i="41" s="1"/>
  <c r="D121" i="41" s="1"/>
  <c r="D37" i="41"/>
  <c r="D39" i="41" s="1"/>
  <c r="F113" i="40"/>
  <c r="C94" i="40"/>
  <c r="C81" i="40"/>
  <c r="C80" i="40"/>
  <c r="C73" i="40"/>
  <c r="C74" i="40" s="1"/>
  <c r="C67" i="40"/>
  <c r="C69" i="40" s="1"/>
  <c r="D56" i="40"/>
  <c r="D55" i="40"/>
  <c r="D54" i="40"/>
  <c r="D43" i="40"/>
  <c r="D49" i="40" s="1"/>
  <c r="D121" i="40" s="1"/>
  <c r="D37" i="40"/>
  <c r="D39" i="40" s="1"/>
  <c r="D133" i="39"/>
  <c r="F113" i="39"/>
  <c r="C94" i="39"/>
  <c r="C81" i="39"/>
  <c r="C80" i="39"/>
  <c r="C73" i="39"/>
  <c r="C74" i="39" s="1"/>
  <c r="C67" i="39"/>
  <c r="C69" i="39" s="1"/>
  <c r="D55" i="39"/>
  <c r="D54" i="39"/>
  <c r="D53" i="39"/>
  <c r="F45" i="39"/>
  <c r="D43" i="39"/>
  <c r="D49" i="39" s="1"/>
  <c r="D121" i="39" s="1"/>
  <c r="D37" i="39"/>
  <c r="D39" i="39" s="1"/>
  <c r="F113" i="38"/>
  <c r="C94" i="38"/>
  <c r="C81" i="38"/>
  <c r="C80" i="38"/>
  <c r="C73" i="38"/>
  <c r="C74" i="38" s="1"/>
  <c r="C67" i="38"/>
  <c r="C69" i="38" s="1"/>
  <c r="F45" i="38"/>
  <c r="D43" i="38"/>
  <c r="D49" i="38" s="1"/>
  <c r="D121" i="38" s="1"/>
  <c r="D37" i="38"/>
  <c r="D39" i="38" s="1"/>
  <c r="F112" i="37"/>
  <c r="C93" i="37"/>
  <c r="C80" i="37"/>
  <c r="C79" i="37"/>
  <c r="C72" i="37"/>
  <c r="C73" i="37" s="1"/>
  <c r="C66" i="37"/>
  <c r="C68" i="37" s="1"/>
  <c r="D47" i="37"/>
  <c r="D46" i="37"/>
  <c r="D37" i="37"/>
  <c r="D30" i="37"/>
  <c r="F113" i="36"/>
  <c r="C94" i="36"/>
  <c r="C81" i="36"/>
  <c r="C80" i="36"/>
  <c r="C73" i="36"/>
  <c r="C74" i="36" s="1"/>
  <c r="C67" i="36"/>
  <c r="C69" i="36" s="1"/>
  <c r="D56" i="36"/>
  <c r="D55" i="36"/>
  <c r="D43" i="36"/>
  <c r="D49" i="36" s="1"/>
  <c r="D121" i="36" s="1"/>
  <c r="F113" i="35"/>
  <c r="C94" i="35"/>
  <c r="C81" i="35"/>
  <c r="C80" i="35"/>
  <c r="C73" i="35"/>
  <c r="C74" i="35" s="1"/>
  <c r="C69" i="35"/>
  <c r="C95" i="35" s="1"/>
  <c r="C96" i="35" s="1"/>
  <c r="C103" i="35" s="1"/>
  <c r="C67" i="35"/>
  <c r="F45" i="35"/>
  <c r="D43" i="35"/>
  <c r="D49" i="35" s="1"/>
  <c r="D121" i="35" s="1"/>
  <c r="D37" i="35"/>
  <c r="D39" i="35" s="1"/>
  <c r="F112" i="34"/>
  <c r="C93" i="34"/>
  <c r="C80" i="34"/>
  <c r="C79" i="34"/>
  <c r="C72" i="34"/>
  <c r="C73" i="34" s="1"/>
  <c r="C66" i="34"/>
  <c r="C68" i="34" s="1"/>
  <c r="D47" i="34"/>
  <c r="D46" i="34"/>
  <c r="D37" i="34"/>
  <c r="D30" i="34"/>
  <c r="F113" i="33"/>
  <c r="C94" i="33"/>
  <c r="C81" i="33"/>
  <c r="C80" i="33"/>
  <c r="C73" i="33"/>
  <c r="C74" i="33" s="1"/>
  <c r="C67" i="33"/>
  <c r="C69" i="33" s="1"/>
  <c r="D56" i="33"/>
  <c r="D55" i="33"/>
  <c r="D43" i="33"/>
  <c r="F113" i="32"/>
  <c r="C94" i="32"/>
  <c r="C81" i="32"/>
  <c r="C80" i="32"/>
  <c r="C73" i="32"/>
  <c r="C74" i="32" s="1"/>
  <c r="C67" i="32"/>
  <c r="C69" i="32" s="1"/>
  <c r="D56" i="32"/>
  <c r="D55" i="32"/>
  <c r="D54" i="32"/>
  <c r="D43" i="32"/>
  <c r="D37" i="32"/>
  <c r="D39" i="32" s="1"/>
  <c r="D38" i="45" l="1"/>
  <c r="D57" i="39"/>
  <c r="D122" i="39" s="1"/>
  <c r="D57" i="41"/>
  <c r="D122" i="41" s="1"/>
  <c r="D49" i="33"/>
  <c r="D121" i="33" s="1"/>
  <c r="D57" i="44"/>
  <c r="D122" i="44" s="1"/>
  <c r="D49" i="32"/>
  <c r="D121" i="32" s="1"/>
  <c r="C53" i="6"/>
  <c r="C52" i="34"/>
  <c r="D52" i="34" s="1"/>
  <c r="C53" i="38"/>
  <c r="D53" i="38" s="1"/>
  <c r="C52" i="23"/>
  <c r="C53" i="35"/>
  <c r="D53" i="35" s="1"/>
  <c r="C52" i="45"/>
  <c r="D52" i="45" s="1"/>
  <c r="C53" i="7"/>
  <c r="C52" i="37"/>
  <c r="D52" i="37" s="1"/>
  <c r="C53" i="46"/>
  <c r="D53" i="46" s="1"/>
  <c r="C52" i="24"/>
  <c r="D48" i="45"/>
  <c r="D120" i="45" s="1"/>
  <c r="D23" i="48"/>
  <c r="C95" i="33"/>
  <c r="C96" i="33" s="1"/>
  <c r="C103" i="33" s="1"/>
  <c r="C94" i="45"/>
  <c r="C95" i="45" s="1"/>
  <c r="C102" i="45" s="1"/>
  <c r="C95" i="43"/>
  <c r="C96" i="43" s="1"/>
  <c r="C103" i="43" s="1"/>
  <c r="D103" i="43" s="1"/>
  <c r="C95" i="32"/>
  <c r="C96" i="32" s="1"/>
  <c r="C103" i="32" s="1"/>
  <c r="D120" i="46"/>
  <c r="D92" i="46"/>
  <c r="D88" i="46"/>
  <c r="D72" i="46"/>
  <c r="D67" i="46"/>
  <c r="D64" i="46"/>
  <c r="D94" i="46"/>
  <c r="D91" i="46"/>
  <c r="D80" i="46"/>
  <c r="D63" i="46"/>
  <c r="D90" i="46"/>
  <c r="D82" i="46"/>
  <c r="D73" i="46"/>
  <c r="D66" i="46"/>
  <c r="D62" i="46"/>
  <c r="D93" i="46"/>
  <c r="D89" i="46"/>
  <c r="D84" i="46"/>
  <c r="D81" i="46"/>
  <c r="D79" i="46"/>
  <c r="D68" i="46"/>
  <c r="D65" i="46"/>
  <c r="D61" i="46"/>
  <c r="C95" i="46"/>
  <c r="C96" i="46" s="1"/>
  <c r="C103" i="46" s="1"/>
  <c r="D103" i="46" s="1"/>
  <c r="C83" i="46"/>
  <c r="C85" i="46" s="1"/>
  <c r="C102" i="46" s="1"/>
  <c r="D102" i="46" s="1"/>
  <c r="C101" i="46"/>
  <c r="D101" i="46" s="1"/>
  <c r="C75" i="46"/>
  <c r="C76" i="46" s="1"/>
  <c r="C100" i="46" s="1"/>
  <c r="D60" i="45"/>
  <c r="D64" i="45"/>
  <c r="D67" i="45"/>
  <c r="C74" i="45"/>
  <c r="C75" i="45" s="1"/>
  <c r="C99" i="45" s="1"/>
  <c r="D78" i="45"/>
  <c r="D80" i="45"/>
  <c r="D83" i="45"/>
  <c r="D88" i="45"/>
  <c r="D92" i="45"/>
  <c r="D61" i="45"/>
  <c r="D65" i="45"/>
  <c r="D72" i="45"/>
  <c r="D74" i="45"/>
  <c r="D81" i="45"/>
  <c r="D89" i="45"/>
  <c r="C100" i="45"/>
  <c r="D100" i="45" s="1"/>
  <c r="D62" i="45"/>
  <c r="D79" i="45"/>
  <c r="C82" i="45"/>
  <c r="C84" i="45" s="1"/>
  <c r="C101" i="45" s="1"/>
  <c r="D101" i="45" s="1"/>
  <c r="D90" i="45"/>
  <c r="D63" i="45"/>
  <c r="D66" i="45"/>
  <c r="D71" i="45"/>
  <c r="D82" i="45"/>
  <c r="D87" i="45"/>
  <c r="D91" i="45"/>
  <c r="D93" i="44"/>
  <c r="D89" i="44"/>
  <c r="D84" i="44"/>
  <c r="D81" i="44"/>
  <c r="D79" i="44"/>
  <c r="D68" i="44"/>
  <c r="D65" i="44"/>
  <c r="D61" i="44"/>
  <c r="D120" i="44"/>
  <c r="D92" i="44"/>
  <c r="D88" i="44"/>
  <c r="D72" i="44"/>
  <c r="D67" i="44"/>
  <c r="D64" i="44"/>
  <c r="D94" i="44"/>
  <c r="D91" i="44"/>
  <c r="D80" i="44"/>
  <c r="D63" i="44"/>
  <c r="D90" i="44"/>
  <c r="D82" i="44"/>
  <c r="D73" i="44"/>
  <c r="D66" i="44"/>
  <c r="D62" i="44"/>
  <c r="C75" i="44"/>
  <c r="C76" i="44" s="1"/>
  <c r="C100" i="44" s="1"/>
  <c r="C101" i="44"/>
  <c r="D101" i="44" s="1"/>
  <c r="C83" i="44"/>
  <c r="C85" i="44" s="1"/>
  <c r="C102" i="44" s="1"/>
  <c r="D102" i="44" s="1"/>
  <c r="C95" i="44"/>
  <c r="C96" i="44" s="1"/>
  <c r="C103" i="44" s="1"/>
  <c r="D103" i="44" s="1"/>
  <c r="D120" i="43"/>
  <c r="D92" i="43"/>
  <c r="D88" i="43"/>
  <c r="D72" i="43"/>
  <c r="D67" i="43"/>
  <c r="D64" i="43"/>
  <c r="D94" i="43"/>
  <c r="D91" i="43"/>
  <c r="D80" i="43"/>
  <c r="D63" i="43"/>
  <c r="D90" i="43"/>
  <c r="D82" i="43"/>
  <c r="D73" i="43"/>
  <c r="D66" i="43"/>
  <c r="D62" i="43"/>
  <c r="D93" i="43"/>
  <c r="D89" i="43"/>
  <c r="D84" i="43"/>
  <c r="D81" i="43"/>
  <c r="D79" i="43"/>
  <c r="D68" i="43"/>
  <c r="D65" i="43"/>
  <c r="D61" i="43"/>
  <c r="C75" i="43"/>
  <c r="C76" i="43" s="1"/>
  <c r="C100" i="43" s="1"/>
  <c r="C101" i="43"/>
  <c r="D101" i="43" s="1"/>
  <c r="C83" i="43"/>
  <c r="C85" i="43" s="1"/>
  <c r="C102" i="43" s="1"/>
  <c r="D102" i="43" s="1"/>
  <c r="D93" i="42"/>
  <c r="D89" i="42"/>
  <c r="D84" i="42"/>
  <c r="D81" i="42"/>
  <c r="D79" i="42"/>
  <c r="D68" i="42"/>
  <c r="D65" i="42"/>
  <c r="D61" i="42"/>
  <c r="D120" i="42"/>
  <c r="D92" i="42"/>
  <c r="D88" i="42"/>
  <c r="D72" i="42"/>
  <c r="D67" i="42"/>
  <c r="D64" i="42"/>
  <c r="D94" i="42"/>
  <c r="D91" i="42"/>
  <c r="D80" i="42"/>
  <c r="D63" i="42"/>
  <c r="D90" i="42"/>
  <c r="D82" i="42"/>
  <c r="D73" i="42"/>
  <c r="D66" i="42"/>
  <c r="D62" i="42"/>
  <c r="C75" i="42"/>
  <c r="C76" i="42" s="1"/>
  <c r="C100" i="42" s="1"/>
  <c r="C101" i="42"/>
  <c r="D101" i="42" s="1"/>
  <c r="C83" i="42"/>
  <c r="C85" i="42" s="1"/>
  <c r="C102" i="42" s="1"/>
  <c r="D102" i="42" s="1"/>
  <c r="C95" i="42"/>
  <c r="C96" i="42" s="1"/>
  <c r="C103" i="42" s="1"/>
  <c r="D103" i="42" s="1"/>
  <c r="C95" i="41"/>
  <c r="C96" i="41" s="1"/>
  <c r="C103" i="41" s="1"/>
  <c r="D103" i="41" s="1"/>
  <c r="C83" i="41"/>
  <c r="C85" i="41" s="1"/>
  <c r="C102" i="41" s="1"/>
  <c r="D102" i="41" s="1"/>
  <c r="C101" i="41"/>
  <c r="C75" i="41"/>
  <c r="C76" i="41" s="1"/>
  <c r="C100" i="41" s="1"/>
  <c r="D120" i="41"/>
  <c r="D92" i="41"/>
  <c r="D88" i="41"/>
  <c r="D72" i="41"/>
  <c r="D67" i="41"/>
  <c r="D64" i="41"/>
  <c r="D101" i="41"/>
  <c r="D94" i="41"/>
  <c r="D91" i="41"/>
  <c r="D80" i="41"/>
  <c r="D63" i="41"/>
  <c r="D90" i="41"/>
  <c r="D82" i="41"/>
  <c r="D75" i="41"/>
  <c r="D73" i="41"/>
  <c r="D66" i="41"/>
  <c r="D62" i="41"/>
  <c r="D100" i="41"/>
  <c r="D93" i="41"/>
  <c r="D89" i="41"/>
  <c r="D84" i="41"/>
  <c r="D81" i="41"/>
  <c r="D79" i="41"/>
  <c r="D68" i="41"/>
  <c r="D65" i="41"/>
  <c r="D61" i="41"/>
  <c r="C95" i="40"/>
  <c r="C96" i="40" s="1"/>
  <c r="C103" i="40" s="1"/>
  <c r="D103" i="40" s="1"/>
  <c r="C83" i="40"/>
  <c r="C85" i="40" s="1"/>
  <c r="C102" i="40" s="1"/>
  <c r="D102" i="40" s="1"/>
  <c r="C101" i="40"/>
  <c r="C75" i="40"/>
  <c r="C76" i="40" s="1"/>
  <c r="C100" i="40" s="1"/>
  <c r="D100" i="40" s="1"/>
  <c r="D120" i="40"/>
  <c r="D92" i="40"/>
  <c r="D88" i="40"/>
  <c r="D83" i="40"/>
  <c r="D72" i="40"/>
  <c r="D67" i="40"/>
  <c r="D64" i="40"/>
  <c r="D101" i="40"/>
  <c r="D94" i="40"/>
  <c r="D91" i="40"/>
  <c r="D80" i="40"/>
  <c r="D63" i="40"/>
  <c r="D90" i="40"/>
  <c r="D82" i="40"/>
  <c r="D73" i="40"/>
  <c r="D66" i="40"/>
  <c r="D62" i="40"/>
  <c r="D93" i="40"/>
  <c r="D89" i="40"/>
  <c r="D84" i="40"/>
  <c r="D81" i="40"/>
  <c r="D79" i="40"/>
  <c r="D68" i="40"/>
  <c r="D65" i="40"/>
  <c r="D61" i="40"/>
  <c r="D93" i="39"/>
  <c r="D89" i="39"/>
  <c r="D84" i="39"/>
  <c r="D81" i="39"/>
  <c r="D79" i="39"/>
  <c r="D68" i="39"/>
  <c r="D65" i="39"/>
  <c r="D61" i="39"/>
  <c r="D120" i="39"/>
  <c r="D92" i="39"/>
  <c r="D88" i="39"/>
  <c r="D72" i="39"/>
  <c r="D67" i="39"/>
  <c r="D64" i="39"/>
  <c r="D94" i="39"/>
  <c r="D91" i="39"/>
  <c r="D80" i="39"/>
  <c r="D63" i="39"/>
  <c r="D90" i="39"/>
  <c r="D82" i="39"/>
  <c r="D73" i="39"/>
  <c r="D66" i="39"/>
  <c r="D62" i="39"/>
  <c r="C75" i="39"/>
  <c r="C76" i="39" s="1"/>
  <c r="C100" i="39" s="1"/>
  <c r="C101" i="39"/>
  <c r="D101" i="39" s="1"/>
  <c r="C83" i="39"/>
  <c r="D83" i="39" s="1"/>
  <c r="C95" i="39"/>
  <c r="C96" i="39" s="1"/>
  <c r="C103" i="39" s="1"/>
  <c r="D103" i="39" s="1"/>
  <c r="D120" i="38"/>
  <c r="D92" i="38"/>
  <c r="D88" i="38"/>
  <c r="D72" i="38"/>
  <c r="D67" i="38"/>
  <c r="D64" i="38"/>
  <c r="D94" i="38"/>
  <c r="D91" i="38"/>
  <c r="D80" i="38"/>
  <c r="D63" i="38"/>
  <c r="D90" i="38"/>
  <c r="D82" i="38"/>
  <c r="D73" i="38"/>
  <c r="D66" i="38"/>
  <c r="D62" i="38"/>
  <c r="D93" i="38"/>
  <c r="D89" i="38"/>
  <c r="D84" i="38"/>
  <c r="D81" i="38"/>
  <c r="D79" i="38"/>
  <c r="D68" i="38"/>
  <c r="D65" i="38"/>
  <c r="D61" i="38"/>
  <c r="C95" i="38"/>
  <c r="C96" i="38" s="1"/>
  <c r="C103" i="38" s="1"/>
  <c r="D103" i="38" s="1"/>
  <c r="C83" i="38"/>
  <c r="C85" i="38" s="1"/>
  <c r="C102" i="38" s="1"/>
  <c r="D102" i="38" s="1"/>
  <c r="C101" i="38"/>
  <c r="D101" i="38" s="1"/>
  <c r="C75" i="38"/>
  <c r="C76" i="38" s="1"/>
  <c r="C100" i="38" s="1"/>
  <c r="D100" i="38" s="1"/>
  <c r="C94" i="37"/>
  <c r="C95" i="37" s="1"/>
  <c r="C102" i="37" s="1"/>
  <c r="C82" i="37"/>
  <c r="C84" i="37" s="1"/>
  <c r="C101" i="37" s="1"/>
  <c r="C100" i="37"/>
  <c r="C74" i="37"/>
  <c r="C75" i="37" s="1"/>
  <c r="C99" i="37" s="1"/>
  <c r="D42" i="37"/>
  <c r="D48" i="37" s="1"/>
  <c r="D120" i="37" s="1"/>
  <c r="D38" i="37"/>
  <c r="C95" i="36"/>
  <c r="C96" i="36" s="1"/>
  <c r="C103" i="36" s="1"/>
  <c r="D103" i="36" s="1"/>
  <c r="C83" i="36"/>
  <c r="C85" i="36" s="1"/>
  <c r="C102" i="36" s="1"/>
  <c r="D102" i="36" s="1"/>
  <c r="C101" i="36"/>
  <c r="D101" i="36" s="1"/>
  <c r="C75" i="36"/>
  <c r="C76" i="36" s="1"/>
  <c r="C100" i="36" s="1"/>
  <c r="D120" i="36"/>
  <c r="D92" i="36"/>
  <c r="D88" i="36"/>
  <c r="D72" i="36"/>
  <c r="D67" i="36"/>
  <c r="D64" i="36"/>
  <c r="D89" i="36"/>
  <c r="D84" i="36"/>
  <c r="D79" i="36"/>
  <c r="D68" i="36"/>
  <c r="D65" i="36"/>
  <c r="D61" i="36"/>
  <c r="D94" i="36"/>
  <c r="D91" i="36"/>
  <c r="D80" i="36"/>
  <c r="D63" i="36"/>
  <c r="D90" i="36"/>
  <c r="D82" i="36"/>
  <c r="D75" i="36"/>
  <c r="D73" i="36"/>
  <c r="D66" i="36"/>
  <c r="D62" i="36"/>
  <c r="D100" i="36"/>
  <c r="D93" i="36"/>
  <c r="D81" i="36"/>
  <c r="D120" i="35"/>
  <c r="D92" i="35"/>
  <c r="D88" i="35"/>
  <c r="D72" i="35"/>
  <c r="D67" i="35"/>
  <c r="D64" i="35"/>
  <c r="D103" i="35"/>
  <c r="D94" i="35"/>
  <c r="D91" i="35"/>
  <c r="D80" i="35"/>
  <c r="D63" i="35"/>
  <c r="D90" i="35"/>
  <c r="D82" i="35"/>
  <c r="D73" i="35"/>
  <c r="D66" i="35"/>
  <c r="D62" i="35"/>
  <c r="D95" i="35"/>
  <c r="D93" i="35"/>
  <c r="D89" i="35"/>
  <c r="D84" i="35"/>
  <c r="D81" i="35"/>
  <c r="D79" i="35"/>
  <c r="D68" i="35"/>
  <c r="D65" i="35"/>
  <c r="D61" i="35"/>
  <c r="C75" i="35"/>
  <c r="C76" i="35" s="1"/>
  <c r="C100" i="35" s="1"/>
  <c r="D100" i="35" s="1"/>
  <c r="C101" i="35"/>
  <c r="D101" i="35" s="1"/>
  <c r="C83" i="35"/>
  <c r="C85" i="35" s="1"/>
  <c r="C102" i="35" s="1"/>
  <c r="D102" i="35" s="1"/>
  <c r="C94" i="34"/>
  <c r="C95" i="34" s="1"/>
  <c r="C102" i="34" s="1"/>
  <c r="C82" i="34"/>
  <c r="C84" i="34" s="1"/>
  <c r="C101" i="34" s="1"/>
  <c r="C100" i="34"/>
  <c r="C74" i="34"/>
  <c r="C75" i="34" s="1"/>
  <c r="C99" i="34" s="1"/>
  <c r="D38" i="34"/>
  <c r="D42" i="34"/>
  <c r="D48" i="34" s="1"/>
  <c r="D120" i="34" s="1"/>
  <c r="D120" i="33"/>
  <c r="D92" i="33"/>
  <c r="D88" i="33"/>
  <c r="D72" i="33"/>
  <c r="D67" i="33"/>
  <c r="D64" i="33"/>
  <c r="D103" i="33"/>
  <c r="D94" i="33"/>
  <c r="D91" i="33"/>
  <c r="D80" i="33"/>
  <c r="D63" i="33"/>
  <c r="D90" i="33"/>
  <c r="D82" i="33"/>
  <c r="D73" i="33"/>
  <c r="D66" i="33"/>
  <c r="D62" i="33"/>
  <c r="D95" i="33"/>
  <c r="D93" i="33"/>
  <c r="D89" i="33"/>
  <c r="D84" i="33"/>
  <c r="D81" i="33"/>
  <c r="D79" i="33"/>
  <c r="D68" i="33"/>
  <c r="D65" i="33"/>
  <c r="D61" i="33"/>
  <c r="C75" i="33"/>
  <c r="C76" i="33" s="1"/>
  <c r="C100" i="33" s="1"/>
  <c r="C101" i="33"/>
  <c r="D101" i="33" s="1"/>
  <c r="C83" i="33"/>
  <c r="C85" i="33" s="1"/>
  <c r="C102" i="33" s="1"/>
  <c r="D102" i="33" s="1"/>
  <c r="D120" i="32"/>
  <c r="D92" i="32"/>
  <c r="D88" i="32"/>
  <c r="D72" i="32"/>
  <c r="D67" i="32"/>
  <c r="D64" i="32"/>
  <c r="D103" i="32"/>
  <c r="D94" i="32"/>
  <c r="D91" i="32"/>
  <c r="D80" i="32"/>
  <c r="D63" i="32"/>
  <c r="D90" i="32"/>
  <c r="D82" i="32"/>
  <c r="D73" i="32"/>
  <c r="D66" i="32"/>
  <c r="D62" i="32"/>
  <c r="D93" i="32"/>
  <c r="D89" i="32"/>
  <c r="D84" i="32"/>
  <c r="D81" i="32"/>
  <c r="D79" i="32"/>
  <c r="D68" i="32"/>
  <c r="D65" i="32"/>
  <c r="D61" i="32"/>
  <c r="C75" i="32"/>
  <c r="C76" i="32" s="1"/>
  <c r="C100" i="32" s="1"/>
  <c r="D100" i="32" s="1"/>
  <c r="C101" i="32"/>
  <c r="D101" i="32" s="1"/>
  <c r="C83" i="32"/>
  <c r="C85" i="32" s="1"/>
  <c r="C102" i="32" s="1"/>
  <c r="D102" i="32" s="1"/>
  <c r="D89" i="31"/>
  <c r="D180" i="31"/>
  <c r="D172" i="31"/>
  <c r="D161" i="31"/>
  <c r="D153" i="31"/>
  <c r="D142" i="31"/>
  <c r="D133" i="31"/>
  <c r="D125" i="31"/>
  <c r="D115" i="31"/>
  <c r="D107" i="31"/>
  <c r="D99" i="31"/>
  <c r="D81" i="31"/>
  <c r="D21" i="31"/>
  <c r="D119" i="45" l="1"/>
  <c r="D93" i="45"/>
  <c r="D102" i="45"/>
  <c r="D75" i="40"/>
  <c r="C53" i="13"/>
  <c r="C53" i="55"/>
  <c r="D53" i="55" s="1"/>
  <c r="D57" i="55" s="1"/>
  <c r="C53" i="15"/>
  <c r="D69" i="38"/>
  <c r="C85" i="39"/>
  <c r="C102" i="39" s="1"/>
  <c r="D102" i="39" s="1"/>
  <c r="D83" i="43"/>
  <c r="D69" i="46"/>
  <c r="D69" i="35"/>
  <c r="D69" i="33"/>
  <c r="D69" i="40"/>
  <c r="D94" i="45"/>
  <c r="D95" i="45" s="1"/>
  <c r="D83" i="32"/>
  <c r="D83" i="33"/>
  <c r="D85" i="43"/>
  <c r="D84" i="45"/>
  <c r="C53" i="8"/>
  <c r="C53" i="40"/>
  <c r="D53" i="40" s="1"/>
  <c r="D57" i="40" s="1"/>
  <c r="D122" i="40" s="1"/>
  <c r="C53" i="12"/>
  <c r="C53" i="33"/>
  <c r="D53" i="33" s="1"/>
  <c r="D57" i="33" s="1"/>
  <c r="D122" i="33" s="1"/>
  <c r="C53" i="32"/>
  <c r="D53" i="32" s="1"/>
  <c r="D57" i="32" s="1"/>
  <c r="D122" i="32" s="1"/>
  <c r="C53" i="36"/>
  <c r="D53" i="36" s="1"/>
  <c r="D57" i="36" s="1"/>
  <c r="D122" i="36" s="1"/>
  <c r="C53" i="29"/>
  <c r="D95" i="40"/>
  <c r="D96" i="40" s="1"/>
  <c r="D96" i="33"/>
  <c r="C104" i="34"/>
  <c r="D104" i="34" s="1"/>
  <c r="D95" i="43"/>
  <c r="D96" i="43" s="1"/>
  <c r="D95" i="46"/>
  <c r="D96" i="46" s="1"/>
  <c r="C105" i="43"/>
  <c r="D105" i="43" s="1"/>
  <c r="D123" i="43" s="1"/>
  <c r="D124" i="43" s="1"/>
  <c r="D95" i="32"/>
  <c r="D96" i="32" s="1"/>
  <c r="D96" i="35"/>
  <c r="D95" i="38"/>
  <c r="D96" i="38" s="1"/>
  <c r="D95" i="36"/>
  <c r="D96" i="36" s="1"/>
  <c r="D95" i="41"/>
  <c r="D96" i="41" s="1"/>
  <c r="D85" i="32"/>
  <c r="D85" i="33"/>
  <c r="C105" i="33"/>
  <c r="D105" i="33" s="1"/>
  <c r="D123" i="33" s="1"/>
  <c r="C105" i="46"/>
  <c r="D105" i="46" s="1"/>
  <c r="D100" i="46"/>
  <c r="D74" i="46"/>
  <c r="D75" i="46"/>
  <c r="D83" i="46"/>
  <c r="D85" i="46" s="1"/>
  <c r="D68" i="45"/>
  <c r="C104" i="45"/>
  <c r="D104" i="45" s="1"/>
  <c r="D99" i="45"/>
  <c r="D73" i="45"/>
  <c r="D75" i="45" s="1"/>
  <c r="C105" i="44"/>
  <c r="D105" i="44" s="1"/>
  <c r="D75" i="44"/>
  <c r="D83" i="44"/>
  <c r="D85" i="44" s="1"/>
  <c r="D69" i="44"/>
  <c r="D95" i="44"/>
  <c r="D96" i="44" s="1"/>
  <c r="D100" i="44"/>
  <c r="D74" i="44"/>
  <c r="D69" i="43"/>
  <c r="D75" i="43"/>
  <c r="D100" i="43"/>
  <c r="D74" i="43"/>
  <c r="C105" i="42"/>
  <c r="D105" i="42" s="1"/>
  <c r="D75" i="42"/>
  <c r="D83" i="42"/>
  <c r="D85" i="42" s="1"/>
  <c r="D69" i="42"/>
  <c r="D95" i="42"/>
  <c r="D96" i="42" s="1"/>
  <c r="D100" i="42"/>
  <c r="D74" i="42"/>
  <c r="D69" i="41"/>
  <c r="D74" i="41"/>
  <c r="D76" i="41" s="1"/>
  <c r="D83" i="41"/>
  <c r="D85" i="41" s="1"/>
  <c r="C105" i="41"/>
  <c r="D105" i="41" s="1"/>
  <c r="D74" i="40"/>
  <c r="D76" i="40" s="1"/>
  <c r="D85" i="40"/>
  <c r="C105" i="40"/>
  <c r="D105" i="40" s="1"/>
  <c r="C105" i="39"/>
  <c r="D105" i="39" s="1"/>
  <c r="D75" i="39"/>
  <c r="D69" i="39"/>
  <c r="D95" i="39"/>
  <c r="D96" i="39" s="1"/>
  <c r="D100" i="39"/>
  <c r="D74" i="39"/>
  <c r="D85" i="39"/>
  <c r="D74" i="38"/>
  <c r="C105" i="38"/>
  <c r="D105" i="38" s="1"/>
  <c r="D75" i="38"/>
  <c r="D83" i="38"/>
  <c r="D85" i="38" s="1"/>
  <c r="D119" i="37"/>
  <c r="D91" i="37"/>
  <c r="D87" i="37"/>
  <c r="D82" i="37"/>
  <c r="D71" i="37"/>
  <c r="D66" i="37"/>
  <c r="D63" i="37"/>
  <c r="D100" i="37"/>
  <c r="D89" i="37"/>
  <c r="D81" i="37"/>
  <c r="D74" i="37"/>
  <c r="D72" i="37"/>
  <c r="D65" i="37"/>
  <c r="D61" i="37"/>
  <c r="D93" i="37"/>
  <c r="D90" i="37"/>
  <c r="D79" i="37"/>
  <c r="D62" i="37"/>
  <c r="D101" i="37"/>
  <c r="D99" i="37"/>
  <c r="D94" i="37"/>
  <c r="D92" i="37"/>
  <c r="D88" i="37"/>
  <c r="D83" i="37"/>
  <c r="D80" i="37"/>
  <c r="D78" i="37"/>
  <c r="D67" i="37"/>
  <c r="D64" i="37"/>
  <c r="D60" i="37"/>
  <c r="D102" i="37"/>
  <c r="C104" i="37"/>
  <c r="D104" i="37" s="1"/>
  <c r="D74" i="36"/>
  <c r="D76" i="36" s="1"/>
  <c r="D69" i="36"/>
  <c r="D83" i="36"/>
  <c r="D85" i="36" s="1"/>
  <c r="C105" i="36"/>
  <c r="D105" i="36" s="1"/>
  <c r="C105" i="35"/>
  <c r="D105" i="35" s="1"/>
  <c r="D74" i="35"/>
  <c r="D75" i="35"/>
  <c r="D83" i="35"/>
  <c r="D85" i="35" s="1"/>
  <c r="D119" i="34"/>
  <c r="D91" i="34"/>
  <c r="D87" i="34"/>
  <c r="D82" i="34"/>
  <c r="D71" i="34"/>
  <c r="D66" i="34"/>
  <c r="D63" i="34"/>
  <c r="D62" i="34"/>
  <c r="D102" i="34"/>
  <c r="D100" i="34"/>
  <c r="D93" i="34"/>
  <c r="D90" i="34"/>
  <c r="D79" i="34"/>
  <c r="D89" i="34"/>
  <c r="D81" i="34"/>
  <c r="D74" i="34"/>
  <c r="D72" i="34"/>
  <c r="D65" i="34"/>
  <c r="D61" i="34"/>
  <c r="D101" i="34"/>
  <c r="D99" i="34"/>
  <c r="D94" i="34"/>
  <c r="D92" i="34"/>
  <c r="D88" i="34"/>
  <c r="D83" i="34"/>
  <c r="D80" i="34"/>
  <c r="D78" i="34"/>
  <c r="D67" i="34"/>
  <c r="D64" i="34"/>
  <c r="D60" i="34"/>
  <c r="D75" i="33"/>
  <c r="D100" i="33"/>
  <c r="D74" i="33"/>
  <c r="D69" i="32"/>
  <c r="D75" i="32"/>
  <c r="D74" i="32"/>
  <c r="C105" i="32"/>
  <c r="D105" i="32" s="1"/>
  <c r="D122" i="55" l="1"/>
  <c r="D124" i="55" s="1"/>
  <c r="D106" i="55"/>
  <c r="D108" i="55" s="1"/>
  <c r="D76" i="46"/>
  <c r="D76" i="32"/>
  <c r="D76" i="38"/>
  <c r="D76" i="35"/>
  <c r="D76" i="44"/>
  <c r="D76" i="42"/>
  <c r="D106" i="33"/>
  <c r="D106" i="43"/>
  <c r="D108" i="43" s="1"/>
  <c r="D115" i="43" s="1"/>
  <c r="F114" i="43" s="1"/>
  <c r="F115" i="43" s="1"/>
  <c r="D73" i="37"/>
  <c r="D75" i="37" s="1"/>
  <c r="D95" i="34"/>
  <c r="D124" i="33"/>
  <c r="D95" i="37"/>
  <c r="D123" i="46"/>
  <c r="D122" i="45"/>
  <c r="D123" i="44"/>
  <c r="D124" i="44" s="1"/>
  <c r="D106" i="44"/>
  <c r="D76" i="43"/>
  <c r="D123" i="42"/>
  <c r="D124" i="42" s="1"/>
  <c r="D106" i="42"/>
  <c r="D123" i="41"/>
  <c r="D124" i="41" s="1"/>
  <c r="D106" i="41"/>
  <c r="D123" i="40"/>
  <c r="D124" i="40" s="1"/>
  <c r="D106" i="40"/>
  <c r="D76" i="39"/>
  <c r="D123" i="39"/>
  <c r="D124" i="39" s="1"/>
  <c r="D106" i="39"/>
  <c r="D123" i="38"/>
  <c r="D122" i="37"/>
  <c r="D84" i="37"/>
  <c r="D68" i="37"/>
  <c r="D123" i="36"/>
  <c r="D124" i="36" s="1"/>
  <c r="D106" i="36"/>
  <c r="D123" i="35"/>
  <c r="D84" i="34"/>
  <c r="D122" i="34"/>
  <c r="D68" i="34"/>
  <c r="D73" i="34"/>
  <c r="D75" i="34" s="1"/>
  <c r="D76" i="33"/>
  <c r="D108" i="33"/>
  <c r="D115" i="33" s="1"/>
  <c r="F114" i="33" s="1"/>
  <c r="F115" i="33" s="1"/>
  <c r="D123" i="32"/>
  <c r="D124" i="32" s="1"/>
  <c r="D106" i="32"/>
  <c r="D115" i="55" l="1"/>
  <c r="F114" i="55" s="1"/>
  <c r="F115" i="55" s="1"/>
  <c r="D108" i="44"/>
  <c r="D112" i="43"/>
  <c r="D114" i="43"/>
  <c r="D113" i="43"/>
  <c r="D108" i="42"/>
  <c r="D108" i="41"/>
  <c r="D115" i="41" s="1"/>
  <c r="F114" i="41" s="1"/>
  <c r="F115" i="41" s="1"/>
  <c r="D108" i="40"/>
  <c r="D115" i="40" s="1"/>
  <c r="F114" i="40" s="1"/>
  <c r="F115" i="40" s="1"/>
  <c r="D108" i="39"/>
  <c r="D108" i="36"/>
  <c r="D112" i="33"/>
  <c r="D114" i="33"/>
  <c r="D113" i="33"/>
  <c r="D108" i="32"/>
  <c r="D115" i="32" s="1"/>
  <c r="F114" i="32" s="1"/>
  <c r="F115" i="32" s="1"/>
  <c r="E72" i="27"/>
  <c r="F57" i="29"/>
  <c r="D54" i="29" s="1"/>
  <c r="F113" i="29"/>
  <c r="C94" i="29"/>
  <c r="C81" i="29"/>
  <c r="C80" i="29"/>
  <c r="C73" i="29"/>
  <c r="C74" i="29" s="1"/>
  <c r="C67" i="29"/>
  <c r="C69" i="29" s="1"/>
  <c r="D56" i="29"/>
  <c r="D55" i="29"/>
  <c r="D53" i="29"/>
  <c r="D43" i="29"/>
  <c r="D37" i="29"/>
  <c r="D39" i="29" s="1"/>
  <c r="D3" i="28"/>
  <c r="D4" i="28"/>
  <c r="D5" i="28"/>
  <c r="D6" i="28"/>
  <c r="D7" i="28"/>
  <c r="D8" i="28"/>
  <c r="D2" i="28"/>
  <c r="E3" i="27"/>
  <c r="E4" i="27"/>
  <c r="E2" i="27"/>
  <c r="E13" i="26"/>
  <c r="E3" i="26"/>
  <c r="E4" i="26"/>
  <c r="E5" i="26"/>
  <c r="E6" i="26"/>
  <c r="E7" i="26"/>
  <c r="E8" i="26"/>
  <c r="E9" i="26"/>
  <c r="E10" i="26"/>
  <c r="E11" i="26"/>
  <c r="E12" i="26"/>
  <c r="E14" i="26"/>
  <c r="E15" i="26"/>
  <c r="E16" i="26"/>
  <c r="E17" i="26"/>
  <c r="E18" i="26"/>
  <c r="E19" i="26"/>
  <c r="E20" i="26"/>
  <c r="E2" i="26"/>
  <c r="D53" i="7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7" i="25"/>
  <c r="E2" i="25"/>
  <c r="E4" i="25" s="1"/>
  <c r="D30" i="23"/>
  <c r="F112" i="24"/>
  <c r="C93" i="24"/>
  <c r="C80" i="24"/>
  <c r="C79" i="24"/>
  <c r="C72" i="24"/>
  <c r="C73" i="24" s="1"/>
  <c r="C66" i="24"/>
  <c r="C68" i="24" s="1"/>
  <c r="D54" i="24"/>
  <c r="D53" i="24"/>
  <c r="D52" i="24"/>
  <c r="D47" i="24"/>
  <c r="D46" i="24"/>
  <c r="D37" i="24"/>
  <c r="F112" i="23"/>
  <c r="C93" i="23"/>
  <c r="C80" i="23"/>
  <c r="C79" i="23"/>
  <c r="C72" i="23"/>
  <c r="C73" i="23" s="1"/>
  <c r="C66" i="23"/>
  <c r="C68" i="23" s="1"/>
  <c r="D52" i="23"/>
  <c r="D47" i="23"/>
  <c r="D46" i="23"/>
  <c r="D42" i="23"/>
  <c r="D37" i="23"/>
  <c r="D38" i="23" l="1"/>
  <c r="B74" i="27"/>
  <c r="B75" i="27"/>
  <c r="D112" i="55"/>
  <c r="D113" i="55"/>
  <c r="D114" i="55"/>
  <c r="D48" i="23"/>
  <c r="D120" i="23" s="1"/>
  <c r="C54" i="46"/>
  <c r="D54" i="46" s="1"/>
  <c r="C54" i="35"/>
  <c r="D54" i="35" s="1"/>
  <c r="C54" i="38"/>
  <c r="D54" i="38" s="1"/>
  <c r="C54" i="7"/>
  <c r="D54" i="7" s="1"/>
  <c r="E5" i="27"/>
  <c r="D49" i="29"/>
  <c r="D121" i="29" s="1"/>
  <c r="D48" i="24"/>
  <c r="C94" i="24"/>
  <c r="C95" i="24" s="1"/>
  <c r="C102" i="24" s="1"/>
  <c r="D116" i="33"/>
  <c r="D125" i="33" s="1"/>
  <c r="D126" i="33" s="1"/>
  <c r="D130" i="33" s="1"/>
  <c r="D132" i="33" s="1"/>
  <c r="D134" i="33" s="1"/>
  <c r="D138" i="33" s="1"/>
  <c r="C94" i="23"/>
  <c r="C95" i="23" s="1"/>
  <c r="C102" i="23" s="1"/>
  <c r="D116" i="43"/>
  <c r="D125" i="43" s="1"/>
  <c r="D126" i="43" s="1"/>
  <c r="D130" i="43" s="1"/>
  <c r="D132" i="43" s="1"/>
  <c r="D134" i="43" s="1"/>
  <c r="D138" i="43" s="1"/>
  <c r="D139" i="43" s="1"/>
  <c r="D115" i="44"/>
  <c r="F114" i="44" s="1"/>
  <c r="F115" i="44" s="1"/>
  <c r="D115" i="42"/>
  <c r="F114" i="42" s="1"/>
  <c r="F115" i="42" s="1"/>
  <c r="D112" i="41"/>
  <c r="D114" i="41"/>
  <c r="D113" i="41"/>
  <c r="D112" i="40"/>
  <c r="D114" i="40"/>
  <c r="D113" i="40"/>
  <c r="D115" i="39"/>
  <c r="F114" i="39" s="1"/>
  <c r="F115" i="39" s="1"/>
  <c r="D115" i="36"/>
  <c r="F114" i="36" s="1"/>
  <c r="F115" i="36" s="1"/>
  <c r="D112" i="32"/>
  <c r="D114" i="32"/>
  <c r="D113" i="32"/>
  <c r="E21" i="26"/>
  <c r="D57" i="29"/>
  <c r="D122" i="29" s="1"/>
  <c r="C95" i="29"/>
  <c r="C96" i="29" s="1"/>
  <c r="C103" i="29" s="1"/>
  <c r="D103" i="29" s="1"/>
  <c r="C83" i="29"/>
  <c r="D83" i="29" s="1"/>
  <c r="C101" i="29"/>
  <c r="C75" i="29"/>
  <c r="C76" i="29" s="1"/>
  <c r="C100" i="29" s="1"/>
  <c r="D120" i="29"/>
  <c r="D92" i="29"/>
  <c r="D88" i="29"/>
  <c r="D72" i="29"/>
  <c r="D67" i="29"/>
  <c r="D64" i="29"/>
  <c r="D101" i="29"/>
  <c r="D94" i="29"/>
  <c r="D91" i="29"/>
  <c r="D80" i="29"/>
  <c r="D63" i="29"/>
  <c r="D90" i="29"/>
  <c r="D82" i="29"/>
  <c r="D73" i="29"/>
  <c r="D66" i="29"/>
  <c r="D62" i="29"/>
  <c r="D100" i="29"/>
  <c r="D93" i="29"/>
  <c r="D89" i="29"/>
  <c r="D84" i="29"/>
  <c r="D81" i="29"/>
  <c r="D79" i="29"/>
  <c r="D68" i="29"/>
  <c r="D65" i="29"/>
  <c r="D61" i="29"/>
  <c r="D9" i="28"/>
  <c r="D10" i="28" s="1"/>
  <c r="D11" i="28" s="1"/>
  <c r="E27" i="25"/>
  <c r="D38" i="24"/>
  <c r="D119" i="24" s="1"/>
  <c r="C74" i="24"/>
  <c r="C75" i="24" s="1"/>
  <c r="C99" i="24" s="1"/>
  <c r="C100" i="24"/>
  <c r="C82" i="24"/>
  <c r="C84" i="24" s="1"/>
  <c r="C101" i="24" s="1"/>
  <c r="D119" i="23"/>
  <c r="D91" i="23"/>
  <c r="D87" i="23"/>
  <c r="D71" i="23"/>
  <c r="D66" i="23"/>
  <c r="D63" i="23"/>
  <c r="D102" i="23"/>
  <c r="D93" i="23"/>
  <c r="D90" i="23"/>
  <c r="D79" i="23"/>
  <c r="D62" i="23"/>
  <c r="D89" i="23"/>
  <c r="D81" i="23"/>
  <c r="D72" i="23"/>
  <c r="D65" i="23"/>
  <c r="D61" i="23"/>
  <c r="D94" i="23"/>
  <c r="D92" i="23"/>
  <c r="D88" i="23"/>
  <c r="D83" i="23"/>
  <c r="D80" i="23"/>
  <c r="D78" i="23"/>
  <c r="D67" i="23"/>
  <c r="D64" i="23"/>
  <c r="D60" i="23"/>
  <c r="C74" i="23"/>
  <c r="C75" i="23" s="1"/>
  <c r="C99" i="23" s="1"/>
  <c r="D99" i="23" s="1"/>
  <c r="C100" i="23"/>
  <c r="D100" i="23" s="1"/>
  <c r="C82" i="23"/>
  <c r="D82" i="23" s="1"/>
  <c r="D120" i="24" l="1"/>
  <c r="D116" i="55"/>
  <c r="D125" i="55" s="1"/>
  <c r="D126" i="55" s="1"/>
  <c r="D130" i="55" s="1"/>
  <c r="B77" i="27"/>
  <c r="D139" i="33"/>
  <c r="AU167" i="31"/>
  <c r="AV167" i="31" s="1"/>
  <c r="D68" i="23"/>
  <c r="B25" i="26"/>
  <c r="C54" i="23"/>
  <c r="D54" i="23" s="1"/>
  <c r="C54" i="37"/>
  <c r="D54" i="37" s="1"/>
  <c r="C54" i="34"/>
  <c r="D54" i="34" s="1"/>
  <c r="C54" i="45"/>
  <c r="D54" i="45" s="1"/>
  <c r="D75" i="29"/>
  <c r="D69" i="29"/>
  <c r="D137" i="33"/>
  <c r="B24" i="26"/>
  <c r="D95" i="29"/>
  <c r="D96" i="29" s="1"/>
  <c r="D95" i="23"/>
  <c r="D116" i="40"/>
  <c r="D125" i="40" s="1"/>
  <c r="D126" i="40" s="1"/>
  <c r="D130" i="40" s="1"/>
  <c r="D132" i="40" s="1"/>
  <c r="D134" i="40" s="1"/>
  <c r="D138" i="40" s="1"/>
  <c r="D139" i="40" s="1"/>
  <c r="D116" i="32"/>
  <c r="D125" i="32" s="1"/>
  <c r="D126" i="32" s="1"/>
  <c r="D130" i="32" s="1"/>
  <c r="D132" i="32" s="1"/>
  <c r="D134" i="32" s="1"/>
  <c r="D138" i="32" s="1"/>
  <c r="D139" i="32" s="1"/>
  <c r="D137" i="43"/>
  <c r="D116" i="41"/>
  <c r="D125" i="41" s="1"/>
  <c r="D126" i="41" s="1"/>
  <c r="D130" i="41" s="1"/>
  <c r="D137" i="41" s="1"/>
  <c r="AY158" i="31" s="1"/>
  <c r="AZ158" i="31" s="1"/>
  <c r="BA158" i="31" s="1"/>
  <c r="C56" i="46"/>
  <c r="C55" i="45"/>
  <c r="D55" i="45" s="1"/>
  <c r="C56" i="38"/>
  <c r="C56" i="35"/>
  <c r="C55" i="37"/>
  <c r="D55" i="37" s="1"/>
  <c r="C55" i="34"/>
  <c r="D55" i="34" s="1"/>
  <c r="C55" i="24"/>
  <c r="D55" i="24" s="1"/>
  <c r="D56" i="24" s="1"/>
  <c r="D121" i="24" s="1"/>
  <c r="C56" i="6"/>
  <c r="C56" i="7"/>
  <c r="C55" i="23"/>
  <c r="D55" i="23" s="1"/>
  <c r="D113" i="44"/>
  <c r="D112" i="44"/>
  <c r="D114" i="44"/>
  <c r="D113" i="42"/>
  <c r="D112" i="42"/>
  <c r="D114" i="42"/>
  <c r="D113" i="39"/>
  <c r="D112" i="39"/>
  <c r="D114" i="39"/>
  <c r="D112" i="36"/>
  <c r="D113" i="36"/>
  <c r="D114" i="36"/>
  <c r="D74" i="29"/>
  <c r="C85" i="29"/>
  <c r="C102" i="29" s="1"/>
  <c r="D102" i="29" s="1"/>
  <c r="D85" i="29"/>
  <c r="B31" i="25"/>
  <c r="B32" i="25"/>
  <c r="D60" i="24"/>
  <c r="D80" i="24"/>
  <c r="D94" i="24"/>
  <c r="D72" i="24"/>
  <c r="D79" i="24"/>
  <c r="D63" i="24"/>
  <c r="D64" i="24"/>
  <c r="D83" i="24"/>
  <c r="D99" i="24"/>
  <c r="D81" i="24"/>
  <c r="D90" i="24"/>
  <c r="D66" i="24"/>
  <c r="D100" i="24"/>
  <c r="D67" i="24"/>
  <c r="D88" i="24"/>
  <c r="D61" i="24"/>
  <c r="D89" i="24"/>
  <c r="D93" i="24"/>
  <c r="D71" i="24"/>
  <c r="D78" i="24"/>
  <c r="D92" i="24"/>
  <c r="D65" i="24"/>
  <c r="D62" i="24"/>
  <c r="D102" i="24"/>
  <c r="D87" i="24"/>
  <c r="D91" i="24"/>
  <c r="D101" i="24"/>
  <c r="C104" i="24"/>
  <c r="D104" i="24" s="1"/>
  <c r="D105" i="24" s="1"/>
  <c r="D107" i="24" s="1"/>
  <c r="D74" i="24"/>
  <c r="D82" i="24"/>
  <c r="D73" i="23"/>
  <c r="C84" i="23"/>
  <c r="C101" i="23" s="1"/>
  <c r="D101" i="23" s="1"/>
  <c r="D84" i="23"/>
  <c r="D74" i="23"/>
  <c r="AY166" i="31" l="1"/>
  <c r="AZ166" i="31" s="1"/>
  <c r="BA166" i="31" s="1"/>
  <c r="AY185" i="31"/>
  <c r="AZ185" i="31" s="1"/>
  <c r="BA185" i="31" s="1"/>
  <c r="AU185" i="31"/>
  <c r="AV185" i="31" s="1"/>
  <c r="AW185" i="31" s="1"/>
  <c r="AY167" i="31"/>
  <c r="AZ167" i="31" s="1"/>
  <c r="BA167" i="31" s="1"/>
  <c r="AY186" i="31"/>
  <c r="AZ186" i="31" s="1"/>
  <c r="BA186" i="31" s="1"/>
  <c r="AY78" i="31"/>
  <c r="AZ78" i="31" s="1"/>
  <c r="AY176" i="31"/>
  <c r="AZ176" i="31" s="1"/>
  <c r="BA176" i="31" s="1"/>
  <c r="AY147" i="31"/>
  <c r="AZ147" i="31" s="1"/>
  <c r="BA147" i="31" s="1"/>
  <c r="AY120" i="31"/>
  <c r="AZ120" i="31" s="1"/>
  <c r="BA120" i="31" s="1"/>
  <c r="AY104" i="31"/>
  <c r="AZ104" i="31" s="1"/>
  <c r="BA104" i="31" s="1"/>
  <c r="AY95" i="31"/>
  <c r="AZ95" i="31" s="1"/>
  <c r="BA95" i="31" s="1"/>
  <c r="D137" i="55"/>
  <c r="D132" i="55"/>
  <c r="D134" i="55" s="1"/>
  <c r="D138" i="55" s="1"/>
  <c r="D139" i="55" s="1"/>
  <c r="AW167" i="31"/>
  <c r="AF186" i="31"/>
  <c r="AG186" i="31" s="1"/>
  <c r="AH186" i="31" s="1"/>
  <c r="AU95" i="31"/>
  <c r="AV95" i="31" s="1"/>
  <c r="V176" i="31"/>
  <c r="W176" i="31" s="1"/>
  <c r="X176" i="31" s="1"/>
  <c r="H78" i="31"/>
  <c r="AU120" i="31"/>
  <c r="AV120" i="31" s="1"/>
  <c r="AU104" i="31"/>
  <c r="AV104" i="31" s="1"/>
  <c r="AU186" i="31"/>
  <c r="AV186" i="31" s="1"/>
  <c r="AU176" i="31"/>
  <c r="BC179" i="31" s="1"/>
  <c r="AU78" i="31"/>
  <c r="AU147" i="31"/>
  <c r="AV147" i="31" s="1"/>
  <c r="V147" i="31"/>
  <c r="W147" i="31" s="1"/>
  <c r="X147" i="31" s="1"/>
  <c r="H147" i="31"/>
  <c r="I147" i="31" s="1"/>
  <c r="V120" i="31"/>
  <c r="W120" i="31" s="1"/>
  <c r="X120" i="31" s="1"/>
  <c r="H104" i="31"/>
  <c r="I104" i="31" s="1"/>
  <c r="J104" i="31" s="1"/>
  <c r="H120" i="31"/>
  <c r="I120" i="31" s="1"/>
  <c r="H95" i="31"/>
  <c r="V104" i="31"/>
  <c r="W104" i="31" s="1"/>
  <c r="X104" i="31" s="1"/>
  <c r="V95" i="31"/>
  <c r="W95" i="31" s="1"/>
  <c r="X95" i="31" s="1"/>
  <c r="H158" i="31"/>
  <c r="I158" i="31" s="1"/>
  <c r="J158" i="31" s="1"/>
  <c r="AU158" i="31"/>
  <c r="AV158" i="31" s="1"/>
  <c r="AU166" i="31"/>
  <c r="AV166" i="31" s="1"/>
  <c r="V166" i="31"/>
  <c r="W166" i="31" s="1"/>
  <c r="X166" i="31" s="1"/>
  <c r="H166" i="31"/>
  <c r="I166" i="31" s="1"/>
  <c r="J166" i="31" s="1"/>
  <c r="I95" i="31"/>
  <c r="B27" i="26"/>
  <c r="C55" i="6" s="1"/>
  <c r="D56" i="23"/>
  <c r="D121" i="23" s="1"/>
  <c r="D56" i="37"/>
  <c r="D121" i="37" s="1"/>
  <c r="D123" i="37" s="1"/>
  <c r="D56" i="34"/>
  <c r="D121" i="34" s="1"/>
  <c r="D123" i="34" s="1"/>
  <c r="D56" i="45"/>
  <c r="D121" i="45" s="1"/>
  <c r="D123" i="45" s="1"/>
  <c r="D76" i="29"/>
  <c r="B34" i="25"/>
  <c r="C55" i="35" s="1"/>
  <c r="D73" i="24"/>
  <c r="D75" i="24" s="1"/>
  <c r="D68" i="24"/>
  <c r="D137" i="32"/>
  <c r="D95" i="24"/>
  <c r="D132" i="41"/>
  <c r="D134" i="41" s="1"/>
  <c r="D138" i="41" s="1"/>
  <c r="D139" i="41" s="1"/>
  <c r="D137" i="40"/>
  <c r="D116" i="39"/>
  <c r="D125" i="39" s="1"/>
  <c r="D126" i="39" s="1"/>
  <c r="D130" i="39" s="1"/>
  <c r="D137" i="39" s="1"/>
  <c r="AY208" i="31" s="1"/>
  <c r="AZ208" i="31" s="1"/>
  <c r="D116" i="44"/>
  <c r="D125" i="44" s="1"/>
  <c r="D126" i="44" s="1"/>
  <c r="D130" i="44" s="1"/>
  <c r="D132" i="44" s="1"/>
  <c r="D134" i="44" s="1"/>
  <c r="D138" i="44" s="1"/>
  <c r="D139" i="44" s="1"/>
  <c r="D116" i="42"/>
  <c r="D125" i="42" s="1"/>
  <c r="D126" i="42" s="1"/>
  <c r="D130" i="42" s="1"/>
  <c r="D132" i="42" s="1"/>
  <c r="D134" i="42" s="1"/>
  <c r="D116" i="36"/>
  <c r="D125" i="36" s="1"/>
  <c r="D126" i="36" s="1"/>
  <c r="D130" i="36" s="1"/>
  <c r="D84" i="24"/>
  <c r="C105" i="29"/>
  <c r="D105" i="29" s="1"/>
  <c r="D122" i="24"/>
  <c r="D123" i="24" s="1"/>
  <c r="D75" i="23"/>
  <c r="C104" i="23"/>
  <c r="D104" i="23" s="1"/>
  <c r="AV78" i="31" l="1"/>
  <c r="BH213" i="31"/>
  <c r="BA208" i="31"/>
  <c r="BA209" i="31" s="1"/>
  <c r="AZ209" i="31"/>
  <c r="AY177" i="31"/>
  <c r="AZ177" i="31" s="1"/>
  <c r="BA177" i="31" s="1"/>
  <c r="AY203" i="31"/>
  <c r="AZ203" i="31" s="1"/>
  <c r="AY130" i="31"/>
  <c r="AZ130" i="31" s="1"/>
  <c r="BA130" i="31" s="1"/>
  <c r="V130" i="31"/>
  <c r="W130" i="31" s="1"/>
  <c r="X130" i="31" s="1"/>
  <c r="H130" i="31"/>
  <c r="I130" i="31" s="1"/>
  <c r="AU130" i="31"/>
  <c r="AV130" i="31" s="1"/>
  <c r="AW130" i="31" s="1"/>
  <c r="AY168" i="31"/>
  <c r="AZ168" i="31" s="1"/>
  <c r="BA168" i="31" s="1"/>
  <c r="AY148" i="31"/>
  <c r="AZ148" i="31" s="1"/>
  <c r="BA148" i="31" s="1"/>
  <c r="AY121" i="31"/>
  <c r="AZ121" i="31" s="1"/>
  <c r="BA121" i="31" s="1"/>
  <c r="AY105" i="31"/>
  <c r="AZ105" i="31" s="1"/>
  <c r="BA105" i="31" s="1"/>
  <c r="AY96" i="31"/>
  <c r="AZ96" i="31" s="1"/>
  <c r="BA96" i="31" s="1"/>
  <c r="AY184" i="31"/>
  <c r="AY146" i="31"/>
  <c r="AZ146" i="31" s="1"/>
  <c r="AY129" i="31"/>
  <c r="AZ129" i="31" s="1"/>
  <c r="AY119" i="31"/>
  <c r="AZ119" i="31" s="1"/>
  <c r="AY103" i="31"/>
  <c r="AZ103" i="31" s="1"/>
  <c r="AY94" i="31"/>
  <c r="AZ94" i="31" s="1"/>
  <c r="BA94" i="31" s="1"/>
  <c r="AY165" i="31"/>
  <c r="AZ165" i="31" s="1"/>
  <c r="AY93" i="31"/>
  <c r="AZ93" i="31" s="1"/>
  <c r="AY77" i="31"/>
  <c r="AZ77" i="31" s="1"/>
  <c r="AU111" i="31"/>
  <c r="AV111" i="31" s="1"/>
  <c r="AW111" i="31" s="1"/>
  <c r="AY111" i="31"/>
  <c r="AZ111" i="31" s="1"/>
  <c r="BA78" i="31"/>
  <c r="AY157" i="31"/>
  <c r="AZ157" i="31" s="1"/>
  <c r="AY137" i="31"/>
  <c r="AZ137" i="31" s="1"/>
  <c r="BA137" i="31" s="1"/>
  <c r="AU96" i="31"/>
  <c r="AV96" i="31" s="1"/>
  <c r="AW158" i="31"/>
  <c r="AW147" i="31"/>
  <c r="AW104" i="31"/>
  <c r="AW95" i="31"/>
  <c r="D55" i="35"/>
  <c r="D57" i="35" s="1"/>
  <c r="AW166" i="31"/>
  <c r="AW78" i="31"/>
  <c r="AW186" i="31"/>
  <c r="AW120" i="31"/>
  <c r="D138" i="42"/>
  <c r="D139" i="42" s="1"/>
  <c r="AU86" i="31"/>
  <c r="AV86" i="31" s="1"/>
  <c r="AU94" i="31"/>
  <c r="AV94" i="31" s="1"/>
  <c r="V94" i="31"/>
  <c r="W94" i="31" s="1"/>
  <c r="X94" i="31" s="1"/>
  <c r="H94" i="31"/>
  <c r="AF184" i="31"/>
  <c r="AG184" i="31" s="1"/>
  <c r="AU93" i="31"/>
  <c r="AV93" i="31" s="1"/>
  <c r="AW93" i="31" s="1"/>
  <c r="AU121" i="31"/>
  <c r="AV121" i="31" s="1"/>
  <c r="AU168" i="31"/>
  <c r="AV168" i="31" s="1"/>
  <c r="AU148" i="31"/>
  <c r="AV148" i="31" s="1"/>
  <c r="AW148" i="31" s="1"/>
  <c r="AU105" i="31"/>
  <c r="V177" i="31"/>
  <c r="W177" i="31" s="1"/>
  <c r="X177" i="31" s="1"/>
  <c r="H177" i="31"/>
  <c r="I177" i="31" s="1"/>
  <c r="V168" i="31"/>
  <c r="W168" i="31" s="1"/>
  <c r="X168" i="31" s="1"/>
  <c r="H148" i="31"/>
  <c r="I148" i="31" s="1"/>
  <c r="H105" i="31"/>
  <c r="I105" i="31" s="1"/>
  <c r="H168" i="31"/>
  <c r="I168" i="31" s="1"/>
  <c r="V148" i="31"/>
  <c r="W148" i="31" s="1"/>
  <c r="X148" i="31" s="1"/>
  <c r="V121" i="31"/>
  <c r="W121" i="31" s="1"/>
  <c r="X121" i="31" s="1"/>
  <c r="H121" i="31"/>
  <c r="I121" i="31" s="1"/>
  <c r="V105" i="31"/>
  <c r="W105" i="31" s="1"/>
  <c r="X105" i="31" s="1"/>
  <c r="V96" i="31"/>
  <c r="W96" i="31" s="1"/>
  <c r="X96" i="31" s="1"/>
  <c r="H96" i="31"/>
  <c r="I96" i="31" s="1"/>
  <c r="L104" i="31"/>
  <c r="AV176" i="31"/>
  <c r="BH215" i="31"/>
  <c r="K158" i="31"/>
  <c r="K166" i="31"/>
  <c r="AU157" i="31"/>
  <c r="AV157" i="31" s="1"/>
  <c r="H157" i="31"/>
  <c r="I157" i="31" s="1"/>
  <c r="AU137" i="31"/>
  <c r="AV137" i="31" s="1"/>
  <c r="H137" i="31"/>
  <c r="I137" i="31" s="1"/>
  <c r="V137" i="31"/>
  <c r="W137" i="31" s="1"/>
  <c r="X137" i="31" s="1"/>
  <c r="AU184" i="31"/>
  <c r="AV184" i="31" s="1"/>
  <c r="AU129" i="31"/>
  <c r="AV129" i="31" s="1"/>
  <c r="AU119" i="31"/>
  <c r="AV119" i="31" s="1"/>
  <c r="H129" i="31"/>
  <c r="AU77" i="31"/>
  <c r="AV77" i="31" s="1"/>
  <c r="H77" i="31"/>
  <c r="K77" i="31" s="1"/>
  <c r="AU165" i="31"/>
  <c r="AV165" i="31" s="1"/>
  <c r="AU146" i="31"/>
  <c r="AV146" i="31" s="1"/>
  <c r="AU103" i="31"/>
  <c r="AV103" i="31" s="1"/>
  <c r="V165" i="31"/>
  <c r="W165" i="31" s="1"/>
  <c r="X165" i="31" s="1"/>
  <c r="H146" i="31"/>
  <c r="H103" i="31"/>
  <c r="I103" i="31" s="1"/>
  <c r="L103" i="31" s="1"/>
  <c r="H165" i="31"/>
  <c r="I165" i="31" s="1"/>
  <c r="V146" i="31"/>
  <c r="W146" i="31" s="1"/>
  <c r="X146" i="31" s="1"/>
  <c r="V119" i="31"/>
  <c r="W119" i="31" s="1"/>
  <c r="X119" i="31" s="1"/>
  <c r="H119" i="31"/>
  <c r="I119" i="31" s="1"/>
  <c r="V103" i="31"/>
  <c r="W103" i="31" s="1"/>
  <c r="X103" i="31" s="1"/>
  <c r="V93" i="31"/>
  <c r="H93" i="31"/>
  <c r="J147" i="31"/>
  <c r="L147" i="31"/>
  <c r="J120" i="31"/>
  <c r="L120" i="31"/>
  <c r="J95" i="31"/>
  <c r="L95" i="31"/>
  <c r="I78" i="31"/>
  <c r="J78" i="31" s="1"/>
  <c r="K78" i="31"/>
  <c r="D137" i="44"/>
  <c r="AY112" i="31" s="1"/>
  <c r="AZ112" i="31" s="1"/>
  <c r="BA112" i="31" s="1"/>
  <c r="D105" i="34"/>
  <c r="D107" i="34" s="1"/>
  <c r="D114" i="34" s="1"/>
  <c r="F113" i="34" s="1"/>
  <c r="F114" i="34" s="1"/>
  <c r="D105" i="37"/>
  <c r="D107" i="37" s="1"/>
  <c r="D114" i="37" s="1"/>
  <c r="F113" i="37" s="1"/>
  <c r="F114" i="37" s="1"/>
  <c r="D105" i="45"/>
  <c r="D107" i="45" s="1"/>
  <c r="D114" i="45" s="1"/>
  <c r="F113" i="45" s="1"/>
  <c r="F114" i="45" s="1"/>
  <c r="D132" i="39"/>
  <c r="D134" i="39" s="1"/>
  <c r="D138" i="39" s="1"/>
  <c r="D139" i="39" s="1"/>
  <c r="I146" i="31"/>
  <c r="C55" i="38"/>
  <c r="C55" i="7"/>
  <c r="D55" i="7" s="1"/>
  <c r="C55" i="46"/>
  <c r="D137" i="42"/>
  <c r="D132" i="36"/>
  <c r="D134" i="36" s="1"/>
  <c r="D138" i="36" s="1"/>
  <c r="D139" i="36" s="1"/>
  <c r="D137" i="36"/>
  <c r="D123" i="29"/>
  <c r="D124" i="29" s="1"/>
  <c r="D106" i="29"/>
  <c r="D122" i="23"/>
  <c r="D123" i="23" s="1"/>
  <c r="D105" i="23"/>
  <c r="AZ184" i="31" l="1"/>
  <c r="AZ213" i="31"/>
  <c r="AU85" i="31"/>
  <c r="AV85" i="31" s="1"/>
  <c r="AY85" i="31"/>
  <c r="AZ85" i="31" s="1"/>
  <c r="AY138" i="31"/>
  <c r="AZ138" i="31" s="1"/>
  <c r="AY86" i="31"/>
  <c r="AZ86" i="31" s="1"/>
  <c r="BA86" i="31" s="1"/>
  <c r="AY159" i="31"/>
  <c r="AZ159" i="31" s="1"/>
  <c r="BA159" i="31" s="1"/>
  <c r="AY139" i="31"/>
  <c r="AZ139" i="31" s="1"/>
  <c r="BA139" i="31" s="1"/>
  <c r="BA111" i="31"/>
  <c r="BA77" i="31"/>
  <c r="BA165" i="31"/>
  <c r="BA103" i="31"/>
  <c r="BA129" i="31"/>
  <c r="BA184" i="31"/>
  <c r="BA203" i="31"/>
  <c r="BA157" i="31"/>
  <c r="BA93" i="31"/>
  <c r="BA119" i="31"/>
  <c r="BA146" i="31"/>
  <c r="L130" i="31"/>
  <c r="J130" i="31"/>
  <c r="D106" i="35"/>
  <c r="D122" i="35"/>
  <c r="D124" i="35" s="1"/>
  <c r="AW165" i="31"/>
  <c r="AW168" i="31"/>
  <c r="AW94" i="31"/>
  <c r="AW85" i="31"/>
  <c r="D55" i="46"/>
  <c r="D57" i="46" s="1"/>
  <c r="D55" i="38"/>
  <c r="D57" i="38" s="1"/>
  <c r="AW121" i="31"/>
  <c r="AW86" i="31"/>
  <c r="AW96" i="31"/>
  <c r="L94" i="31"/>
  <c r="K94" i="31"/>
  <c r="I94" i="31"/>
  <c r="J94" i="31" s="1"/>
  <c r="AH184" i="31"/>
  <c r="AH189" i="31" s="1"/>
  <c r="AG189" i="31"/>
  <c r="D114" i="24"/>
  <c r="F113" i="24" s="1"/>
  <c r="F114" i="24" s="1"/>
  <c r="D112" i="24" s="1"/>
  <c r="AV105" i="31"/>
  <c r="W93" i="31"/>
  <c r="X93" i="31" s="1"/>
  <c r="I93" i="31"/>
  <c r="J93" i="31" s="1"/>
  <c r="K93" i="31"/>
  <c r="AU112" i="31"/>
  <c r="AV112" i="31" s="1"/>
  <c r="V112" i="31"/>
  <c r="W112" i="31" s="1"/>
  <c r="X112" i="31" s="1"/>
  <c r="H112" i="31"/>
  <c r="I112" i="31" s="1"/>
  <c r="AU139" i="31"/>
  <c r="AU159" i="31"/>
  <c r="AV159" i="31" s="1"/>
  <c r="H159" i="31"/>
  <c r="K159" i="31" s="1"/>
  <c r="AU138" i="31"/>
  <c r="AV138" i="31" s="1"/>
  <c r="V85" i="31"/>
  <c r="W85" i="31" s="1"/>
  <c r="X85" i="31" s="1"/>
  <c r="H85" i="31"/>
  <c r="I85" i="31" s="1"/>
  <c r="L85" i="31" s="1"/>
  <c r="V138" i="31"/>
  <c r="W138" i="31" s="1"/>
  <c r="X138" i="31" s="1"/>
  <c r="H138" i="31"/>
  <c r="AW176" i="31"/>
  <c r="K157" i="31"/>
  <c r="J157" i="31"/>
  <c r="AW137" i="31"/>
  <c r="AW157" i="31"/>
  <c r="AW146" i="31"/>
  <c r="AW119" i="31"/>
  <c r="L93" i="31"/>
  <c r="AW103" i="31"/>
  <c r="AW77" i="31"/>
  <c r="AW129" i="31"/>
  <c r="AW184" i="31"/>
  <c r="J148" i="31"/>
  <c r="L148" i="31"/>
  <c r="J137" i="31"/>
  <c r="L137" i="31"/>
  <c r="J146" i="31"/>
  <c r="L146" i="31"/>
  <c r="J177" i="31"/>
  <c r="L177" i="31"/>
  <c r="L180" i="31" s="1"/>
  <c r="J96" i="31"/>
  <c r="L96" i="31"/>
  <c r="J121" i="31"/>
  <c r="K121" i="31"/>
  <c r="J168" i="31"/>
  <c r="K168" i="31"/>
  <c r="J105" i="31"/>
  <c r="K105" i="31"/>
  <c r="K107" i="31" s="1"/>
  <c r="J165" i="31"/>
  <c r="K165" i="31"/>
  <c r="J119" i="31"/>
  <c r="K119" i="31"/>
  <c r="K125" i="31" s="1"/>
  <c r="I129" i="31"/>
  <c r="J129" i="31" s="1"/>
  <c r="K129" i="31"/>
  <c r="I159" i="31"/>
  <c r="J159" i="31" s="1"/>
  <c r="I77" i="31"/>
  <c r="J103" i="31"/>
  <c r="D113" i="37"/>
  <c r="D111" i="37"/>
  <c r="D112" i="37"/>
  <c r="D111" i="45"/>
  <c r="D113" i="45"/>
  <c r="D112" i="45"/>
  <c r="D112" i="34"/>
  <c r="D111" i="34"/>
  <c r="D113" i="34"/>
  <c r="D108" i="35"/>
  <c r="D115" i="35" s="1"/>
  <c r="F114" i="35" s="1"/>
  <c r="F115" i="35" s="1"/>
  <c r="D108" i="29"/>
  <c r="D115" i="29" s="1"/>
  <c r="F114" i="29" s="1"/>
  <c r="F115" i="29" s="1"/>
  <c r="D107" i="23"/>
  <c r="D114" i="23" s="1"/>
  <c r="F113" i="23" s="1"/>
  <c r="F114" i="23" s="1"/>
  <c r="BA213" i="31" l="1"/>
  <c r="BA214" i="31" s="1"/>
  <c r="AZ214" i="31"/>
  <c r="BA85" i="31"/>
  <c r="I138" i="31"/>
  <c r="J138" i="31" s="1"/>
  <c r="D122" i="38"/>
  <c r="D124" i="38" s="1"/>
  <c r="D106" i="38"/>
  <c r="D108" i="38" s="1"/>
  <c r="D115" i="38" s="1"/>
  <c r="F114" i="38" s="1"/>
  <c r="F115" i="38" s="1"/>
  <c r="D112" i="38" s="1"/>
  <c r="D106" i="46"/>
  <c r="D108" i="46" s="1"/>
  <c r="D115" i="46" s="1"/>
  <c r="F114" i="46" s="1"/>
  <c r="F115" i="46" s="1"/>
  <c r="D112" i="46" s="1"/>
  <c r="D122" i="46"/>
  <c r="D124" i="46" s="1"/>
  <c r="AW138" i="31"/>
  <c r="AW159" i="31"/>
  <c r="D111" i="24"/>
  <c r="D113" i="24"/>
  <c r="AW105" i="31"/>
  <c r="J112" i="31"/>
  <c r="L112" i="31"/>
  <c r="AW112" i="31"/>
  <c r="AV139" i="31"/>
  <c r="BE142" i="31"/>
  <c r="J77" i="31"/>
  <c r="J85" i="31"/>
  <c r="D115" i="34"/>
  <c r="D124" i="34" s="1"/>
  <c r="D125" i="34" s="1"/>
  <c r="D129" i="34" s="1"/>
  <c r="D115" i="45"/>
  <c r="D124" i="45" s="1"/>
  <c r="D125" i="45" s="1"/>
  <c r="D129" i="45" s="1"/>
  <c r="D115" i="37"/>
  <c r="D124" i="37" s="1"/>
  <c r="D125" i="37" s="1"/>
  <c r="D129" i="37" s="1"/>
  <c r="D112" i="35"/>
  <c r="D114" i="35"/>
  <c r="D113" i="35"/>
  <c r="D112" i="29"/>
  <c r="D114" i="29"/>
  <c r="D113" i="29"/>
  <c r="D111" i="23"/>
  <c r="D113" i="23"/>
  <c r="D112" i="23"/>
  <c r="D114" i="46" l="1"/>
  <c r="D114" i="38"/>
  <c r="D113" i="38"/>
  <c r="L138" i="31"/>
  <c r="D113" i="46"/>
  <c r="BA138" i="31"/>
  <c r="D115" i="24"/>
  <c r="D124" i="24" s="1"/>
  <c r="D125" i="24" s="1"/>
  <c r="D129" i="24" s="1"/>
  <c r="D136" i="24" s="1"/>
  <c r="V149" i="31" s="1"/>
  <c r="AW139" i="31"/>
  <c r="D116" i="35"/>
  <c r="D125" i="35" s="1"/>
  <c r="D126" i="35" s="1"/>
  <c r="D130" i="35" s="1"/>
  <c r="D136" i="37"/>
  <c r="D131" i="37"/>
  <c r="D133" i="37" s="1"/>
  <c r="D137" i="37" s="1"/>
  <c r="D138" i="37" s="1"/>
  <c r="D136" i="45"/>
  <c r="D131" i="45"/>
  <c r="D133" i="45" s="1"/>
  <c r="D137" i="45" s="1"/>
  <c r="D138" i="45" s="1"/>
  <c r="D131" i="34"/>
  <c r="D133" i="34" s="1"/>
  <c r="D137" i="34" s="1"/>
  <c r="D138" i="34" s="1"/>
  <c r="D136" i="34"/>
  <c r="D116" i="38"/>
  <c r="D125" i="38" s="1"/>
  <c r="D126" i="38" s="1"/>
  <c r="D130" i="38" s="1"/>
  <c r="D116" i="46"/>
  <c r="D125" i="46" s="1"/>
  <c r="D126" i="46" s="1"/>
  <c r="D130" i="46" s="1"/>
  <c r="D116" i="29"/>
  <c r="D125" i="29" s="1"/>
  <c r="D126" i="29" s="1"/>
  <c r="D130" i="29" s="1"/>
  <c r="D132" i="29" s="1"/>
  <c r="D134" i="29" s="1"/>
  <c r="D145" i="29" s="1"/>
  <c r="D146" i="29" s="1"/>
  <c r="D147" i="29" s="1"/>
  <c r="D115" i="23"/>
  <c r="D124" i="23" s="1"/>
  <c r="D125" i="23" s="1"/>
  <c r="D129" i="23" s="1"/>
  <c r="D131" i="23" s="1"/>
  <c r="D133" i="23" s="1"/>
  <c r="D137" i="23" s="1"/>
  <c r="D138" i="23" s="1"/>
  <c r="D131" i="24" l="1"/>
  <c r="D133" i="24" s="1"/>
  <c r="D137" i="24" s="1"/>
  <c r="D138" i="24" s="1"/>
  <c r="AY43" i="31"/>
  <c r="AZ43" i="31" s="1"/>
  <c r="BA43" i="31" s="1"/>
  <c r="AY20" i="31"/>
  <c r="AZ20" i="31" s="1"/>
  <c r="AY204" i="31"/>
  <c r="AZ204" i="31" s="1"/>
  <c r="AY187" i="31"/>
  <c r="AZ187" i="31" s="1"/>
  <c r="AY150" i="31"/>
  <c r="AZ150" i="31" s="1"/>
  <c r="BA150" i="31" s="1"/>
  <c r="AY178" i="31"/>
  <c r="AZ178" i="31" s="1"/>
  <c r="AY169" i="31"/>
  <c r="AZ169" i="31" s="1"/>
  <c r="AY131" i="31"/>
  <c r="AZ131" i="31" s="1"/>
  <c r="AY122" i="31"/>
  <c r="AZ122" i="31" s="1"/>
  <c r="AY106" i="31"/>
  <c r="AZ106" i="31" s="1"/>
  <c r="AY97" i="31"/>
  <c r="AZ97" i="31" s="1"/>
  <c r="AY79" i="31"/>
  <c r="AZ79" i="31" s="1"/>
  <c r="BU18" i="53"/>
  <c r="BV18" i="53" s="1"/>
  <c r="BF18" i="53"/>
  <c r="BG18" i="53" s="1"/>
  <c r="AY149" i="31"/>
  <c r="AZ149" i="31" s="1"/>
  <c r="AU113" i="31"/>
  <c r="AV113" i="31" s="1"/>
  <c r="AY113" i="31"/>
  <c r="AZ113" i="31" s="1"/>
  <c r="AY87" i="31"/>
  <c r="AZ87" i="31" s="1"/>
  <c r="AY160" i="31"/>
  <c r="AZ160" i="31" s="1"/>
  <c r="AY140" i="31"/>
  <c r="AZ140" i="31" s="1"/>
  <c r="H149" i="31"/>
  <c r="I149" i="31" s="1"/>
  <c r="AA18" i="53" s="1"/>
  <c r="I18" i="53" s="1"/>
  <c r="AU149" i="31"/>
  <c r="D132" i="35"/>
  <c r="D134" i="35" s="1"/>
  <c r="D138" i="35" s="1"/>
  <c r="D139" i="35" s="1"/>
  <c r="AU123" i="31"/>
  <c r="AV123" i="31" s="1"/>
  <c r="AU87" i="31"/>
  <c r="AV87" i="31" s="1"/>
  <c r="H160" i="31"/>
  <c r="AU140" i="31"/>
  <c r="AV140" i="31" s="1"/>
  <c r="AU160" i="31"/>
  <c r="AV160" i="31" s="1"/>
  <c r="AU187" i="31"/>
  <c r="AV187" i="31" s="1"/>
  <c r="AU97" i="31"/>
  <c r="AV97" i="31" s="1"/>
  <c r="H79" i="31"/>
  <c r="K79" i="31" s="1"/>
  <c r="AU150" i="31"/>
  <c r="BD150" i="31" s="1"/>
  <c r="AU131" i="31"/>
  <c r="AV131" i="31" s="1"/>
  <c r="AU79" i="31"/>
  <c r="AU178" i="31"/>
  <c r="AV178" i="31" s="1"/>
  <c r="AU122" i="31"/>
  <c r="AV122" i="31" s="1"/>
  <c r="AU106" i="31"/>
  <c r="AV106" i="31" s="1"/>
  <c r="H131" i="31"/>
  <c r="K131" i="31" s="1"/>
  <c r="AU169" i="31"/>
  <c r="AV169" i="31" s="1"/>
  <c r="AU20" i="31"/>
  <c r="AU43" i="31"/>
  <c r="AV43" i="31" s="1"/>
  <c r="H43" i="31"/>
  <c r="I43" i="31" s="1"/>
  <c r="V20" i="31"/>
  <c r="W20" i="31" s="1"/>
  <c r="X20" i="31" s="1"/>
  <c r="H20" i="31"/>
  <c r="I20" i="31" s="1"/>
  <c r="AI18" i="53"/>
  <c r="W149" i="31"/>
  <c r="X149" i="31" s="1"/>
  <c r="H113" i="31"/>
  <c r="I113" i="31" s="1"/>
  <c r="V113" i="31"/>
  <c r="V87" i="31"/>
  <c r="V140" i="31"/>
  <c r="H140" i="31"/>
  <c r="H87" i="31"/>
  <c r="I87" i="31" s="1"/>
  <c r="L87" i="31" s="1"/>
  <c r="V178" i="31"/>
  <c r="V169" i="31"/>
  <c r="H169" i="31"/>
  <c r="I169" i="31" s="1"/>
  <c r="H122" i="31"/>
  <c r="I122" i="31" s="1"/>
  <c r="L122" i="31" s="1"/>
  <c r="V106" i="31"/>
  <c r="H106" i="31"/>
  <c r="I106" i="31" s="1"/>
  <c r="V97" i="31"/>
  <c r="H178" i="31"/>
  <c r="V150" i="31"/>
  <c r="H150" i="31"/>
  <c r="I150" i="31" s="1"/>
  <c r="V122" i="31"/>
  <c r="H97" i="31"/>
  <c r="I97" i="31" s="1"/>
  <c r="L97" i="31" s="1"/>
  <c r="L149" i="31"/>
  <c r="D137" i="35"/>
  <c r="D132" i="46"/>
  <c r="D134" i="46" s="1"/>
  <c r="D138" i="46" s="1"/>
  <c r="D139" i="46" s="1"/>
  <c r="D137" i="46"/>
  <c r="AY114" i="31" s="1"/>
  <c r="AZ114" i="31" s="1"/>
  <c r="BA114" i="31" s="1"/>
  <c r="D137" i="38"/>
  <c r="D132" i="38"/>
  <c r="D134" i="38" s="1"/>
  <c r="D138" i="38" s="1"/>
  <c r="D139" i="38" s="1"/>
  <c r="D144" i="29"/>
  <c r="D136" i="23"/>
  <c r="AV79" i="31" l="1"/>
  <c r="BH214" i="31"/>
  <c r="J149" i="31"/>
  <c r="AB18" i="53"/>
  <c r="AJ18" i="53" s="1"/>
  <c r="BU24" i="53"/>
  <c r="BV24" i="53" s="1"/>
  <c r="BF24" i="53"/>
  <c r="BG24" i="53" s="1"/>
  <c r="AU88" i="31"/>
  <c r="AV88" i="31" s="1"/>
  <c r="AW88" i="31" s="1"/>
  <c r="AY141" i="31"/>
  <c r="AZ141" i="31" s="1"/>
  <c r="BA87" i="31"/>
  <c r="BA89" i="31" s="1"/>
  <c r="AZ89" i="31"/>
  <c r="BA79" i="31"/>
  <c r="BA81" i="31" s="1"/>
  <c r="AZ81" i="31"/>
  <c r="BA106" i="31"/>
  <c r="BA107" i="31" s="1"/>
  <c r="AZ107" i="31"/>
  <c r="BA131" i="31"/>
  <c r="BA187" i="31"/>
  <c r="BA20" i="31"/>
  <c r="CD24" i="53" s="1"/>
  <c r="CC24" i="53"/>
  <c r="AY30" i="31"/>
  <c r="AZ30" i="31" s="1"/>
  <c r="BF20" i="53"/>
  <c r="AY73" i="31"/>
  <c r="AZ73" i="31" s="1"/>
  <c r="BA73" i="31" s="1"/>
  <c r="AY64" i="31"/>
  <c r="AZ64" i="31" s="1"/>
  <c r="BA64" i="31" s="1"/>
  <c r="AY218" i="31"/>
  <c r="AZ218" i="31" s="1"/>
  <c r="BA218" i="31" s="1"/>
  <c r="AY17" i="31"/>
  <c r="AZ17" i="31" s="1"/>
  <c r="BA17" i="31" s="1"/>
  <c r="AY123" i="31"/>
  <c r="AZ123" i="31" s="1"/>
  <c r="BA123" i="31" s="1"/>
  <c r="BF21" i="53"/>
  <c r="AY188" i="31"/>
  <c r="AZ188" i="31" s="1"/>
  <c r="BA188" i="31" s="1"/>
  <c r="AY179" i="31"/>
  <c r="AZ179" i="31" s="1"/>
  <c r="AY170" i="31"/>
  <c r="AZ170" i="31" s="1"/>
  <c r="BA170" i="31" s="1"/>
  <c r="AY132" i="31"/>
  <c r="AZ132" i="31" s="1"/>
  <c r="BA132" i="31" s="1"/>
  <c r="AY98" i="31"/>
  <c r="AZ98" i="31" s="1"/>
  <c r="AY151" i="31"/>
  <c r="AZ151" i="31" s="1"/>
  <c r="BA151" i="31" s="1"/>
  <c r="V188" i="31"/>
  <c r="W188" i="31" s="1"/>
  <c r="X188" i="31" s="1"/>
  <c r="H188" i="31"/>
  <c r="I188" i="31" s="1"/>
  <c r="AU188" i="31"/>
  <c r="AV188" i="31" s="1"/>
  <c r="AW188" i="31" s="1"/>
  <c r="BA160" i="31"/>
  <c r="BA161" i="31" s="1"/>
  <c r="AZ161" i="31"/>
  <c r="BA113" i="31"/>
  <c r="BA115" i="31" s="1"/>
  <c r="AZ115" i="31"/>
  <c r="BA149" i="31"/>
  <c r="CC18" i="53"/>
  <c r="BA97" i="31"/>
  <c r="AZ99" i="31"/>
  <c r="BA122" i="31"/>
  <c r="AZ125" i="31"/>
  <c r="BA169" i="31"/>
  <c r="BA204" i="31"/>
  <c r="AZ205" i="31"/>
  <c r="I178" i="31"/>
  <c r="K178" i="31" s="1"/>
  <c r="I140" i="31"/>
  <c r="J140" i="31" s="1"/>
  <c r="AV107" i="31"/>
  <c r="AW131" i="31"/>
  <c r="AW123" i="31"/>
  <c r="AW79" i="31"/>
  <c r="AW97" i="31"/>
  <c r="CB18" i="53"/>
  <c r="AD18" i="53"/>
  <c r="AV149" i="31"/>
  <c r="AW149" i="31" s="1"/>
  <c r="AW43" i="31"/>
  <c r="J18" i="53"/>
  <c r="H218" i="31"/>
  <c r="I218" i="31" s="1"/>
  <c r="AU218" i="31"/>
  <c r="AV218" i="31" s="1"/>
  <c r="AV20" i="31"/>
  <c r="CB24" i="53"/>
  <c r="AW160" i="31"/>
  <c r="AW161" i="31" s="1"/>
  <c r="AV161" i="31"/>
  <c r="AW87" i="31"/>
  <c r="AW89" i="31" s="1"/>
  <c r="AV150" i="31"/>
  <c r="AW187" i="31"/>
  <c r="AW189" i="31" s="1"/>
  <c r="AV189" i="31"/>
  <c r="AU64" i="31"/>
  <c r="AU73" i="31"/>
  <c r="AV73" i="31" s="1"/>
  <c r="AU17" i="31"/>
  <c r="CB20" i="53" s="1"/>
  <c r="H73" i="31"/>
  <c r="I73" i="31" s="1"/>
  <c r="AA24" i="53"/>
  <c r="J43" i="31"/>
  <c r="L43" i="31"/>
  <c r="AD24" i="53"/>
  <c r="AU114" i="31"/>
  <c r="AV114" i="31" s="1"/>
  <c r="H114" i="31"/>
  <c r="I114" i="31" s="1"/>
  <c r="V114" i="31"/>
  <c r="W114" i="31" s="1"/>
  <c r="X114" i="31" s="1"/>
  <c r="AU141" i="31"/>
  <c r="AV141" i="31" s="1"/>
  <c r="H141" i="31"/>
  <c r="V88" i="31"/>
  <c r="W88" i="31" s="1"/>
  <c r="X88" i="31" s="1"/>
  <c r="V141" i="31"/>
  <c r="W141" i="31" s="1"/>
  <c r="X141" i="31" s="1"/>
  <c r="H88" i="31"/>
  <c r="I88" i="31" s="1"/>
  <c r="AU132" i="31"/>
  <c r="AV132" i="31" s="1"/>
  <c r="H132" i="31"/>
  <c r="M134" i="31" s="1"/>
  <c r="AU80" i="31"/>
  <c r="H80" i="31"/>
  <c r="K80" i="31" s="1"/>
  <c r="K81" i="31" s="1"/>
  <c r="AU179" i="31"/>
  <c r="AV179" i="31" s="1"/>
  <c r="AU151" i="31"/>
  <c r="AU170" i="31"/>
  <c r="AV170" i="31" s="1"/>
  <c r="AU98" i="31"/>
  <c r="AV98" i="31" s="1"/>
  <c r="H179" i="31"/>
  <c r="V170" i="31"/>
  <c r="W170" i="31" s="1"/>
  <c r="X170" i="31" s="1"/>
  <c r="H98" i="31"/>
  <c r="I98" i="31" s="1"/>
  <c r="V179" i="31"/>
  <c r="W179" i="31" s="1"/>
  <c r="X179" i="31" s="1"/>
  <c r="H170" i="31"/>
  <c r="I170" i="31" s="1"/>
  <c r="V151" i="31"/>
  <c r="W151" i="31" s="1"/>
  <c r="X151" i="31" s="1"/>
  <c r="H151" i="31"/>
  <c r="I151" i="31" s="1"/>
  <c r="V98" i="31"/>
  <c r="W98" i="31" s="1"/>
  <c r="X98" i="31" s="1"/>
  <c r="W122" i="31"/>
  <c r="X122" i="31" s="1"/>
  <c r="W169" i="31"/>
  <c r="X169" i="31" s="1"/>
  <c r="W140" i="31"/>
  <c r="W142" i="31" s="1"/>
  <c r="W113" i="31"/>
  <c r="X113" i="31" s="1"/>
  <c r="W150" i="31"/>
  <c r="W97" i="31"/>
  <c r="X97" i="31" s="1"/>
  <c r="W106" i="31"/>
  <c r="W107" i="31" s="1"/>
  <c r="W178" i="31"/>
  <c r="X178" i="31" s="1"/>
  <c r="W87" i="31"/>
  <c r="X87" i="31" s="1"/>
  <c r="L113" i="31"/>
  <c r="J113" i="31"/>
  <c r="H30" i="31"/>
  <c r="I30" i="31" s="1"/>
  <c r="V17" i="31"/>
  <c r="H17" i="31"/>
  <c r="I17" i="31" s="1"/>
  <c r="J150" i="31"/>
  <c r="L150" i="31"/>
  <c r="I107" i="31"/>
  <c r="L106" i="31"/>
  <c r="L107" i="31" s="1"/>
  <c r="J169" i="31"/>
  <c r="L169" i="31"/>
  <c r="J178" i="31"/>
  <c r="I79" i="31"/>
  <c r="J79" i="31" s="1"/>
  <c r="I160" i="31"/>
  <c r="I161" i="31" s="1"/>
  <c r="K160" i="31"/>
  <c r="K161" i="31" s="1"/>
  <c r="I131" i="31"/>
  <c r="J131" i="31" s="1"/>
  <c r="J87" i="31"/>
  <c r="J97" i="31"/>
  <c r="L20" i="31"/>
  <c r="J122" i="31"/>
  <c r="J106" i="31"/>
  <c r="J107" i="31" s="1"/>
  <c r="BA205" i="31" l="1"/>
  <c r="AV89" i="31"/>
  <c r="BA125" i="31"/>
  <c r="L140" i="31"/>
  <c r="CD18" i="53"/>
  <c r="J188" i="31"/>
  <c r="K188" i="31"/>
  <c r="BG21" i="53"/>
  <c r="BU20" i="53"/>
  <c r="BV20" i="53" s="1"/>
  <c r="BG20" i="53"/>
  <c r="AZ189" i="31"/>
  <c r="AZ133" i="31"/>
  <c r="BA98" i="31"/>
  <c r="BA99" i="31" s="1"/>
  <c r="CC21" i="53"/>
  <c r="BA30" i="31"/>
  <c r="BA189" i="31"/>
  <c r="BA133" i="31"/>
  <c r="I179" i="31"/>
  <c r="I180" i="31" s="1"/>
  <c r="BA179" i="31"/>
  <c r="I141" i="31"/>
  <c r="L141" i="31" s="1"/>
  <c r="L142" i="31" s="1"/>
  <c r="BA141" i="31"/>
  <c r="BA178" i="31"/>
  <c r="AZ180" i="31"/>
  <c r="BA140" i="31"/>
  <c r="AZ142" i="31"/>
  <c r="AW170" i="31"/>
  <c r="AE18" i="53"/>
  <c r="AV151" i="31"/>
  <c r="AW151" i="31" s="1"/>
  <c r="AW150" i="31"/>
  <c r="AW73" i="31"/>
  <c r="AW218" i="31"/>
  <c r="X180" i="31"/>
  <c r="X99" i="31"/>
  <c r="L218" i="31"/>
  <c r="J218" i="31"/>
  <c r="AW20" i="31"/>
  <c r="I80" i="31"/>
  <c r="J80" i="31" s="1"/>
  <c r="J81" i="31" s="1"/>
  <c r="AV17" i="31"/>
  <c r="AH20" i="53"/>
  <c r="AD20" i="53"/>
  <c r="M20" i="53" s="1"/>
  <c r="AV64" i="31"/>
  <c r="BH198" i="31"/>
  <c r="X115" i="31"/>
  <c r="W115" i="31"/>
  <c r="AB24" i="53"/>
  <c r="AJ24" i="53" s="1"/>
  <c r="AI24" i="53"/>
  <c r="AE24" i="53"/>
  <c r="L114" i="31"/>
  <c r="L115" i="31" s="1"/>
  <c r="I115" i="31"/>
  <c r="J114" i="31"/>
  <c r="J115" i="31" s="1"/>
  <c r="AW114" i="31"/>
  <c r="AV115" i="31"/>
  <c r="X89" i="31"/>
  <c r="W89" i="31"/>
  <c r="AW141" i="31"/>
  <c r="AV142" i="31"/>
  <c r="AW98" i="31"/>
  <c r="AV99" i="31"/>
  <c r="AW179" i="31"/>
  <c r="AV180" i="31"/>
  <c r="AD21" i="53"/>
  <c r="AV80" i="31"/>
  <c r="AW132" i="31"/>
  <c r="AW133" i="31" s="1"/>
  <c r="AV133" i="31"/>
  <c r="AF18" i="53"/>
  <c r="W99" i="31"/>
  <c r="X106" i="31"/>
  <c r="X107" i="31" s="1"/>
  <c r="X140" i="31"/>
  <c r="X142" i="31" s="1"/>
  <c r="W180" i="31"/>
  <c r="AW178" i="31"/>
  <c r="AW106" i="31"/>
  <c r="AW107" i="31" s="1"/>
  <c r="AW113" i="31"/>
  <c r="AW140" i="31"/>
  <c r="AW169" i="31"/>
  <c r="AW122" i="31"/>
  <c r="W17" i="31"/>
  <c r="X17" i="31" s="1"/>
  <c r="X150" i="31"/>
  <c r="AA20" i="53"/>
  <c r="I20" i="53" s="1"/>
  <c r="L17" i="31"/>
  <c r="J17" i="31"/>
  <c r="L30" i="31"/>
  <c r="J30" i="31"/>
  <c r="J73" i="31"/>
  <c r="L73" i="31"/>
  <c r="J151" i="31"/>
  <c r="L151" i="31"/>
  <c r="I89" i="31"/>
  <c r="L88" i="31"/>
  <c r="L89" i="31" s="1"/>
  <c r="J98" i="31"/>
  <c r="J99" i="31" s="1"/>
  <c r="L98" i="31"/>
  <c r="L99" i="31" s="1"/>
  <c r="J20" i="31"/>
  <c r="K179" i="31"/>
  <c r="K180" i="31" s="1"/>
  <c r="J170" i="31"/>
  <c r="K170" i="31"/>
  <c r="J160" i="31"/>
  <c r="J161" i="31" s="1"/>
  <c r="I132" i="31"/>
  <c r="I133" i="31" s="1"/>
  <c r="K132" i="31"/>
  <c r="K133" i="31" s="1"/>
  <c r="I99" i="31"/>
  <c r="J88" i="31"/>
  <c r="J89" i="31" s="1"/>
  <c r="F113" i="21"/>
  <c r="C94" i="21"/>
  <c r="C81" i="21"/>
  <c r="C80" i="21"/>
  <c r="C73" i="21"/>
  <c r="C74" i="21" s="1"/>
  <c r="C67" i="21"/>
  <c r="C69" i="21" s="1"/>
  <c r="D56" i="21"/>
  <c r="D55" i="21"/>
  <c r="D54" i="21"/>
  <c r="D53" i="21"/>
  <c r="D46" i="21"/>
  <c r="D37" i="21"/>
  <c r="D42" i="21"/>
  <c r="AW115" i="31" l="1"/>
  <c r="J141" i="31"/>
  <c r="J142" i="31" s="1"/>
  <c r="J179" i="31"/>
  <c r="J180" i="31" s="1"/>
  <c r="I142" i="31"/>
  <c r="CD21" i="53"/>
  <c r="BA142" i="31"/>
  <c r="BA180" i="31"/>
  <c r="AW64" i="31"/>
  <c r="J20" i="53"/>
  <c r="I81" i="31"/>
  <c r="AW17" i="31"/>
  <c r="AI20" i="53"/>
  <c r="AE20" i="53"/>
  <c r="AW142" i="31"/>
  <c r="AF24" i="53"/>
  <c r="AW99" i="31"/>
  <c r="AW180" i="31"/>
  <c r="AW80" i="31"/>
  <c r="AW81" i="31" s="1"/>
  <c r="AV81" i="31"/>
  <c r="AB20" i="53"/>
  <c r="D49" i="21"/>
  <c r="D121" i="21" s="1"/>
  <c r="AA21" i="53"/>
  <c r="J132" i="31"/>
  <c r="J133" i="31" s="1"/>
  <c r="D57" i="21"/>
  <c r="D122" i="21" s="1"/>
  <c r="C95" i="21"/>
  <c r="C96" i="21" s="1"/>
  <c r="C103" i="21" s="1"/>
  <c r="D38" i="21"/>
  <c r="C75" i="21"/>
  <c r="C76" i="21" s="1"/>
  <c r="C100" i="21" s="1"/>
  <c r="C101" i="21"/>
  <c r="C83" i="21"/>
  <c r="C85" i="21" s="1"/>
  <c r="C102" i="21" s="1"/>
  <c r="AJ20" i="53" l="1"/>
  <c r="AF20" i="53"/>
  <c r="AB21" i="53"/>
  <c r="D120" i="21"/>
  <c r="D92" i="21"/>
  <c r="D88" i="21"/>
  <c r="D83" i="21"/>
  <c r="D72" i="21"/>
  <c r="D67" i="21"/>
  <c r="D64" i="21"/>
  <c r="D103" i="21"/>
  <c r="D101" i="21"/>
  <c r="D94" i="21"/>
  <c r="D91" i="21"/>
  <c r="D80" i="21"/>
  <c r="D63" i="21"/>
  <c r="D90" i="21"/>
  <c r="D82" i="21"/>
  <c r="D75" i="21"/>
  <c r="D73" i="21"/>
  <c r="D66" i="21"/>
  <c r="D62" i="21"/>
  <c r="D102" i="21"/>
  <c r="D100" i="21"/>
  <c r="D95" i="21"/>
  <c r="D93" i="21"/>
  <c r="D89" i="21"/>
  <c r="D84" i="21"/>
  <c r="D81" i="21"/>
  <c r="D79" i="21"/>
  <c r="D68" i="21"/>
  <c r="D65" i="21"/>
  <c r="D61" i="21"/>
  <c r="C105" i="21"/>
  <c r="D105" i="21" s="1"/>
  <c r="D74" i="21" l="1"/>
  <c r="D123" i="21"/>
  <c r="D106" i="21"/>
  <c r="D85" i="21"/>
  <c r="D76" i="21"/>
  <c r="D69" i="21"/>
  <c r="D96" i="21"/>
  <c r="D124" i="21"/>
  <c r="D108" i="21" l="1"/>
  <c r="D115" i="21" s="1"/>
  <c r="F114" i="21" s="1"/>
  <c r="F115" i="21" s="1"/>
  <c r="D112" i="21" l="1"/>
  <c r="D114" i="21"/>
  <c r="D113" i="21"/>
  <c r="D116" i="21" l="1"/>
  <c r="D125" i="21" s="1"/>
  <c r="D126" i="21" s="1"/>
  <c r="D130" i="21" s="1"/>
  <c r="D132" i="21" s="1"/>
  <c r="D134" i="21" s="1"/>
  <c r="D138" i="21" s="1"/>
  <c r="D139" i="21" s="1"/>
  <c r="D137" i="21" l="1"/>
  <c r="D37" i="13"/>
  <c r="F113" i="15"/>
  <c r="C94" i="15"/>
  <c r="C81" i="15"/>
  <c r="C80" i="15"/>
  <c r="C73" i="15"/>
  <c r="C74" i="15" s="1"/>
  <c r="C67" i="15"/>
  <c r="C69" i="15" s="1"/>
  <c r="C75" i="15" s="1"/>
  <c r="C76" i="15" s="1"/>
  <c r="C100" i="15" s="1"/>
  <c r="D56" i="15"/>
  <c r="D55" i="15"/>
  <c r="D54" i="15"/>
  <c r="D53" i="15"/>
  <c r="D37" i="15"/>
  <c r="D39" i="15" s="1"/>
  <c r="D61" i="15" s="1"/>
  <c r="F113" i="13"/>
  <c r="C94" i="13"/>
  <c r="C81" i="13"/>
  <c r="C80" i="13"/>
  <c r="C73" i="13"/>
  <c r="C74" i="13" s="1"/>
  <c r="C67" i="13"/>
  <c r="C69" i="13" s="1"/>
  <c r="D56" i="13"/>
  <c r="D55" i="13"/>
  <c r="D54" i="13"/>
  <c r="D53" i="13"/>
  <c r="D57" i="13" s="1"/>
  <c r="D122" i="13" s="1"/>
  <c r="D46" i="13"/>
  <c r="D49" i="15" s="1"/>
  <c r="C94" i="12"/>
  <c r="C81" i="12"/>
  <c r="C80" i="12"/>
  <c r="C73" i="12"/>
  <c r="C74" i="12" s="1"/>
  <c r="C69" i="12"/>
  <c r="C67" i="12"/>
  <c r="D56" i="12"/>
  <c r="D55" i="12"/>
  <c r="D54" i="12"/>
  <c r="D53" i="12"/>
  <c r="D43" i="12"/>
  <c r="D37" i="12"/>
  <c r="F113" i="8"/>
  <c r="C94" i="8"/>
  <c r="C81" i="8"/>
  <c r="C80" i="8"/>
  <c r="C73" i="8"/>
  <c r="C74" i="8" s="1"/>
  <c r="C67" i="8"/>
  <c r="C69" i="8" s="1"/>
  <c r="D56" i="8"/>
  <c r="D55" i="8"/>
  <c r="D53" i="8"/>
  <c r="D43" i="8"/>
  <c r="D37" i="8"/>
  <c r="D39" i="8" s="1"/>
  <c r="F113" i="7"/>
  <c r="C94" i="7"/>
  <c r="C81" i="7"/>
  <c r="C80" i="7"/>
  <c r="C73" i="7"/>
  <c r="C74" i="7" s="1"/>
  <c r="C67" i="7"/>
  <c r="C69" i="7" s="1"/>
  <c r="C83" i="7" s="1"/>
  <c r="F45" i="7"/>
  <c r="D43" i="7"/>
  <c r="D37" i="7"/>
  <c r="D39" i="7" s="1"/>
  <c r="D120" i="7" s="1"/>
  <c r="F113" i="6"/>
  <c r="C94" i="6"/>
  <c r="C81" i="6"/>
  <c r="C80" i="6"/>
  <c r="C73" i="6"/>
  <c r="C74" i="6" s="1"/>
  <c r="C67" i="6"/>
  <c r="C69" i="6" s="1"/>
  <c r="C101" i="6" s="1"/>
  <c r="D53" i="6"/>
  <c r="D43" i="6"/>
  <c r="D37" i="6"/>
  <c r="D39" i="6" s="1"/>
  <c r="D82" i="6" s="1"/>
  <c r="F113" i="5"/>
  <c r="C94" i="5"/>
  <c r="C81" i="5"/>
  <c r="C80" i="5"/>
  <c r="C73" i="5"/>
  <c r="C74" i="5" s="1"/>
  <c r="C67" i="5"/>
  <c r="C69" i="5" s="1"/>
  <c r="C83" i="5" s="1"/>
  <c r="D55" i="5"/>
  <c r="D54" i="5"/>
  <c r="D53" i="5"/>
  <c r="D43" i="5"/>
  <c r="D37" i="5"/>
  <c r="D39" i="5" s="1"/>
  <c r="D92" i="5" s="1"/>
  <c r="D133" i="4"/>
  <c r="F113" i="4"/>
  <c r="C94" i="4"/>
  <c r="C81" i="4"/>
  <c r="C80" i="4"/>
  <c r="C73" i="4"/>
  <c r="C74" i="4" s="1"/>
  <c r="C67" i="4"/>
  <c r="C69" i="4" s="1"/>
  <c r="C83" i="4" s="1"/>
  <c r="D55" i="4"/>
  <c r="D54" i="4"/>
  <c r="D53" i="4"/>
  <c r="F45" i="4"/>
  <c r="D43" i="4"/>
  <c r="D37" i="4"/>
  <c r="D57" i="5" l="1"/>
  <c r="D122" i="5" s="1"/>
  <c r="D39" i="4"/>
  <c r="D80" i="4" s="1"/>
  <c r="C95" i="4"/>
  <c r="C95" i="6"/>
  <c r="C85" i="7"/>
  <c r="C102" i="7" s="1"/>
  <c r="C95" i="7"/>
  <c r="C96" i="7" s="1"/>
  <c r="C103" i="7" s="1"/>
  <c r="C95" i="8"/>
  <c r="D39" i="12"/>
  <c r="D66" i="12" s="1"/>
  <c r="C75" i="4"/>
  <c r="C76" i="4" s="1"/>
  <c r="C100" i="4" s="1"/>
  <c r="C95" i="5"/>
  <c r="C96" i="5" s="1"/>
  <c r="C103" i="5" s="1"/>
  <c r="C95" i="13"/>
  <c r="C96" i="13" s="1"/>
  <c r="C103" i="13" s="1"/>
  <c r="BU19" i="53"/>
  <c r="BV19" i="53" s="1"/>
  <c r="BF19" i="53"/>
  <c r="BG19" i="53" s="1"/>
  <c r="AY29" i="31"/>
  <c r="AZ29" i="31" s="1"/>
  <c r="BA29" i="31" s="1"/>
  <c r="AY16" i="31"/>
  <c r="AZ16" i="31" s="1"/>
  <c r="AU29" i="31"/>
  <c r="AV29" i="31" s="1"/>
  <c r="AU16" i="31"/>
  <c r="C95" i="15"/>
  <c r="C96" i="15" s="1"/>
  <c r="C103" i="15" s="1"/>
  <c r="D57" i="15"/>
  <c r="D122" i="15" s="1"/>
  <c r="H29" i="31"/>
  <c r="I29" i="31" s="1"/>
  <c r="V16" i="31"/>
  <c r="H16" i="31"/>
  <c r="I16" i="31" s="1"/>
  <c r="AA19" i="53" s="1"/>
  <c r="I19" i="53" s="1"/>
  <c r="C95" i="12"/>
  <c r="C96" i="12" s="1"/>
  <c r="C103" i="12" s="1"/>
  <c r="D57" i="7"/>
  <c r="D122" i="7" s="1"/>
  <c r="D49" i="7"/>
  <c r="D121" i="7" s="1"/>
  <c r="D63" i="4"/>
  <c r="D94" i="4"/>
  <c r="D79" i="4"/>
  <c r="D65" i="4"/>
  <c r="D91" i="4"/>
  <c r="D61" i="4"/>
  <c r="D68" i="4"/>
  <c r="D49" i="4"/>
  <c r="D121" i="4" s="1"/>
  <c r="D49" i="8"/>
  <c r="D121" i="8" s="1"/>
  <c r="D67" i="5"/>
  <c r="D83" i="5"/>
  <c r="D49" i="5"/>
  <c r="D121" i="5" s="1"/>
  <c r="D120" i="5"/>
  <c r="D121" i="15"/>
  <c r="D92" i="7"/>
  <c r="D57" i="6"/>
  <c r="D122" i="6" s="1"/>
  <c r="D90" i="6"/>
  <c r="D66" i="6"/>
  <c r="D73" i="6"/>
  <c r="D62" i="6"/>
  <c r="D57" i="4"/>
  <c r="D122" i="4" s="1"/>
  <c r="D90" i="8"/>
  <c r="D82" i="8"/>
  <c r="D73" i="8"/>
  <c r="D66" i="8"/>
  <c r="D62" i="8"/>
  <c r="D93" i="8"/>
  <c r="D89" i="8"/>
  <c r="D84" i="8"/>
  <c r="D81" i="8"/>
  <c r="D79" i="8"/>
  <c r="D120" i="8"/>
  <c r="D92" i="8"/>
  <c r="D88" i="8"/>
  <c r="D72" i="8"/>
  <c r="D67" i="8"/>
  <c r="D64" i="8"/>
  <c r="D94" i="8"/>
  <c r="D68" i="8"/>
  <c r="D61" i="8"/>
  <c r="D91" i="8"/>
  <c r="D80" i="8"/>
  <c r="D65" i="8"/>
  <c r="D90" i="4"/>
  <c r="D82" i="4"/>
  <c r="D75" i="4"/>
  <c r="D73" i="4"/>
  <c r="D66" i="4"/>
  <c r="D62" i="4"/>
  <c r="D100" i="4"/>
  <c r="D95" i="4"/>
  <c r="D93" i="4"/>
  <c r="D89" i="4"/>
  <c r="D84" i="4"/>
  <c r="D81" i="4"/>
  <c r="D120" i="4"/>
  <c r="D92" i="4"/>
  <c r="D88" i="4"/>
  <c r="D83" i="4"/>
  <c r="D72" i="4"/>
  <c r="D67" i="4"/>
  <c r="D64" i="4"/>
  <c r="C101" i="4"/>
  <c r="D101" i="4" s="1"/>
  <c r="C96" i="4"/>
  <c r="C103" i="4" s="1"/>
  <c r="D103" i="4" s="1"/>
  <c r="C85" i="4"/>
  <c r="C102" i="4" s="1"/>
  <c r="D102" i="4" s="1"/>
  <c r="D103" i="5"/>
  <c r="D94" i="5"/>
  <c r="D91" i="5"/>
  <c r="D80" i="5"/>
  <c r="D63" i="5"/>
  <c r="D90" i="5"/>
  <c r="D82" i="5"/>
  <c r="D73" i="5"/>
  <c r="D66" i="5"/>
  <c r="D62" i="5"/>
  <c r="D95" i="5"/>
  <c r="D93" i="5"/>
  <c r="D89" i="5"/>
  <c r="D84" i="5"/>
  <c r="D81" i="5"/>
  <c r="D79" i="5"/>
  <c r="D68" i="5"/>
  <c r="D65" i="5"/>
  <c r="D61" i="5"/>
  <c r="D64" i="5"/>
  <c r="D72" i="5"/>
  <c r="D88" i="5"/>
  <c r="D49" i="6"/>
  <c r="D121" i="6" s="1"/>
  <c r="D67" i="7"/>
  <c r="C85" i="5"/>
  <c r="C102" i="5" s="1"/>
  <c r="D102" i="5" s="1"/>
  <c r="C75" i="6"/>
  <c r="C96" i="6"/>
  <c r="C103" i="6" s="1"/>
  <c r="D103" i="6" s="1"/>
  <c r="C83" i="6"/>
  <c r="C85" i="6" s="1"/>
  <c r="C102" i="6" s="1"/>
  <c r="D102" i="6" s="1"/>
  <c r="D103" i="7"/>
  <c r="D94" i="7"/>
  <c r="D91" i="7"/>
  <c r="D80" i="7"/>
  <c r="D63" i="7"/>
  <c r="D90" i="7"/>
  <c r="D82" i="7"/>
  <c r="D73" i="7"/>
  <c r="D66" i="7"/>
  <c r="D62" i="7"/>
  <c r="D102" i="7"/>
  <c r="D95" i="7"/>
  <c r="D93" i="7"/>
  <c r="D89" i="7"/>
  <c r="D84" i="7"/>
  <c r="D81" i="7"/>
  <c r="D79" i="7"/>
  <c r="D68" i="7"/>
  <c r="D65" i="7"/>
  <c r="D61" i="7"/>
  <c r="D83" i="7"/>
  <c r="D95" i="12"/>
  <c r="D93" i="12"/>
  <c r="D89" i="12"/>
  <c r="D84" i="12"/>
  <c r="D81" i="12"/>
  <c r="D79" i="12"/>
  <c r="D94" i="12"/>
  <c r="D91" i="12"/>
  <c r="D80" i="12"/>
  <c r="D63" i="12"/>
  <c r="D73" i="12"/>
  <c r="D68" i="12"/>
  <c r="D65" i="12"/>
  <c r="D92" i="12"/>
  <c r="D67" i="12"/>
  <c r="D64" i="12"/>
  <c r="D90" i="12"/>
  <c r="D82" i="12"/>
  <c r="D72" i="12"/>
  <c r="D62" i="12"/>
  <c r="D88" i="12"/>
  <c r="D61" i="12"/>
  <c r="D120" i="12"/>
  <c r="D64" i="7"/>
  <c r="D72" i="7"/>
  <c r="D88" i="7"/>
  <c r="D63" i="8"/>
  <c r="C75" i="5"/>
  <c r="C76" i="5" s="1"/>
  <c r="C100" i="5" s="1"/>
  <c r="D63" i="6"/>
  <c r="D80" i="6"/>
  <c r="D91" i="6"/>
  <c r="D94" i="6"/>
  <c r="D101" i="6"/>
  <c r="C75" i="7"/>
  <c r="C76" i="7" s="1"/>
  <c r="C100" i="7" s="1"/>
  <c r="C101" i="5"/>
  <c r="D101" i="5" s="1"/>
  <c r="D64" i="6"/>
  <c r="D67" i="6"/>
  <c r="D72" i="6"/>
  <c r="D83" i="6"/>
  <c r="D88" i="6"/>
  <c r="D92" i="6"/>
  <c r="D120" i="6"/>
  <c r="C101" i="7"/>
  <c r="D101" i="7" s="1"/>
  <c r="C101" i="8"/>
  <c r="D101" i="8" s="1"/>
  <c r="C75" i="8"/>
  <c r="C76" i="8" s="1"/>
  <c r="C100" i="8" s="1"/>
  <c r="D100" i="8" s="1"/>
  <c r="C96" i="8"/>
  <c r="C103" i="8" s="1"/>
  <c r="D103" i="8" s="1"/>
  <c r="C75" i="12"/>
  <c r="C76" i="12" s="1"/>
  <c r="C100" i="12" s="1"/>
  <c r="D100" i="12" s="1"/>
  <c r="C83" i="12"/>
  <c r="C85" i="12" s="1"/>
  <c r="C102" i="12" s="1"/>
  <c r="D102" i="12" s="1"/>
  <c r="C101" i="12"/>
  <c r="D101" i="12" s="1"/>
  <c r="D61" i="6"/>
  <c r="D65" i="6"/>
  <c r="D68" i="6"/>
  <c r="D79" i="6"/>
  <c r="D81" i="6"/>
  <c r="D84" i="6"/>
  <c r="D89" i="6"/>
  <c r="D93" i="6"/>
  <c r="D95" i="6"/>
  <c r="D57" i="8"/>
  <c r="D122" i="8" s="1"/>
  <c r="C83" i="8"/>
  <c r="D83" i="8" s="1"/>
  <c r="D57" i="12"/>
  <c r="D122" i="12" s="1"/>
  <c r="D49" i="12"/>
  <c r="D121" i="12" s="1"/>
  <c r="C83" i="13"/>
  <c r="C101" i="13"/>
  <c r="C75" i="13"/>
  <c r="C76" i="13" s="1"/>
  <c r="C100" i="13" s="1"/>
  <c r="D62" i="15"/>
  <c r="D66" i="15"/>
  <c r="D73" i="15"/>
  <c r="D75" i="15"/>
  <c r="D82" i="15"/>
  <c r="D90" i="15"/>
  <c r="C101" i="15"/>
  <c r="D63" i="15"/>
  <c r="D80" i="15"/>
  <c r="C83" i="15"/>
  <c r="C85" i="15" s="1"/>
  <c r="C102" i="15" s="1"/>
  <c r="D91" i="15"/>
  <c r="D94" i="15"/>
  <c r="D101" i="15"/>
  <c r="D103" i="15"/>
  <c r="D64" i="15"/>
  <c r="D67" i="15"/>
  <c r="D72" i="15"/>
  <c r="D74" i="15" s="1"/>
  <c r="D88" i="15"/>
  <c r="D92" i="15"/>
  <c r="D120" i="15"/>
  <c r="D65" i="15"/>
  <c r="D68" i="15"/>
  <c r="D79" i="15"/>
  <c r="D81" i="15"/>
  <c r="D84" i="15"/>
  <c r="D89" i="15"/>
  <c r="D93" i="15"/>
  <c r="D95" i="15"/>
  <c r="D100" i="15"/>
  <c r="D74" i="8" l="1"/>
  <c r="D103" i="12"/>
  <c r="C105" i="7"/>
  <c r="D105" i="7" s="1"/>
  <c r="D123" i="7" s="1"/>
  <c r="D124" i="7" s="1"/>
  <c r="BA16" i="31"/>
  <c r="CD19" i="53" s="1"/>
  <c r="CC19" i="53"/>
  <c r="AW29" i="31"/>
  <c r="D74" i="6"/>
  <c r="CB19" i="53"/>
  <c r="AD19" i="53"/>
  <c r="M19" i="53" s="1"/>
  <c r="AV16" i="31"/>
  <c r="D74" i="5"/>
  <c r="D69" i="8"/>
  <c r="D69" i="5"/>
  <c r="I25" i="53"/>
  <c r="J25" i="53" s="1"/>
  <c r="J19" i="53"/>
  <c r="AI19" i="53"/>
  <c r="AB19" i="53"/>
  <c r="W16" i="31"/>
  <c r="X16" i="31" s="1"/>
  <c r="L16" i="31"/>
  <c r="J16" i="31"/>
  <c r="L29" i="31"/>
  <c r="J29" i="31"/>
  <c r="D76" i="15"/>
  <c r="D96" i="5"/>
  <c r="D96" i="15"/>
  <c r="D96" i="4"/>
  <c r="C105" i="5"/>
  <c r="D105" i="5" s="1"/>
  <c r="D123" i="5" s="1"/>
  <c r="D124" i="5" s="1"/>
  <c r="D83" i="12"/>
  <c r="D85" i="12" s="1"/>
  <c r="D85" i="4"/>
  <c r="D85" i="6"/>
  <c r="D96" i="7"/>
  <c r="D69" i="4"/>
  <c r="D83" i="15"/>
  <c r="D85" i="15" s="1"/>
  <c r="D69" i="15"/>
  <c r="D96" i="6"/>
  <c r="C105" i="15"/>
  <c r="D105" i="15" s="1"/>
  <c r="D106" i="15" s="1"/>
  <c r="D108" i="15" s="1"/>
  <c r="D102" i="15"/>
  <c r="D106" i="7"/>
  <c r="D96" i="12"/>
  <c r="C76" i="6"/>
  <c r="C100" i="6" s="1"/>
  <c r="D75" i="6"/>
  <c r="C85" i="13"/>
  <c r="C102" i="13" s="1"/>
  <c r="D74" i="7"/>
  <c r="D85" i="7"/>
  <c r="D75" i="7"/>
  <c r="D100" i="5"/>
  <c r="D74" i="4"/>
  <c r="D76" i="4" s="1"/>
  <c r="C105" i="4"/>
  <c r="D105" i="4" s="1"/>
  <c r="D74" i="12"/>
  <c r="D69" i="7"/>
  <c r="C85" i="8"/>
  <c r="C102" i="8" s="1"/>
  <c r="D102" i="8" s="1"/>
  <c r="D85" i="8"/>
  <c r="D75" i="8"/>
  <c r="D69" i="6"/>
  <c r="C105" i="12"/>
  <c r="D105" i="12" s="1"/>
  <c r="D69" i="12"/>
  <c r="D75" i="12"/>
  <c r="D100" i="7"/>
  <c r="D85" i="5"/>
  <c r="D75" i="5"/>
  <c r="D95" i="8"/>
  <c r="D96" i="8" s="1"/>
  <c r="D76" i="5" l="1"/>
  <c r="D76" i="8"/>
  <c r="D76" i="6"/>
  <c r="AE19" i="53"/>
  <c r="AW16" i="31"/>
  <c r="AF26" i="53"/>
  <c r="AJ26" i="53" s="1"/>
  <c r="AE26" i="53"/>
  <c r="AJ19" i="53"/>
  <c r="C105" i="8"/>
  <c r="D105" i="8" s="1"/>
  <c r="D106" i="8" s="1"/>
  <c r="D106" i="5"/>
  <c r="D108" i="5" s="1"/>
  <c r="D115" i="5" s="1"/>
  <c r="F114" i="5" s="1"/>
  <c r="F115" i="5" s="1"/>
  <c r="D76" i="7"/>
  <c r="D76" i="12"/>
  <c r="D123" i="12"/>
  <c r="D124" i="12" s="1"/>
  <c r="D106" i="12"/>
  <c r="D106" i="4"/>
  <c r="D123" i="4"/>
  <c r="D124" i="4" s="1"/>
  <c r="C105" i="6"/>
  <c r="D105" i="6" s="1"/>
  <c r="D100" i="6"/>
  <c r="C105" i="13"/>
  <c r="D123" i="15"/>
  <c r="D124" i="15" s="1"/>
  <c r="D108" i="7"/>
  <c r="D115" i="7" s="1"/>
  <c r="F114" i="7" s="1"/>
  <c r="F115" i="7" s="1"/>
  <c r="AF19" i="53" l="1"/>
  <c r="AI26" i="53"/>
  <c r="D123" i="8"/>
  <c r="D124" i="8" s="1"/>
  <c r="D114" i="7"/>
  <c r="D113" i="7"/>
  <c r="D112" i="7"/>
  <c r="D115" i="15"/>
  <c r="F114" i="15" s="1"/>
  <c r="F115" i="15" s="1"/>
  <c r="D123" i="6"/>
  <c r="D124" i="6" s="1"/>
  <c r="D106" i="6"/>
  <c r="D108" i="4"/>
  <c r="D115" i="4" s="1"/>
  <c r="F114" i="4" s="1"/>
  <c r="F115" i="4" s="1"/>
  <c r="D114" i="5"/>
  <c r="D113" i="5"/>
  <c r="D112" i="5"/>
  <c r="D108" i="8"/>
  <c r="D115" i="8" s="1"/>
  <c r="F114" i="8" s="1"/>
  <c r="F115" i="8" s="1"/>
  <c r="D108" i="12"/>
  <c r="D116" i="7" l="1"/>
  <c r="D125" i="7" s="1"/>
  <c r="D126" i="7" s="1"/>
  <c r="D130" i="7" s="1"/>
  <c r="D132" i="7" s="1"/>
  <c r="D134" i="7" s="1"/>
  <c r="D138" i="7" s="1"/>
  <c r="D116" i="5"/>
  <c r="D125" i="5" s="1"/>
  <c r="D126" i="5" s="1"/>
  <c r="D130" i="5" s="1"/>
  <c r="D137" i="5" s="1"/>
  <c r="D113" i="15"/>
  <c r="D112" i="15"/>
  <c r="D114" i="15"/>
  <c r="D113" i="4"/>
  <c r="D112" i="4"/>
  <c r="D114" i="4"/>
  <c r="D113" i="8"/>
  <c r="D112" i="8"/>
  <c r="D114" i="8"/>
  <c r="D108" i="6"/>
  <c r="D115" i="6" s="1"/>
  <c r="F114" i="6" s="1"/>
  <c r="F115" i="6" s="1"/>
  <c r="D115" i="12"/>
  <c r="F114" i="12" s="1"/>
  <c r="F115" i="12" s="1"/>
  <c r="AU13" i="31" l="1"/>
  <c r="CB15" i="53" s="1"/>
  <c r="AY13" i="31"/>
  <c r="AZ13" i="31" s="1"/>
  <c r="BA13" i="31" s="1"/>
  <c r="BF15" i="53"/>
  <c r="AY40" i="31"/>
  <c r="AZ40" i="31" s="1"/>
  <c r="AY69" i="31"/>
  <c r="AZ69" i="31" s="1"/>
  <c r="BA69" i="31" s="1"/>
  <c r="AY41" i="31"/>
  <c r="AZ41" i="31" s="1"/>
  <c r="BA41" i="31" s="1"/>
  <c r="AV13" i="31"/>
  <c r="D139" i="7"/>
  <c r="AU65" i="31"/>
  <c r="AU41" i="31"/>
  <c r="AV41" i="31" s="1"/>
  <c r="AU69" i="31"/>
  <c r="AU40" i="31"/>
  <c r="AV40" i="31" s="1"/>
  <c r="H69" i="31"/>
  <c r="H40" i="31"/>
  <c r="I40" i="31" s="1"/>
  <c r="H41" i="31"/>
  <c r="I41" i="31" s="1"/>
  <c r="V13" i="31"/>
  <c r="W13" i="31" s="1"/>
  <c r="X13" i="31" s="1"/>
  <c r="H13" i="31"/>
  <c r="I13" i="31" s="1"/>
  <c r="D116" i="4"/>
  <c r="D125" i="4" s="1"/>
  <c r="D126" i="4" s="1"/>
  <c r="D130" i="4" s="1"/>
  <c r="D132" i="4" s="1"/>
  <c r="D134" i="4" s="1"/>
  <c r="D138" i="4" s="1"/>
  <c r="D139" i="4" s="1"/>
  <c r="D137" i="7"/>
  <c r="D132" i="5"/>
  <c r="D116" i="8"/>
  <c r="D125" i="8" s="1"/>
  <c r="D126" i="8" s="1"/>
  <c r="D130" i="8" s="1"/>
  <c r="D137" i="8" s="1"/>
  <c r="D116" i="15"/>
  <c r="D125" i="15" s="1"/>
  <c r="D126" i="15" s="1"/>
  <c r="D130" i="15" s="1"/>
  <c r="D137" i="15" s="1"/>
  <c r="D113" i="6"/>
  <c r="D112" i="6"/>
  <c r="D114" i="6"/>
  <c r="D113" i="12"/>
  <c r="D114" i="12"/>
  <c r="D112" i="12"/>
  <c r="BA40" i="31" l="1"/>
  <c r="CC15" i="53"/>
  <c r="AU11" i="31"/>
  <c r="CB13" i="53" s="1"/>
  <c r="AY11" i="31"/>
  <c r="BU13" i="53"/>
  <c r="BV13" i="53" s="1"/>
  <c r="AY24" i="31"/>
  <c r="AZ24" i="31" s="1"/>
  <c r="BF13" i="53"/>
  <c r="BF16" i="53"/>
  <c r="AY70" i="31"/>
  <c r="AZ70" i="31" s="1"/>
  <c r="BA70" i="31" s="1"/>
  <c r="AY14" i="31"/>
  <c r="AZ14" i="31" s="1"/>
  <c r="BA14" i="31" s="1"/>
  <c r="AU18" i="31"/>
  <c r="CB21" i="53" s="1"/>
  <c r="AY18" i="31"/>
  <c r="AZ18" i="31" s="1"/>
  <c r="BA18" i="31" s="1"/>
  <c r="BU21" i="53"/>
  <c r="BV21" i="53" s="1"/>
  <c r="BU15" i="53"/>
  <c r="BV15" i="53" s="1"/>
  <c r="BG15" i="53"/>
  <c r="AW41" i="31"/>
  <c r="I69" i="31"/>
  <c r="L69" i="31" s="1"/>
  <c r="AV69" i="31"/>
  <c r="AW13" i="31"/>
  <c r="BH200" i="31"/>
  <c r="BH206" i="31" s="1"/>
  <c r="AV65" i="31"/>
  <c r="AW65" i="31" s="1"/>
  <c r="AU14" i="31"/>
  <c r="AU70" i="31"/>
  <c r="H70" i="31"/>
  <c r="H14" i="31"/>
  <c r="I14" i="31" s="1"/>
  <c r="V14" i="31"/>
  <c r="W14" i="31" s="1"/>
  <c r="X14" i="31" s="1"/>
  <c r="L13" i="31"/>
  <c r="J13" i="31"/>
  <c r="AA15" i="53"/>
  <c r="AI15" i="53" s="1"/>
  <c r="L41" i="31"/>
  <c r="J41" i="31"/>
  <c r="D134" i="5"/>
  <c r="D138" i="5" s="1"/>
  <c r="D139" i="5" s="1"/>
  <c r="L40" i="31"/>
  <c r="J40" i="31"/>
  <c r="AW40" i="31"/>
  <c r="H24" i="31"/>
  <c r="I24" i="31" s="1"/>
  <c r="AU24" i="31"/>
  <c r="AV24" i="31" s="1"/>
  <c r="H11" i="31"/>
  <c r="I11" i="31" s="1"/>
  <c r="AA13" i="53" s="1"/>
  <c r="AI13" i="53" s="1"/>
  <c r="V11" i="31"/>
  <c r="D137" i="4"/>
  <c r="D132" i="15"/>
  <c r="D134" i="15" s="1"/>
  <c r="D138" i="15" s="1"/>
  <c r="D139" i="15" s="1"/>
  <c r="D116" i="6"/>
  <c r="D125" i="6" s="1"/>
  <c r="D126" i="6" s="1"/>
  <c r="D130" i="6" s="1"/>
  <c r="D132" i="6" s="1"/>
  <c r="D134" i="6" s="1"/>
  <c r="D138" i="6" s="1"/>
  <c r="D139" i="6" s="1"/>
  <c r="D132" i="8"/>
  <c r="D134" i="8" s="1"/>
  <c r="D138" i="8" s="1"/>
  <c r="D139" i="8" s="1"/>
  <c r="D116" i="12"/>
  <c r="D125" i="12" s="1"/>
  <c r="D126" i="12" s="1"/>
  <c r="D130" i="12" s="1"/>
  <c r="AV18" i="31" l="1"/>
  <c r="AE21" i="53" s="1"/>
  <c r="BU16" i="53"/>
  <c r="BV16" i="53" s="1"/>
  <c r="BG16" i="53"/>
  <c r="BA24" i="31"/>
  <c r="AZ11" i="31"/>
  <c r="AY27" i="31"/>
  <c r="AZ27" i="31" s="1"/>
  <c r="AY28" i="31"/>
  <c r="AZ28" i="31" s="1"/>
  <c r="BA28" i="31" s="1"/>
  <c r="BF17" i="53"/>
  <c r="BU17" i="53" s="1"/>
  <c r="AY71" i="31"/>
  <c r="AZ71" i="31" s="1"/>
  <c r="BA71" i="31" s="1"/>
  <c r="AY15" i="31"/>
  <c r="AZ15" i="31" s="1"/>
  <c r="BA15" i="31" s="1"/>
  <c r="AY63" i="31"/>
  <c r="AZ63" i="31" s="1"/>
  <c r="BA63" i="31" s="1"/>
  <c r="BG13" i="53"/>
  <c r="AV11" i="31"/>
  <c r="AW11" i="31" s="1"/>
  <c r="J69" i="31"/>
  <c r="I70" i="31"/>
  <c r="L70" i="31" s="1"/>
  <c r="AV70" i="31"/>
  <c r="AW69" i="31"/>
  <c r="AU15" i="31"/>
  <c r="AU28" i="31"/>
  <c r="AV28" i="31" s="1"/>
  <c r="AV14" i="31"/>
  <c r="CB16" i="53"/>
  <c r="AU63" i="31"/>
  <c r="AV63" i="31" s="1"/>
  <c r="AV27" i="31"/>
  <c r="AU71" i="31"/>
  <c r="H63" i="31"/>
  <c r="I63" i="31" s="1"/>
  <c r="H27" i="31"/>
  <c r="I27" i="31" s="1"/>
  <c r="H71" i="31"/>
  <c r="V15" i="31"/>
  <c r="W15" i="31" s="1"/>
  <c r="X15" i="31" s="1"/>
  <c r="H15" i="31"/>
  <c r="I15" i="31" s="1"/>
  <c r="J14" i="31"/>
  <c r="L14" i="31"/>
  <c r="AA16" i="53"/>
  <c r="AB16" i="53" s="1"/>
  <c r="AJ16" i="53" s="1"/>
  <c r="AD16" i="53"/>
  <c r="AB15" i="53"/>
  <c r="AJ15" i="53" s="1"/>
  <c r="AD15" i="53"/>
  <c r="W11" i="31"/>
  <c r="X11" i="31" s="1"/>
  <c r="AB13" i="53"/>
  <c r="AJ13" i="53" s="1"/>
  <c r="J24" i="31"/>
  <c r="K24" i="31"/>
  <c r="K11" i="31"/>
  <c r="K21" i="31" s="1"/>
  <c r="J11" i="31"/>
  <c r="D137" i="6"/>
  <c r="D137" i="12"/>
  <c r="D132" i="12"/>
  <c r="D134" i="12" s="1"/>
  <c r="AW18" i="31" l="1"/>
  <c r="AF21" i="53" s="1"/>
  <c r="J70" i="31"/>
  <c r="AU34" i="31"/>
  <c r="AY34" i="31"/>
  <c r="AZ34" i="31" s="1"/>
  <c r="BA34" i="31" s="1"/>
  <c r="BF23" i="53"/>
  <c r="AY32" i="31"/>
  <c r="AZ32" i="31" s="1"/>
  <c r="BA32" i="31" s="1"/>
  <c r="AY19" i="31"/>
  <c r="AZ19" i="31" s="1"/>
  <c r="AY59" i="31"/>
  <c r="AZ59" i="31" s="1"/>
  <c r="BA59" i="31" s="1"/>
  <c r="AY55" i="31"/>
  <c r="AZ55" i="31" s="1"/>
  <c r="BA55" i="31" s="1"/>
  <c r="AY51" i="31"/>
  <c r="AZ51" i="31" s="1"/>
  <c r="BA51" i="31" s="1"/>
  <c r="AY47" i="31"/>
  <c r="AZ47" i="31" s="1"/>
  <c r="BA47" i="31" s="1"/>
  <c r="AY35" i="31"/>
  <c r="AZ35" i="31" s="1"/>
  <c r="BA35" i="31" s="1"/>
  <c r="AY33" i="31"/>
  <c r="AZ33" i="31" s="1"/>
  <c r="BA33" i="31" s="1"/>
  <c r="AY31" i="31"/>
  <c r="AZ31" i="31" s="1"/>
  <c r="BA31" i="31" s="1"/>
  <c r="BA11" i="31"/>
  <c r="CC13" i="53"/>
  <c r="AY171" i="31"/>
  <c r="AZ171" i="31" s="1"/>
  <c r="BU22" i="53"/>
  <c r="BV22" i="53" s="1"/>
  <c r="BF22" i="53"/>
  <c r="BG22" i="53" s="1"/>
  <c r="AY152" i="31"/>
  <c r="AZ152" i="31" s="1"/>
  <c r="BV17" i="53"/>
  <c r="BG17" i="53"/>
  <c r="BA27" i="31"/>
  <c r="AW27" i="31"/>
  <c r="AW63" i="31"/>
  <c r="AW28" i="31"/>
  <c r="AW70" i="31"/>
  <c r="I71" i="31"/>
  <c r="J71" i="31" s="1"/>
  <c r="D138" i="12"/>
  <c r="D139" i="12" s="1"/>
  <c r="AU42" i="31"/>
  <c r="AV42" i="31" s="1"/>
  <c r="AV15" i="31"/>
  <c r="CB17" i="53"/>
  <c r="AV71" i="31"/>
  <c r="AW14" i="31"/>
  <c r="AU171" i="31"/>
  <c r="AV171" i="31" s="1"/>
  <c r="AU152" i="31"/>
  <c r="H171" i="31"/>
  <c r="I171" i="31" s="1"/>
  <c r="V152" i="31"/>
  <c r="W152" i="31" s="1"/>
  <c r="H124" i="31"/>
  <c r="I124" i="31" s="1"/>
  <c r="V171" i="31"/>
  <c r="W171" i="31" s="1"/>
  <c r="H152" i="31"/>
  <c r="I152" i="31" s="1"/>
  <c r="L152" i="31" s="1"/>
  <c r="L153" i="31" s="1"/>
  <c r="V124" i="31"/>
  <c r="W124" i="31" s="1"/>
  <c r="AV34" i="31"/>
  <c r="AU59" i="31"/>
  <c r="AV59" i="31" s="1"/>
  <c r="AU51" i="31"/>
  <c r="AV51" i="31" s="1"/>
  <c r="AU35" i="31"/>
  <c r="AV35" i="31" s="1"/>
  <c r="AU32" i="31"/>
  <c r="AV32" i="31" s="1"/>
  <c r="AU19" i="31"/>
  <c r="AU47" i="31"/>
  <c r="AV47" i="31" s="1"/>
  <c r="AU33" i="31"/>
  <c r="AV33" i="31" s="1"/>
  <c r="AU31" i="31"/>
  <c r="AV31" i="31" s="1"/>
  <c r="AU55" i="31"/>
  <c r="AV55" i="31" s="1"/>
  <c r="AA17" i="53"/>
  <c r="AB17" i="53" s="1"/>
  <c r="J15" i="31"/>
  <c r="L15" i="31"/>
  <c r="L63" i="31"/>
  <c r="J63" i="31"/>
  <c r="L27" i="31"/>
  <c r="J27" i="31"/>
  <c r="AD17" i="53"/>
  <c r="AH17" i="53"/>
  <c r="AI16" i="53"/>
  <c r="AE16" i="53"/>
  <c r="AW24" i="31"/>
  <c r="H59" i="31"/>
  <c r="I59" i="31" s="1"/>
  <c r="H55" i="31"/>
  <c r="I55" i="31" s="1"/>
  <c r="H51" i="31"/>
  <c r="I51" i="31" s="1"/>
  <c r="H47" i="31"/>
  <c r="I47" i="31" s="1"/>
  <c r="H35" i="31"/>
  <c r="I36" i="31" s="1"/>
  <c r="H33" i="31"/>
  <c r="I33" i="31" s="1"/>
  <c r="H31" i="31"/>
  <c r="I31" i="31" s="1"/>
  <c r="H32" i="31"/>
  <c r="I32" i="31" s="1"/>
  <c r="V19" i="31"/>
  <c r="H19" i="31"/>
  <c r="I19" i="31" s="1"/>
  <c r="AA23" i="53" s="1"/>
  <c r="BA171" i="31" l="1"/>
  <c r="AZ172" i="31"/>
  <c r="BA152" i="31"/>
  <c r="BA153" i="31" s="1"/>
  <c r="CC22" i="53"/>
  <c r="AZ153" i="31"/>
  <c r="CD13" i="53"/>
  <c r="BA19" i="31"/>
  <c r="CD23" i="53" s="1"/>
  <c r="CC23" i="53"/>
  <c r="BU23" i="53"/>
  <c r="BV23" i="53" s="1"/>
  <c r="BG23" i="53"/>
  <c r="AW31" i="31"/>
  <c r="AW47" i="31"/>
  <c r="AW32" i="31"/>
  <c r="AW51" i="31"/>
  <c r="AW34" i="31"/>
  <c r="AW42" i="31"/>
  <c r="AW55" i="31"/>
  <c r="AW33" i="31"/>
  <c r="AW35" i="31"/>
  <c r="AW59" i="31"/>
  <c r="L71" i="31"/>
  <c r="AW71" i="31"/>
  <c r="AW15" i="31"/>
  <c r="AV19" i="31"/>
  <c r="CB23" i="53"/>
  <c r="AV152" i="31"/>
  <c r="CB22" i="53"/>
  <c r="X124" i="31"/>
  <c r="X125" i="31" s="1"/>
  <c r="W125" i="31"/>
  <c r="X171" i="31"/>
  <c r="X172" i="31" s="1"/>
  <c r="W172" i="31"/>
  <c r="AV124" i="31"/>
  <c r="AD22" i="53"/>
  <c r="M126" i="31"/>
  <c r="L127" i="31"/>
  <c r="AW171" i="31"/>
  <c r="AW172" i="31" s="1"/>
  <c r="AV172" i="31"/>
  <c r="X152" i="31"/>
  <c r="X153" i="31" s="1"/>
  <c r="W153" i="31"/>
  <c r="AD23" i="53"/>
  <c r="AE17" i="53"/>
  <c r="AI17" i="53"/>
  <c r="AI25" i="53" s="1"/>
  <c r="AF16" i="53"/>
  <c r="AB23" i="53"/>
  <c r="W19" i="31"/>
  <c r="X19" i="31" s="1"/>
  <c r="AA22" i="53"/>
  <c r="I35" i="31"/>
  <c r="J35" i="31" s="1"/>
  <c r="L19" i="31"/>
  <c r="J19" i="31"/>
  <c r="L31" i="31"/>
  <c r="J31" i="31"/>
  <c r="J51" i="31"/>
  <c r="L51" i="31"/>
  <c r="L59" i="31"/>
  <c r="J59" i="31"/>
  <c r="L32" i="31"/>
  <c r="J32" i="31"/>
  <c r="J33" i="31"/>
  <c r="L33" i="31"/>
  <c r="L47" i="31"/>
  <c r="J47" i="31"/>
  <c r="J55" i="31"/>
  <c r="L55" i="31"/>
  <c r="I125" i="31"/>
  <c r="L124" i="31"/>
  <c r="L125" i="31" s="1"/>
  <c r="K171" i="31"/>
  <c r="K172" i="31" s="1"/>
  <c r="L172" i="31"/>
  <c r="J124" i="31"/>
  <c r="J125" i="31" s="1"/>
  <c r="J152" i="31"/>
  <c r="J153" i="31" s="1"/>
  <c r="I153" i="31"/>
  <c r="J171" i="31"/>
  <c r="J172" i="31" s="1"/>
  <c r="I172" i="31"/>
  <c r="CD22" i="53" l="1"/>
  <c r="BA172" i="31"/>
  <c r="AV153" i="31"/>
  <c r="AW152" i="31"/>
  <c r="AW153" i="31" s="1"/>
  <c r="AW19" i="31"/>
  <c r="AW124" i="31"/>
  <c r="AV125" i="31"/>
  <c r="AE23" i="53"/>
  <c r="AJ17" i="53"/>
  <c r="AF17" i="53"/>
  <c r="L35" i="31"/>
  <c r="J36" i="31"/>
  <c r="H36" i="31"/>
  <c r="AB22" i="53"/>
  <c r="AW125" i="31" l="1"/>
  <c r="AF23" i="53"/>
  <c r="AJ25" i="53"/>
  <c r="R16" i="31"/>
  <c r="R21" i="31" s="1"/>
  <c r="S16" i="31" l="1"/>
  <c r="S21" i="31" s="1"/>
  <c r="D43" i="13" l="1"/>
  <c r="D49" i="13" s="1"/>
  <c r="D121" i="13" s="1"/>
  <c r="D39" i="13"/>
  <c r="D94" i="13" l="1"/>
  <c r="D91" i="13"/>
  <c r="D68" i="13"/>
  <c r="D80" i="13"/>
  <c r="D92" i="13"/>
  <c r="D100" i="13"/>
  <c r="D73" i="13"/>
  <c r="D103" i="13"/>
  <c r="D81" i="13"/>
  <c r="D62" i="13"/>
  <c r="D65" i="13"/>
  <c r="D101" i="13"/>
  <c r="D72" i="13"/>
  <c r="D74" i="13" s="1"/>
  <c r="D75" i="13"/>
  <c r="D64" i="13"/>
  <c r="D89" i="13"/>
  <c r="D88" i="13"/>
  <c r="D84" i="13"/>
  <c r="D67" i="13"/>
  <c r="D102" i="13"/>
  <c r="D90" i="13"/>
  <c r="D63" i="13"/>
  <c r="D82" i="13"/>
  <c r="D93" i="13"/>
  <c r="D66" i="13"/>
  <c r="D83" i="13"/>
  <c r="D79" i="13"/>
  <c r="D95" i="13"/>
  <c r="D61" i="13"/>
  <c r="D120" i="13"/>
  <c r="D105" i="13"/>
  <c r="D69" i="13" l="1"/>
  <c r="D85" i="13"/>
  <c r="D96" i="13"/>
  <c r="D123" i="13"/>
  <c r="D106" i="13"/>
  <c r="D124" i="13"/>
  <c r="D76" i="13"/>
  <c r="D108" i="13" l="1"/>
  <c r="D115" i="13" s="1"/>
  <c r="F114" i="13" s="1"/>
  <c r="F115" i="13" s="1"/>
  <c r="D114" i="13" l="1"/>
  <c r="D112" i="13"/>
  <c r="D113" i="13"/>
  <c r="D116" i="13" l="1"/>
  <c r="D125" i="13" s="1"/>
  <c r="D126" i="13" s="1"/>
  <c r="D130" i="13" s="1"/>
  <c r="D132" i="13" s="1"/>
  <c r="D134" i="13" s="1"/>
  <c r="D138" i="13" s="1"/>
  <c r="D139" i="13" s="1"/>
  <c r="D137" i="13" l="1"/>
  <c r="AY12" i="31" l="1"/>
  <c r="AZ12" i="31" s="1"/>
  <c r="AY193" i="31"/>
  <c r="AZ193" i="31" s="1"/>
  <c r="AY198" i="31"/>
  <c r="AZ198" i="31" s="1"/>
  <c r="BF14" i="53"/>
  <c r="AY68" i="31"/>
  <c r="AZ68" i="31" s="1"/>
  <c r="BA68" i="31" s="1"/>
  <c r="AY62" i="31"/>
  <c r="AZ62" i="31" s="1"/>
  <c r="BA62" i="31" s="1"/>
  <c r="AY58" i="31"/>
  <c r="AZ58" i="31" s="1"/>
  <c r="BA58" i="31" s="1"/>
  <c r="AY54" i="31"/>
  <c r="AZ54" i="31" s="1"/>
  <c r="BA54" i="31" s="1"/>
  <c r="AY50" i="31"/>
  <c r="AZ50" i="31" s="1"/>
  <c r="BA50" i="31" s="1"/>
  <c r="AY46" i="31"/>
  <c r="AZ46" i="31" s="1"/>
  <c r="BA46" i="31" s="1"/>
  <c r="AY38" i="31"/>
  <c r="AZ38" i="31" s="1"/>
  <c r="BA38" i="31" s="1"/>
  <c r="AY26" i="31"/>
  <c r="AZ26" i="31" s="1"/>
  <c r="BA26" i="31" s="1"/>
  <c r="AY39" i="31"/>
  <c r="AZ39" i="31" s="1"/>
  <c r="BA39" i="31" s="1"/>
  <c r="AY25" i="31"/>
  <c r="AZ25" i="31" s="1"/>
  <c r="H26" i="31"/>
  <c r="I26" i="31" s="1"/>
  <c r="J26" i="31" s="1"/>
  <c r="AU198" i="31"/>
  <c r="AV198" i="31" s="1"/>
  <c r="AU193" i="31"/>
  <c r="AV193" i="31" s="1"/>
  <c r="AU39" i="31"/>
  <c r="AV39" i="31" s="1"/>
  <c r="H38" i="31"/>
  <c r="I38" i="31" s="1"/>
  <c r="J38" i="31" s="1"/>
  <c r="AU25" i="31"/>
  <c r="AV25" i="31" s="1"/>
  <c r="H46" i="31"/>
  <c r="I46" i="31" s="1"/>
  <c r="L46" i="31" s="1"/>
  <c r="AU54" i="31"/>
  <c r="AV54" i="31" s="1"/>
  <c r="V12" i="31"/>
  <c r="W12" i="31" s="1"/>
  <c r="X12" i="31" s="1"/>
  <c r="X21" i="31" s="1"/>
  <c r="AU26" i="31"/>
  <c r="AV26" i="31" s="1"/>
  <c r="H58" i="31"/>
  <c r="I58" i="31" s="1"/>
  <c r="L58" i="31" s="1"/>
  <c r="H25" i="31"/>
  <c r="I25" i="31" s="1"/>
  <c r="L25" i="31" s="1"/>
  <c r="H62" i="31"/>
  <c r="I62" i="31" s="1"/>
  <c r="J62" i="31" s="1"/>
  <c r="AU50" i="31"/>
  <c r="AV50" i="31" s="1"/>
  <c r="AU12" i="31"/>
  <c r="H12" i="31"/>
  <c r="I12" i="31" s="1"/>
  <c r="I21" i="31" s="1"/>
  <c r="AU68" i="31"/>
  <c r="AU62" i="31"/>
  <c r="AV62" i="31" s="1"/>
  <c r="AU58" i="31"/>
  <c r="AV58" i="31" s="1"/>
  <c r="H68" i="31"/>
  <c r="H39" i="31"/>
  <c r="I39" i="31" s="1"/>
  <c r="J39" i="31" s="1"/>
  <c r="H54" i="31"/>
  <c r="I54" i="31" s="1"/>
  <c r="J54" i="31" s="1"/>
  <c r="H50" i="31"/>
  <c r="I50" i="31" s="1"/>
  <c r="J50" i="31" s="1"/>
  <c r="AU46" i="31"/>
  <c r="AV46" i="31" s="1"/>
  <c r="AU38" i="31"/>
  <c r="AV38" i="31" s="1"/>
  <c r="AA14" i="53"/>
  <c r="J58" i="31"/>
  <c r="J25" i="31"/>
  <c r="L26" i="31"/>
  <c r="BA25" i="31" l="1"/>
  <c r="BU14" i="53"/>
  <c r="BV14" i="53" s="1"/>
  <c r="BV25" i="53" s="1"/>
  <c r="BG14" i="53"/>
  <c r="BG25" i="53" s="1"/>
  <c r="BF25" i="53"/>
  <c r="BA193" i="31"/>
  <c r="BA194" i="31" s="1"/>
  <c r="BC214" i="31" s="1"/>
  <c r="AZ194" i="31"/>
  <c r="BA198" i="31"/>
  <c r="BA200" i="31" s="1"/>
  <c r="AZ200" i="31"/>
  <c r="BA12" i="31"/>
  <c r="BA21" i="31" s="1"/>
  <c r="AZ21" i="31"/>
  <c r="AD14" i="53"/>
  <c r="CB14" i="53"/>
  <c r="AW198" i="31"/>
  <c r="AW200" i="31" s="1"/>
  <c r="AV200" i="31"/>
  <c r="AV194" i="31"/>
  <c r="AW193" i="31"/>
  <c r="AW194" i="31" s="1"/>
  <c r="AW38" i="31"/>
  <c r="AW58" i="31"/>
  <c r="AW46" i="31"/>
  <c r="AW62" i="31"/>
  <c r="AW50" i="31"/>
  <c r="AW26" i="31"/>
  <c r="AW54" i="31"/>
  <c r="AW25" i="31"/>
  <c r="AW39" i="31"/>
  <c r="L54" i="31"/>
  <c r="L38" i="31"/>
  <c r="J46" i="31"/>
  <c r="L12" i="31"/>
  <c r="L21" i="31" s="1"/>
  <c r="J12" i="31"/>
  <c r="J21" i="31" s="1"/>
  <c r="J215" i="31" s="1"/>
  <c r="AV68" i="31"/>
  <c r="I68" i="31"/>
  <c r="L39" i="31"/>
  <c r="L14" i="53"/>
  <c r="BB14" i="53" s="1"/>
  <c r="BC14" i="53" s="1"/>
  <c r="L62" i="31"/>
  <c r="W21" i="31"/>
  <c r="AV12" i="31"/>
  <c r="L50" i="31"/>
  <c r="AB14" i="53"/>
  <c r="AB25" i="53" s="1"/>
  <c r="AA25" i="53"/>
  <c r="CD14" i="53" l="1"/>
  <c r="CD25" i="53" s="1"/>
  <c r="BC200" i="31"/>
  <c r="CC25" i="53"/>
  <c r="L68" i="31"/>
  <c r="J68" i="31"/>
  <c r="AW68" i="31"/>
  <c r="M14" i="53"/>
  <c r="M25" i="53" s="1"/>
  <c r="AV26" i="53" s="1"/>
  <c r="AV27" i="53" s="1"/>
  <c r="AW12" i="31"/>
  <c r="AF14" i="53" s="1"/>
  <c r="AF25" i="53" s="1"/>
  <c r="L25" i="53"/>
  <c r="AE14" i="53"/>
  <c r="AE25" i="53" s="1"/>
  <c r="AV21" i="31"/>
  <c r="G215" i="31"/>
  <c r="BC25" i="53"/>
  <c r="BD14" i="53"/>
  <c r="BD25" i="53" s="1"/>
  <c r="BD26" i="53" s="1"/>
  <c r="AW21" i="31"/>
  <c r="BC26" i="53" l="1"/>
  <c r="BC27" i="53" s="1"/>
</calcChain>
</file>

<file path=xl/comments1.xml><?xml version="1.0" encoding="utf-8"?>
<comments xmlns="http://schemas.openxmlformats.org/spreadsheetml/2006/main">
  <authors>
    <author>Nicolly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5,68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6,28 por hora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270,00
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antes 22,50
</t>
        </r>
      </text>
    </comment>
  </commentList>
</comments>
</file>

<file path=xl/comments10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</t>
        </r>
      </text>
    </comment>
  </commentList>
</comments>
</file>

<file path=xl/comments11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</t>
        </r>
      </text>
    </comment>
  </commentList>
</comments>
</file>

<file path=xl/comments12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
</t>
        </r>
      </text>
    </comment>
  </commentList>
</comments>
</file>

<file path=xl/comments13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</t>
        </r>
      </text>
    </comment>
  </commentList>
</comments>
</file>

<file path=xl/comments14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
</t>
        </r>
      </text>
    </comment>
  </commentList>
</comments>
</file>

<file path=xl/comments15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</t>
        </r>
      </text>
    </comment>
  </commentList>
</comments>
</file>

<file path=xl/comments16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
</t>
        </r>
      </text>
    </comment>
  </commentList>
</comments>
</file>

<file path=xl/comments17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</t>
        </r>
      </text>
    </comment>
  </commentList>
</comments>
</file>

<file path=xl/comments18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do salário referente a 44 horas semanais
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Nicolly</author>
  </authors>
  <commentList>
    <comment ref="BA1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1 recepcionista
</t>
        </r>
      </text>
    </comment>
    <comment ref="BH14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2 recepcionaistas em Palmas, 1 em Jaguariaíva e 1 em Pinhais
</t>
        </r>
      </text>
    </comment>
    <comment ref="BL1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1 recepcionista
</t>
        </r>
      </text>
    </comment>
    <comment ref="BT14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ADITIVO - ACRÉSCIMO DE 2 POSTOS -CURITIBA
3º ADITIVO - 1 POSTO CASCAVEL
4º ADITIVO - 1 POSTO - CURITIBA
5º ADITIVO - 1 POSTO - PINHAIS
1 POSTO - JAGUARIAIVA
2 POSTOS - PALMAS</t>
        </r>
      </text>
    </comment>
    <comment ref="BW14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2 recepcionaistas em Palmas, 1 em Jaguariaíva e 1 em Pinhais
</t>
        </r>
      </text>
    </comment>
    <comment ref="CA14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2 recepcionaistas em Palmas, 1 em Jaguariaíva e 1 em Pinhais
</t>
        </r>
      </text>
    </comment>
    <comment ref="BW15" authorId="1">
      <text>
        <r>
          <rPr>
            <b/>
            <sz val="9"/>
            <color indexed="81"/>
            <rFont val="Tahoma"/>
            <family val="2"/>
          </rPr>
          <t>Nicolly:
1º aditivo - supressão de 1 posto - ivaiporã</t>
        </r>
      </text>
    </comment>
    <comment ref="CA15" authorId="1">
      <text>
        <r>
          <rPr>
            <b/>
            <sz val="9"/>
            <color indexed="81"/>
            <rFont val="Tahoma"/>
            <family val="2"/>
          </rPr>
          <t>Nicolly:
1º aditivo - supressão de 1 posto - ivaiporã</t>
        </r>
      </text>
    </comment>
    <comment ref="BA1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2 porteiros em Curitiba
1 porteiro em Ivaiporã</t>
        </r>
      </text>
    </comment>
    <comment ref="BL1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2 porteiros em Curitiba
1 porteiro em Ivaiporã</t>
        </r>
      </text>
    </comment>
    <comment ref="BT16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ADITIVO - 1 POSTO IRATI
3º ADITIVO - 2 POSTOS CASCAVEL
4º ADITIVO - 2 POSTOS - CURITIBA 
1 POSTO - IVAIPORÃ
5º ADITIVO - 1 POSTO JACAREZINHO</t>
        </r>
      </text>
    </comment>
    <comment ref="BW16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6º termo aditivo - supressão de 1 posto - irati
supressão de 2 postos - campus curitiba</t>
        </r>
      </text>
    </comment>
    <comment ref="CA16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6º termo aditivo - supressão de 1 posto - irati
supressão de 2 postos - campus curitiba</t>
        </r>
      </text>
    </comment>
    <comment ref="BA17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 ASG em Paranaguá
</t>
        </r>
      </text>
    </comment>
    <comment ref="BL17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 ASG em Paranaguá
</t>
        </r>
      </text>
    </comment>
    <comment ref="BT17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ADITIVO - 1 POSTO PARANAVAÍ
3º ADITIVO - 1 POSTO CURITIBA (DA)
4º ADITIVO - 1 POSTO - PARANAGUÁ
6º ADITIVO - 1 POSTO BARRACAO</t>
        </r>
      </text>
    </comment>
    <comment ref="BW17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termo aditivo - supressão 1 posto - irati
4º termo aditivo - supressão de 1 posto - campus curitiba 
supressão de 1 posto - londrina
5º aditivo - supressão de 4 postos - palmas
</t>
        </r>
      </text>
    </comment>
    <comment ref="CA17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termo aditivo - supressão 1 posto - irati
4º termo aditivo - supressão de 1 posto - campus curitiba 
supressão de 1 posto - londrina
5º aditivo - supressão de 4 postos - palmas
</t>
        </r>
      </text>
    </comment>
    <comment ref="BA20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1 Londrina e 1 Curitiba</t>
        </r>
      </text>
    </comment>
    <comment ref="BL20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1 Londrina e 1 Curitiba</t>
        </r>
      </text>
    </comment>
    <comment ref="BT20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2] ADITIVO - 1 POSTO - PALMAS
3º ADITIVO - 1 POSTO CASCAVEL
4º ADITIVO - 1 POSTO LONDRINA</t>
        </r>
      </text>
    </comment>
    <comment ref="BW20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aditivo - supressão 1 posto - curitiba PROAD</t>
        </r>
      </text>
    </comment>
    <comment ref="CA20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2º aditivo - supressão 1 posto - curitiba PROAD</t>
        </r>
      </text>
    </comment>
    <comment ref="BT21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ADITIVO - ACRÉSCIMO 1 POSTO - TELEMACO BORBA
2º ADITIVO - ACRÉSCIMO 1 POSTO - CURITIBA </t>
        </r>
      </text>
    </comment>
    <comment ref="BW21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4º aditivo - supressão de 1 posto - paranaguá
supressão de 1 posto - ead
5º termo aditivo - supressão de 1 posto - paranavaí
supressão de 1 posto - campo largo
supressão de 1 posto - palmas</t>
        </r>
      </text>
    </comment>
    <comment ref="CA21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4º aditivo - supressão de 1 posto - paranaguá
supressão de 1 posto - ead
5º termo aditivo - supressão de 1 posto - paranavaí
supressão de 1 posto - campo largo
supressão de 1 posto - palmas</t>
        </r>
      </text>
    </comment>
    <comment ref="BW22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aditivo - supressão 1 posto - telemaco borba
4º aditivo - supressão de 1 posto - ivaiporã
</t>
        </r>
      </text>
    </comment>
    <comment ref="CA22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aditivo - supressão 1 posto - telemaco borba
4º aditivo - supressão de 1 posto - ivaiporã
</t>
        </r>
      </text>
    </comment>
    <comment ref="BT23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ADITIVO - ACRÉSCIMO DE 2 POSTOS - CURITIBA
</t>
        </r>
      </text>
    </comment>
    <comment ref="BW23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6º termo aditivo - supressão de 2 postos - proad
supressão de 1 posto - proepi
</t>
        </r>
      </text>
    </comment>
    <comment ref="CA23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6º termo aditivo - supressão de 2 postos - proad
supressão de 1 posto - proepi
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>Nicolly</author>
  </authors>
  <commentList>
    <comment ref="Z3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E3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O3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T3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X3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X35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2 postos - 6º termo aditivo</t>
        </r>
      </text>
    </comment>
    <comment ref="AX46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transferência de 1 posto - campus curitiba - 6º termo aditivo</t>
        </r>
      </text>
    </comment>
    <comment ref="AX55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1 posto - 6º termo aditivo</t>
        </r>
      </text>
    </comment>
    <comment ref="Z64" authorId="0">
      <text>
        <r>
          <rPr>
            <b/>
            <sz val="9"/>
            <color indexed="81"/>
            <rFont val="Tahoma"/>
            <family val="2"/>
          </rPr>
          <t>Não foi feito aditivo devido o pedido de supressão do Câmpus Curitiba a aprtir de junho de 2013 JN1285</t>
        </r>
      </text>
    </comment>
    <comment ref="AX68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1 posto de recepcionista 6º termo aditivo
</t>
        </r>
      </text>
    </comment>
    <comment ref="AX70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2 postos - 6º termo aditivo
</t>
        </r>
      </text>
    </comment>
    <comment ref="AX130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1 posto - 6º termo aditivo</t>
        </r>
      </text>
    </comment>
    <comment ref="AX176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1 posto - 6º termo aditivo</t>
        </r>
      </text>
    </comment>
    <comment ref="Z18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8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8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8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184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8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8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8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8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186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9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9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9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9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19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21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21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21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21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21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22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22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22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22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22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233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2 postos - 6º termo aditivo
</t>
        </r>
      </text>
    </comment>
  </commentList>
</comments>
</file>

<file path=xl/comments4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ao posto de supervisão 40 horas siemaco</t>
        </r>
      </text>
    </comment>
  </commentList>
</comments>
</file>

<file path=xl/comments5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ao posto de 44 horas semanais
</t>
        </r>
      </text>
    </comment>
  </commentList>
</comments>
</file>

<file path=xl/comments6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ao posto de 44 horas semanais
</t>
        </r>
      </text>
    </comment>
  </commentList>
</comments>
</file>

<file path=xl/comments7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ao posto de 44 horas semanais
</t>
        </r>
      </text>
    </comment>
  </commentList>
</comments>
</file>

<file path=xl/comments8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ao posto de 44 horas semanais
</t>
        </r>
      </text>
    </comment>
  </commentList>
</comments>
</file>

<file path=xl/comments9.xml><?xml version="1.0" encoding="utf-8"?>
<comments xmlns="http://schemas.openxmlformats.org/spreadsheetml/2006/main">
  <authors>
    <author>Nicolly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referente a posto de 44 horas semanais
</t>
        </r>
      </text>
    </comment>
  </commentList>
</comments>
</file>

<file path=xl/sharedStrings.xml><?xml version="1.0" encoding="utf-8"?>
<sst xmlns="http://schemas.openxmlformats.org/spreadsheetml/2006/main" count="8724" uniqueCount="728">
  <si>
    <t>12 MESES</t>
  </si>
  <si>
    <t>TOTAL</t>
  </si>
  <si>
    <t>Recepcionista</t>
  </si>
  <si>
    <t>Porteiro</t>
  </si>
  <si>
    <t>Jardineiro</t>
  </si>
  <si>
    <t>Cerimonialista</t>
  </si>
  <si>
    <t>Operador de Caldeira</t>
  </si>
  <si>
    <t>Oficial de Manutenção Predial</t>
  </si>
  <si>
    <t>Orçamentista</t>
  </si>
  <si>
    <t xml:space="preserve">PLANILHA DE CUSTOS E FORMAÇÃO </t>
  </si>
  <si>
    <t>UF</t>
  </si>
  <si>
    <t>PARANÁ</t>
  </si>
  <si>
    <t>Discriminação dos Serviços (dados referentes à contratação)</t>
  </si>
  <si>
    <t>A</t>
  </si>
  <si>
    <t>Data de apresentação da proposta (dia/mês/ano)</t>
  </si>
  <si>
    <t>B</t>
  </si>
  <si>
    <t>Município</t>
  </si>
  <si>
    <t>CURITIBA</t>
  </si>
  <si>
    <t>C</t>
  </si>
  <si>
    <t>Ano Acordo, convenção ou Sentença Normativa em Dissídio Coletivo</t>
  </si>
  <si>
    <t>D</t>
  </si>
  <si>
    <t>N°. de meses de execução contratual</t>
  </si>
  <si>
    <t>Identificação do Serviço</t>
  </si>
  <si>
    <t>Tipo de Serviço</t>
  </si>
  <si>
    <t>Unidade de Medida</t>
  </si>
  <si>
    <t>POSTO</t>
  </si>
  <si>
    <t>Quantidade total a contratar (em função da unidade de medida)</t>
  </si>
  <si>
    <t>Sindicato da categoria</t>
  </si>
  <si>
    <t>SIEMACO - PR</t>
  </si>
  <si>
    <t>ANEXO III A - MÃO-DE-OBRA</t>
  </si>
  <si>
    <t>Mão-de-Obra vinculada à execução contratual</t>
  </si>
  <si>
    <t>Dados complementares para composição dos custos referente à mão-de-obra</t>
  </si>
  <si>
    <t xml:space="preserve">Tipo de serviço (mesmo serviço com caracteristicas distintas) </t>
  </si>
  <si>
    <t>Salário normativo da categoria profissional</t>
  </si>
  <si>
    <t>Categoria profissional (vinculada à execução contratual)</t>
  </si>
  <si>
    <t>TERCEIRIZADO</t>
  </si>
  <si>
    <t>Data base da categoria (dia/mês/ano)</t>
  </si>
  <si>
    <t>Módulo I - Composição da Remuneração</t>
  </si>
  <si>
    <t>Composição da Remuneração</t>
  </si>
  <si>
    <t>Qtde</t>
  </si>
  <si>
    <t>R$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</si>
  <si>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</si>
  <si>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</si>
  <si>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</si>
  <si>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</si>
  <si>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</si>
  <si>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</si>
  <si>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</si>
  <si>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</si>
  <si>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</si>
  <si>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</si>
  <si>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</si>
  <si>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Adicional de Risco</t>
  </si>
  <si>
    <t>I</t>
  </si>
  <si>
    <t>Reflexo DSR</t>
  </si>
  <si>
    <t>Total da Remuneração</t>
  </si>
  <si>
    <t>Módulo II - Benefícios mensais e diários</t>
  </si>
  <si>
    <t>Benefícios mensais e diários</t>
  </si>
  <si>
    <t>R$ Unit</t>
  </si>
  <si>
    <t xml:space="preserve">Vale Transporte </t>
  </si>
  <si>
    <t>Auxilio Alimentação</t>
  </si>
  <si>
    <t>Assistência Médica</t>
  </si>
  <si>
    <t>Auxilio Creche</t>
  </si>
  <si>
    <t>Assistência Social Familiar</t>
  </si>
  <si>
    <t>Fundo de Formação Profissional</t>
  </si>
  <si>
    <t>Total de Benefícios mensais e diários</t>
  </si>
  <si>
    <t>Módulo III - Insumos Diversos</t>
  </si>
  <si>
    <t>Insumos diversos</t>
  </si>
  <si>
    <t>%</t>
  </si>
  <si>
    <t>Uniformes</t>
  </si>
  <si>
    <t xml:space="preserve">Materiais </t>
  </si>
  <si>
    <t>Equipamentos</t>
  </si>
  <si>
    <t>Epi's</t>
  </si>
  <si>
    <t>Total de Insumos diversos</t>
  </si>
  <si>
    <t>Módulo IV - Encargos Sociais e Trabalhistas</t>
  </si>
  <si>
    <t>Submódulo 4.1 - Encargos previdenciários e FGTS</t>
  </si>
  <si>
    <t>INSS</t>
  </si>
  <si>
    <t>SESI ou SESC</t>
  </si>
  <si>
    <t>SENAI ou SENAC</t>
  </si>
  <si>
    <t>INCRA</t>
  </si>
  <si>
    <t>Salário Educação</t>
  </si>
  <si>
    <t>FGTS</t>
  </si>
  <si>
    <t>Seguro Acidente de Trabalho (SAT X FAP 1,00)</t>
  </si>
  <si>
    <t>SEBRAE</t>
  </si>
  <si>
    <t xml:space="preserve">Total </t>
  </si>
  <si>
    <t>Submódulo 4.2 - 13° Salário e Adicional de Férias</t>
  </si>
  <si>
    <t>FAP</t>
  </si>
  <si>
    <t>13° Salário</t>
  </si>
  <si>
    <t>Adicional de Férias</t>
  </si>
  <si>
    <t>Subtotal</t>
  </si>
  <si>
    <t>Incidência do submódulo 4.1 sobre 13° salário e adicional de férias</t>
  </si>
  <si>
    <t>Total</t>
  </si>
  <si>
    <t>Submódulo 4.3 - Provisão para rescisão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</si>
  <si>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</si>
  <si>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</si>
  <si>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</si>
  <si>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</si>
  <si>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sudmódulo 4.1 sobre aviso prévio trabalhado</t>
  </si>
  <si>
    <t>Multa do FGTS do aviso prévio trabalhado</t>
  </si>
  <si>
    <t>Submódulo 4.4 - Custo de reposição do profissional ausente</t>
  </si>
  <si>
    <t>Férias</t>
  </si>
  <si>
    <t>Ausência por doença</t>
  </si>
  <si>
    <t>Férias Licença Maternidade</t>
  </si>
  <si>
    <t>Ausências legais</t>
  </si>
  <si>
    <t>Ausência por acidente de trabalho</t>
  </si>
  <si>
    <t>Licença Paternidade</t>
  </si>
  <si>
    <t>Incidência do sumódulo 4.1 sobre o custo de reposição</t>
  </si>
  <si>
    <t>Quadro resumo módulo 4 Encargos Sociais e Trabalhistas</t>
  </si>
  <si>
    <t>Módulo 4 - Encargos sociais e trabalhistas</t>
  </si>
  <si>
    <t>4.1</t>
  </si>
  <si>
    <t>13 salário + adicional de férias</t>
  </si>
  <si>
    <t>4.2</t>
  </si>
  <si>
    <t>Encargos previdenciários e FGTS</t>
  </si>
  <si>
    <t>4.3</t>
  </si>
  <si>
    <t xml:space="preserve">Custo de rescisão </t>
  </si>
  <si>
    <t>4.4</t>
  </si>
  <si>
    <t>Custo de reposição do profissional ausente</t>
  </si>
  <si>
    <t>4.5</t>
  </si>
  <si>
    <t>Outros</t>
  </si>
  <si>
    <t>Custos Indiretos, Tributos e Lucro</t>
  </si>
  <si>
    <t xml:space="preserve">Custos Indiretos </t>
  </si>
  <si>
    <t>Tributos</t>
  </si>
  <si>
    <t>B.1</t>
  </si>
  <si>
    <t>IRPJ</t>
  </si>
  <si>
    <t>B.2</t>
  </si>
  <si>
    <t>CSLL</t>
  </si>
  <si>
    <t>B.3</t>
  </si>
  <si>
    <t>PIS</t>
  </si>
  <si>
    <t>B.4</t>
  </si>
  <si>
    <t>COFINS</t>
  </si>
  <si>
    <t>B.5</t>
  </si>
  <si>
    <t>ISS</t>
  </si>
  <si>
    <t>Lucro</t>
  </si>
  <si>
    <t>Anexo III B - Quadro Resumo do custo por empregado</t>
  </si>
  <si>
    <t>Mão de Obra vinculada à execução contratual (valor por empregado)</t>
  </si>
  <si>
    <t>Módulo 1 - Composição da Remuneração</t>
  </si>
  <si>
    <t>Módulo 2 - Beneficios mensais e diários</t>
  </si>
  <si>
    <t>Módulo 3 - Insumos Diversos (uniformes, materiais, equipamentos e outros)</t>
  </si>
  <si>
    <t>Módulo 4 - Encargos Sociais e Trabalhistas</t>
  </si>
  <si>
    <t>Módulo 5 - Custos indiretos, tributos e Lucro</t>
  </si>
  <si>
    <t>Valor total por empregado</t>
  </si>
  <si>
    <t>Anexo III C - Quadro Resumo - Valor mensal dos serviços</t>
  </si>
  <si>
    <t>Tipo de serviço</t>
  </si>
  <si>
    <t>Valor proposto por empregado</t>
  </si>
  <si>
    <t>Quantidade de empregados por posto</t>
  </si>
  <si>
    <t>Valor proposto por posto</t>
  </si>
  <si>
    <t>Quantidade de postos</t>
  </si>
  <si>
    <t>Valor total serviço</t>
  </si>
  <si>
    <t>Anexo III D - Quadro - Valor Global da Proposta</t>
  </si>
  <si>
    <t>Valor proposto por unidade de medida</t>
  </si>
  <si>
    <t>Valor mensal do serviço</t>
  </si>
  <si>
    <t>Valor global da proposta (valor mensal do serviço x n meses do contrato)</t>
  </si>
  <si>
    <t>Curitiba, 10 de Fevereiro de 2012</t>
  </si>
  <si>
    <t>HABITUAL HIGIENIZAÇÃO LTDA.</t>
  </si>
  <si>
    <t>Silvana Maciel Fiametti</t>
  </si>
  <si>
    <t>Sócia Gerente</t>
  </si>
  <si>
    <t xml:space="preserve"> </t>
  </si>
  <si>
    <t>Abono Natalino</t>
  </si>
  <si>
    <t>Seguro de Vida</t>
  </si>
  <si>
    <t>Item</t>
  </si>
  <si>
    <t>Posto</t>
  </si>
  <si>
    <t>Quantidade Estimada de Postos</t>
  </si>
  <si>
    <t>Valor Anual</t>
  </si>
  <si>
    <t xml:space="preserve">Copeiro </t>
  </si>
  <si>
    <t xml:space="preserve">Auxiliar de Serviços Gerais </t>
  </si>
  <si>
    <t xml:space="preserve">Almoxarife </t>
  </si>
  <si>
    <t>Operador de máquina costal/ roçadeira</t>
  </si>
  <si>
    <t>Valor mensal</t>
  </si>
  <si>
    <t>Valor Mensal unit</t>
  </si>
  <si>
    <t>Assit. Medica</t>
  </si>
  <si>
    <t>Seguro de vida</t>
  </si>
  <si>
    <t>Especificação</t>
  </si>
  <si>
    <t>Quant.</t>
  </si>
  <si>
    <t>Preço Unit.</t>
  </si>
  <si>
    <t>Preço Parcial</t>
  </si>
  <si>
    <t>Gasolina</t>
  </si>
  <si>
    <t>Lts</t>
  </si>
  <si>
    <t>TOTAL MENSAL POR POSTO DE SERVIÇO</t>
  </si>
  <si>
    <t>Roçadeira com fio de nylon (a gasolina), com ignição eletrônica, sistema anti-vibratório e cinturão e óculos de proteção, modelos FS 85</t>
  </si>
  <si>
    <t>unidade</t>
  </si>
  <si>
    <t>Cortador elétrico de grama 220V ou 110V</t>
  </si>
  <si>
    <t>“Adaptadores para mangueira, ¾”</t>
  </si>
  <si>
    <t>Aspersor</t>
  </si>
  <si>
    <t>Carrinho de mão (pneu com câmara)</t>
  </si>
  <si>
    <t>Cavadeira reta articulada com cabo</t>
  </si>
  <si>
    <t>Cavadeira reta com cabo</t>
  </si>
  <si>
    <t>Enxada com cabo (tamanho médio)</t>
  </si>
  <si>
    <t>Enxadão tamanho médio com cabo</t>
  </si>
  <si>
    <t>Enxadeco (enxadinha)</t>
  </si>
  <si>
    <t>Facão (médio)</t>
  </si>
  <si>
    <t>Kit para vaso</t>
  </si>
  <si>
    <t xml:space="preserve"> “Mangueira reforçada de borracha (50m), ¾”, com adaptador e esguicho </t>
  </si>
  <si>
    <t>Pá de bico com cabo de madeira - nº 3</t>
  </si>
  <si>
    <t>Pá  jardineira com cabo</t>
  </si>
  <si>
    <t>Picareta</t>
  </si>
  <si>
    <t>Pulverizador, cilindro metálico, 10 L</t>
  </si>
  <si>
    <t>Vassoura fixa para folhagem com cabo 120 cm 22 dentes (rastelo)</t>
  </si>
  <si>
    <t xml:space="preserve">Serrote para poda </t>
  </si>
  <si>
    <t xml:space="preserve">unidade </t>
  </si>
  <si>
    <t>Tesoura corte de grama 12" TS - 1107</t>
  </si>
  <si>
    <t>T O T A L</t>
  </si>
  <si>
    <t xml:space="preserve">1 - Manutenção equipamentos (gasto mensal) - adotado 0,5% a.m. (*)  </t>
  </si>
  <si>
    <t>2 - Depreciação de equiptos. (gasto mensal) adotado 5 anos e residual=20%  (*)</t>
  </si>
  <si>
    <t xml:space="preserve">Qtd. de postos de serviço </t>
  </si>
  <si>
    <t>Insumos</t>
  </si>
  <si>
    <t xml:space="preserve">1 - Manutenção equipamentos (gasto mensal) - adotado 0,5% a.m.  </t>
  </si>
  <si>
    <t>Custo Total (R$)</t>
  </si>
  <si>
    <t xml:space="preserve">Massa corrida PVA lata de 3,6 litros </t>
  </si>
  <si>
    <t>Lata</t>
  </si>
  <si>
    <t>Esmalte brilhante cinza médio galão de 3,6 litros</t>
  </si>
  <si>
    <t>Galão</t>
  </si>
  <si>
    <t xml:space="preserve">Lâmpada -Fluorescente 36w tld </t>
  </si>
  <si>
    <t>Descrição</t>
  </si>
  <si>
    <t>Qtd.</t>
  </si>
  <si>
    <t>Custo Unit (R$)</t>
  </si>
  <si>
    <t>Alicate bomba d’água 10'</t>
  </si>
  <si>
    <t>Alicate de bico ½ cano reto 6”</t>
  </si>
  <si>
    <t>Alicate de corte</t>
  </si>
  <si>
    <t>Alicate de corte rente reforçado</t>
  </si>
  <si>
    <t>Alicate de pressão 10</t>
  </si>
  <si>
    <t>Alicate cortador, descacador e desencapador de fio</t>
  </si>
  <si>
    <t>Alicate para prensar terminais</t>
  </si>
  <si>
    <t>Alicate bico de pagagaio</t>
  </si>
  <si>
    <t>Alicate rebitador manual</t>
  </si>
  <si>
    <t>Alicate universal</t>
  </si>
  <si>
    <t>Alicate volt-amperímetro (TRUE RMS) VA-318 MARCA INSTRUTHERM.</t>
  </si>
  <si>
    <t>Arco de serra manual</t>
  </si>
  <si>
    <t>Andaime dobrável</t>
  </si>
  <si>
    <t>Desentupidor de esgotos, pias, ralos e banheiras</t>
  </si>
  <si>
    <t>Bomba - Schneider mod. Bcr 2000 monofasica 1/2hp</t>
  </si>
  <si>
    <t>Broxa para pintor</t>
  </si>
  <si>
    <t>Caixa p/ ferramentas plástica</t>
  </si>
  <si>
    <t>Carrinho de mão</t>
  </si>
  <si>
    <t>Cavador articulado</t>
  </si>
  <si>
    <t>Chave de fenda ¼ x 6”</t>
  </si>
  <si>
    <t>Chave fenda 3/16 x 4</t>
  </si>
  <si>
    <t>Chave philips 1/8 x 3</t>
  </si>
  <si>
    <t>Chave philips 3/16 x 4</t>
  </si>
  <si>
    <t>Chave phillips  3/16 x 3”</t>
  </si>
  <si>
    <t>Chave phillips ¼ x 5”</t>
  </si>
  <si>
    <t>Jogo de chaves de boca, 6 a 22mm</t>
  </si>
  <si>
    <t>Chaves de grifo n° 14</t>
  </si>
  <si>
    <t>Colher de pedreiro</t>
  </si>
  <si>
    <t>Desempenadeira de alumínio para aplicação de rejunte</t>
  </si>
  <si>
    <t>Enxada</t>
  </si>
  <si>
    <t>Escada de alumínio de 6 degraus</t>
  </si>
  <si>
    <t xml:space="preserve">Esquadro </t>
  </si>
  <si>
    <t>Estilete (cartucho com 10 lâminas)</t>
  </si>
  <si>
    <t>Esmerilhadeira</t>
  </si>
  <si>
    <t>Espátula 8 cm</t>
  </si>
  <si>
    <t>Formão -1/2</t>
  </si>
  <si>
    <t>Formão 3/4</t>
  </si>
  <si>
    <t>Formão 3/8</t>
  </si>
  <si>
    <t>Furadeira elétrica</t>
  </si>
  <si>
    <t>Jogo de broca de A/R 1/16" a /14" din wonder ou similar</t>
  </si>
  <si>
    <t>Jogo de chave ALLEN 1,5mm à 10mm.</t>
  </si>
  <si>
    <t>Jogo de chave hexagonal de 1/16 a 3/8</t>
  </si>
  <si>
    <t>Jogo de chaves combinadas 6 à 22mm.</t>
  </si>
  <si>
    <t>Jogo de chaves de fenda c/ 6 peças</t>
  </si>
  <si>
    <t>Lanterna recarregável de 15 Leds.</t>
  </si>
  <si>
    <t>Linha p/ pedreiro</t>
  </si>
  <si>
    <t>Lixadeira elétrica (p/metal)</t>
  </si>
  <si>
    <t>Máquina lava jato industrial</t>
  </si>
  <si>
    <t>Martelo</t>
  </si>
  <si>
    <t>Marreta c/ cabo</t>
  </si>
  <si>
    <t>Mascara protetora de poeira c/ 8 peças</t>
  </si>
  <si>
    <t>Pá (reta e com bico) com cabo</t>
  </si>
  <si>
    <t>Pincel para retoque</t>
  </si>
  <si>
    <t>Pistola p/ silicone</t>
  </si>
  <si>
    <t>Pistola de alta</t>
  </si>
  <si>
    <t>Pistola de baixa</t>
  </si>
  <si>
    <t>Ponteiro 10”</t>
  </si>
  <si>
    <t>Prumo de pedreiro</t>
  </si>
  <si>
    <t>Acessórios para micro Retífica 250 peças</t>
  </si>
  <si>
    <t>Rolo de lã p/ pintura</t>
  </si>
  <si>
    <t xml:space="preserve">Serra elétrica tico-tico </t>
  </si>
  <si>
    <t>Talhadeira 125 x 14mm</t>
  </si>
  <si>
    <t>Trena, 5m</t>
  </si>
  <si>
    <t xml:space="preserve">2 - Depreciação de equiptos. (gasto mensal) adotado 5 anos e residual=20% </t>
  </si>
  <si>
    <t>Valor Unit. (R$)</t>
  </si>
  <si>
    <t xml:space="preserve"> Valor Total (R$)</t>
  </si>
  <si>
    <t>Bota de borracha</t>
  </si>
  <si>
    <t>Capa para chuva, com capus</t>
  </si>
  <si>
    <t>Luva PVC longa sem forro</t>
  </si>
  <si>
    <t>Luva raspa couro</t>
  </si>
  <si>
    <t>Máscara de proteção sem filtro</t>
  </si>
  <si>
    <t>Óculos de proteção</t>
  </si>
  <si>
    <t>Protetor auricular</t>
  </si>
  <si>
    <t>TOTAL SEMESTRAL</t>
  </si>
  <si>
    <t>TOTAL MENSAL</t>
  </si>
  <si>
    <t>Copeiro</t>
  </si>
  <si>
    <t>Supervisor</t>
  </si>
  <si>
    <t>ASG</t>
  </si>
  <si>
    <t>Of. de Manut Pred</t>
  </si>
  <si>
    <t>Curitiba</t>
  </si>
  <si>
    <t>Campo Largo</t>
  </si>
  <si>
    <t>Operador de maq</t>
  </si>
  <si>
    <t>Paranaguá</t>
  </si>
  <si>
    <t>Foz do Iguaçu</t>
  </si>
  <si>
    <t>Londrina</t>
  </si>
  <si>
    <t>Jacarezinho</t>
  </si>
  <si>
    <t>Asg</t>
  </si>
  <si>
    <t>Umuarama</t>
  </si>
  <si>
    <t>Paranavaí</t>
  </si>
  <si>
    <t>Palmas</t>
  </si>
  <si>
    <t>Op. De Caldeira</t>
  </si>
  <si>
    <t>Operador de Maq</t>
  </si>
  <si>
    <t>TOTAL ANUAL</t>
  </si>
  <si>
    <t>Recepcionista / Porteiro / Orçamentista / Cerimonialista</t>
  </si>
  <si>
    <t>Masculino</t>
  </si>
  <si>
    <t>Preço Unitário</t>
  </si>
  <si>
    <t>Quant. Semestral</t>
  </si>
  <si>
    <t>Valor Semestral</t>
  </si>
  <si>
    <t>Terno</t>
  </si>
  <si>
    <t>Gravata</t>
  </si>
  <si>
    <t>Camisa Social</t>
  </si>
  <si>
    <t>Par de sapatos</t>
  </si>
  <si>
    <t>Par de meias</t>
  </si>
  <si>
    <t>Feminino</t>
  </si>
  <si>
    <t>Qtd. Semestral</t>
  </si>
  <si>
    <t>Terno feminino</t>
  </si>
  <si>
    <t>Lenço</t>
  </si>
  <si>
    <t>Laço para Cabelo</t>
  </si>
  <si>
    <t xml:space="preserve">Par de meias </t>
  </si>
  <si>
    <t>Média mensal</t>
  </si>
  <si>
    <t>Caldeireiro / Operador de Máquina Costal – Roçadeira/ Artífice de Serviços Gerais</t>
  </si>
  <si>
    <t>Jaleco em brim com emblema da empresa.</t>
  </si>
  <si>
    <t>Camiseta gola polo com bolso e 2 botões com emblema da empresa.</t>
  </si>
  <si>
    <t>Calça jeans com emblema da empresa.</t>
  </si>
  <si>
    <t>Cinto de couro</t>
  </si>
  <si>
    <t>Meia</t>
  </si>
  <si>
    <t>Bota solado de borracha</t>
  </si>
  <si>
    <t>Materiais</t>
  </si>
  <si>
    <t>Auxilio Crech</t>
  </si>
  <si>
    <t>QUADRO-ESTIMATIVO DE DIÁRIAS PARA O CARGO DE CERIMONIALISTA</t>
  </si>
  <si>
    <t>ESTIMATIVA DE DIÁRIAS</t>
  </si>
  <si>
    <t>Preço de 01 (uma) diária proposto pela licitante</t>
  </si>
  <si>
    <t>Diárias Estimadas para 12 (doze) meses</t>
  </si>
  <si>
    <t>Valor Total Estimado de diárias</t>
  </si>
  <si>
    <t>A x B =</t>
  </si>
  <si>
    <t>Vlr global da proposta (vlr mensal do serviço x n meses do contrato)+Díarias</t>
  </si>
  <si>
    <t>Óleo 2 tempos</t>
  </si>
  <si>
    <t>Memória de Cálculo</t>
  </si>
  <si>
    <t>Fundamento</t>
  </si>
  <si>
    <t>A – INSS</t>
  </si>
  <si>
    <t>-</t>
  </si>
  <si>
    <t>Art. 22, Inciso I, da Lei nº 8.212/91.</t>
  </si>
  <si>
    <t>B – SESI/SESC</t>
  </si>
  <si>
    <t>Art. 3º, Lei n.º 8.036/90.</t>
  </si>
  <si>
    <t>C – SENAI/SENAC</t>
  </si>
  <si>
    <t>Decreto n.º 2.318/86.</t>
  </si>
  <si>
    <t>D – INCRA</t>
  </si>
  <si>
    <t>Lei n.º 7.787/89 e DL n.º 1.146/70.</t>
  </si>
  <si>
    <t>E – Sal. Educação</t>
  </si>
  <si>
    <t>Art. 3º, Inciso I, Decreto n.º 87.043/82</t>
  </si>
  <si>
    <t>F -  FGTS</t>
  </si>
  <si>
    <t>Art. 15, Lei nº 8.030/90 e Art. 7º, III, CF.</t>
  </si>
  <si>
    <t>G – SEBRAE</t>
  </si>
  <si>
    <t>Art. 8º, Lei n.º 8.029/90 e Lei n.º 8.154/90.</t>
  </si>
  <si>
    <t>H – Riscos Ambientais do Trabalho RAT X FAP:</t>
  </si>
  <si>
    <t>A.08 = RAT x FAP, em que:</t>
  </si>
  <si>
    <t xml:space="preserve">RAT – 3% (código 8121-4/00 – Limpeza em Prédios e Domicílios – Anexo V do Decreto n.º 3.048/1999) </t>
  </si>
  <si>
    <t>FAP – 1 –  conforme Decreto n.º 6.957/2009.</t>
  </si>
  <si>
    <t>A.08 = 3 x 1 = 3%</t>
  </si>
  <si>
    <t xml:space="preserve">Total dos Encargos do grupo A </t>
  </si>
  <si>
    <t>SUBMODULO 4.2, 4.3, 4.4</t>
  </si>
  <si>
    <t>Memória de cálculo</t>
  </si>
  <si>
    <t>A – 13º Salário</t>
  </si>
  <si>
    <t>[(1/12)x100] = 8,333%</t>
  </si>
  <si>
    <t>Art. 7º, VIII, CF/88.</t>
  </si>
  <si>
    <t>B – Férias + 1/3</t>
  </si>
  <si>
    <t>{[(1+1/3)/12]x100} = 11,111%</t>
  </si>
  <si>
    <t>Art. 7º, XVII, CF/88.</t>
  </si>
  <si>
    <r>
      <t>C – Aviso prévio trabalhado</t>
    </r>
    <r>
      <rPr>
        <b/>
        <vertAlign val="superscript"/>
        <sz val="10"/>
        <rFont val="Calibri"/>
        <family val="2"/>
      </rPr>
      <t>1</t>
    </r>
  </si>
  <si>
    <t>{[(7/30)/12]x100} = 1,944%</t>
  </si>
  <si>
    <t>Art. 7º, XXI, CF/88, 477, 487 e 491 CLT.</t>
  </si>
  <si>
    <r>
      <t>D – Auxílio Doença</t>
    </r>
    <r>
      <rPr>
        <b/>
        <vertAlign val="superscript"/>
        <sz val="10"/>
        <rFont val="Calibri"/>
        <family val="2"/>
      </rPr>
      <t>2</t>
    </r>
  </si>
  <si>
    <t>Art. 59 a 64 da Lei n.º 8.213/91.</t>
  </si>
  <si>
    <r>
      <t>E – Acidente de trabalho</t>
    </r>
    <r>
      <rPr>
        <b/>
        <vertAlign val="superscript"/>
        <sz val="10"/>
        <rFont val="Calibri"/>
        <family val="2"/>
      </rPr>
      <t>3</t>
    </r>
  </si>
  <si>
    <t>Art. 19 a 23 da Lei n.º 8.213/91.</t>
  </si>
  <si>
    <r>
      <t>F – Faltas legais</t>
    </r>
    <r>
      <rPr>
        <b/>
        <vertAlign val="superscript"/>
        <sz val="10"/>
        <rFont val="Calibri"/>
        <family val="2"/>
      </rPr>
      <t>4</t>
    </r>
  </si>
  <si>
    <t>Art. 473 da CLT.</t>
  </si>
  <si>
    <r>
      <t>G – Férias sobre licença maternidade</t>
    </r>
    <r>
      <rPr>
        <b/>
        <vertAlign val="superscript"/>
        <sz val="10"/>
        <rFont val="Calibri"/>
        <family val="2"/>
      </rPr>
      <t>5</t>
    </r>
  </si>
  <si>
    <t>Impacto do item férias sobre a licença maternidade.</t>
  </si>
  <si>
    <r>
      <t>H – Licença paternidade</t>
    </r>
    <r>
      <rPr>
        <b/>
        <vertAlign val="superscript"/>
        <sz val="10"/>
        <rFont val="Calibri"/>
        <family val="2"/>
      </rPr>
      <t>6</t>
    </r>
  </si>
  <si>
    <t>{[(5/30)/12]x0,015}x 100 = 0,021%</t>
  </si>
  <si>
    <t>Art. 7º, XIX, CF/88 e 10, § 1º, da CLT.</t>
  </si>
  <si>
    <r>
      <t>1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Redução de 7 dias ou de 2h por dia. Percentual relativo a contrato de 12 (doze) meses. </t>
    </r>
  </si>
  <si>
    <r>
      <t>6</t>
    </r>
    <r>
      <rPr>
        <sz val="10"/>
        <rFont val="Calibri"/>
        <family val="2"/>
      </rPr>
      <t xml:space="preserve"> Estimativa de 1,5% (um inteiro e cinco décimos por cento) dos funcionários usufruindo 5 (cinco) dias da licença por ano.</t>
    </r>
  </si>
  <si>
    <t>Cálculos do Grupo C</t>
  </si>
  <si>
    <r>
      <t>C.01 – Aviso prévio indenizado</t>
    </r>
    <r>
      <rPr>
        <b/>
        <vertAlign val="superscript"/>
        <sz val="10"/>
        <rFont val="Calibri"/>
        <family val="2"/>
      </rPr>
      <t>1</t>
    </r>
  </si>
  <si>
    <t>{[0,02x(1/12)]x100} = 0,167%</t>
  </si>
  <si>
    <t>Art. 7º, XXI, CF/88, 477, 487 e 491 CLT</t>
  </si>
  <si>
    <r>
      <t>C.02 – Iden. adicional</t>
    </r>
    <r>
      <rPr>
        <b/>
        <vertAlign val="superscript"/>
        <sz val="10"/>
        <rFont val="Calibri"/>
        <family val="2"/>
      </rPr>
      <t>2</t>
    </r>
  </si>
  <si>
    <t>Art. 9º da Lei n.º 7.238/84</t>
  </si>
  <si>
    <r>
      <t>C.03 – Iden. 40% FGTS (100%)</t>
    </r>
    <r>
      <rPr>
        <b/>
        <vertAlign val="superscript"/>
        <sz val="10"/>
        <rFont val="Calibri"/>
        <family val="2"/>
      </rPr>
      <t>3</t>
    </r>
  </si>
  <si>
    <t>(1x0,40x0,08x100) = 3,200%</t>
  </si>
  <si>
    <t>Leis n.ºs 8.036/90 e 9.491/97</t>
  </si>
  <si>
    <r>
      <t>C.04 – Iden. 40% FGTS (5%)</t>
    </r>
    <r>
      <rPr>
        <b/>
        <vertAlign val="superscript"/>
        <sz val="10"/>
        <rFont val="Calibri"/>
        <family val="2"/>
      </rPr>
      <t>4</t>
    </r>
  </si>
  <si>
    <t>(0,02x0,40x0,08x100) = 0,160%</t>
  </si>
  <si>
    <r>
      <t>C.05 – Iden. 10% FGTS (100%)</t>
    </r>
    <r>
      <rPr>
        <b/>
        <vertAlign val="superscript"/>
        <sz val="10"/>
        <rFont val="Calibri"/>
        <family val="2"/>
      </rPr>
      <t>5</t>
    </r>
  </si>
  <si>
    <t>(1x0,10x0,08x100) = 0,800%</t>
  </si>
  <si>
    <t>Lei Complementar n.º 110/01</t>
  </si>
  <si>
    <r>
      <t>C.06 – Iden. 10% FGTS (5%)</t>
    </r>
    <r>
      <rPr>
        <b/>
        <vertAlign val="superscript"/>
        <sz val="10"/>
        <rFont val="Calibri"/>
        <family val="2"/>
      </rPr>
      <t>6</t>
    </r>
  </si>
  <si>
    <t>(0,02x0,10x0,08 x 100) = 0,016%</t>
  </si>
  <si>
    <r>
      <t>2</t>
    </r>
    <r>
      <rPr>
        <sz val="10"/>
        <rFont val="Calibri"/>
        <family val="2"/>
      </rPr>
      <t xml:space="preserve"> Estimativa de que 2% (dois por cento) dos funcionários serão demitidos em situação de recebimento de indenização adicional.</t>
    </r>
  </si>
  <si>
    <r>
      <t xml:space="preserve"> 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Multa de 40% do FGTS em relação aos trabalhadores inicialmente contratados. </t>
    </r>
  </si>
  <si>
    <r>
      <t>4</t>
    </r>
    <r>
      <rPr>
        <sz val="10"/>
        <rFont val="Calibri"/>
        <family val="2"/>
      </rPr>
      <t xml:space="preserve">  Multa de 40% do FGTS, considerando que 2% (cinco por cento) dos funcionários serão substituídos durante um ano. </t>
    </r>
  </si>
  <si>
    <r>
      <t>5</t>
    </r>
    <r>
      <rPr>
        <sz val="10"/>
        <rFont val="Calibri"/>
        <family val="2"/>
      </rPr>
      <t xml:space="preserve">  Contribuição de 10% do FGTS em relação aos trabalhadores inicialmente contratados. </t>
    </r>
  </si>
  <si>
    <r>
      <t>6</t>
    </r>
    <r>
      <rPr>
        <sz val="10"/>
        <rFont val="Calibri"/>
        <family val="2"/>
      </rPr>
      <t xml:space="preserve"> Contribuição de 10% do FGTS, considerando que 5% (cinco por cento) dos funcionários serão substituídos durante um ano. </t>
    </r>
  </si>
  <si>
    <t>Cálculos do Grupo D</t>
  </si>
  <si>
    <t>D.01 – Encargos do Grupo A sobre os Encargos do Grupo B:</t>
  </si>
  <si>
    <t>D.01 = 0,3980 x 0,23484 = 9,35%</t>
  </si>
  <si>
    <t>Cálculos do Grupo E</t>
  </si>
  <si>
    <t>E.01 – Inc. do FGTS exclusivamente sobre o aviso prévio indenizado.</t>
  </si>
  <si>
    <t xml:space="preserve">A.02 x C.01 = </t>
  </si>
  <si>
    <t>Súmula n.º 305 do TST</t>
  </si>
  <si>
    <t>(0,08x0,00417)x100 = 0,033%</t>
  </si>
  <si>
    <r>
      <t>E.02 – FGTS sobre  afastamento  superior a 15 dias por acidente de trabalho.</t>
    </r>
    <r>
      <rPr>
        <b/>
        <vertAlign val="superscript"/>
        <sz val="10"/>
        <rFont val="Calibri"/>
        <family val="2"/>
      </rPr>
      <t>1</t>
    </r>
  </si>
  <si>
    <t>A.02 x B.05 = (0,08x0,0033)x100 = 0,026%</t>
  </si>
  <si>
    <r>
      <t>1</t>
    </r>
    <r>
      <rPr>
        <sz val="10"/>
        <rFont val="Calibri"/>
        <family val="2"/>
      </rPr>
      <t xml:space="preserve">  Estimativa de que 8% (oito por cento) dos funcionários sofrem acidentes durante o ano, com ausência média de 30 dias durante o ano. O percentual do FGTS (8%) será aplicado somente sobre os 15 dias restantes do afastamento, porque os 15 primeiros dias já foram calculados no item B.05.</t>
    </r>
  </si>
  <si>
    <t>Cálculos do Grupo F</t>
  </si>
  <si>
    <t>F.01 – Encargos do Grupo A sobre salário maternidade:</t>
  </si>
  <si>
    <t>F.01 = (Encargos Grupo A) x (Salário + 13º/12) x 4/12 x 2%, em que:</t>
  </si>
  <si>
    <t>Encargos do Grupo A = 0,3980;</t>
  </si>
  <si>
    <t>Salário + 13º = 13 salários;</t>
  </si>
  <si>
    <t>12 = número de meses em um ano;</t>
  </si>
  <si>
    <t>4/12 = período de 4 meses de licença em um ano;</t>
  </si>
  <si>
    <t>2% = Estimativa de que 2% dos funcionários usufruirão da licença maternidade de 4 meses em um ano.</t>
  </si>
  <si>
    <t>F.01 = 0,3980x (13/12) x (4/12) x (2/100) = 0,287%</t>
  </si>
  <si>
    <t>O valor dos uniformes foi definido com base em orçamento feito direto com o fabricante</t>
  </si>
  <si>
    <r>
      <rPr>
        <sz val="7"/>
        <rFont val="Times New Roman"/>
        <family val="1"/>
      </rPr>
      <t xml:space="preserve"> </t>
    </r>
    <r>
      <rPr>
        <sz val="10"/>
        <rFont val="Calibri"/>
        <family val="2"/>
      </rPr>
      <t>Vale-Transporte = Valor do vale x 22 = Valor total</t>
    </r>
  </si>
  <si>
    <t>Bonificação e Outras Despesas</t>
  </si>
  <si>
    <t>FOLHA DE PAGAMENTO ADMINISTRATIVO</t>
  </si>
  <si>
    <t>TELEFONE</t>
  </si>
  <si>
    <t>CORREIOS</t>
  </si>
  <si>
    <t>COMBUSTIVEL</t>
  </si>
  <si>
    <t>INTERNET</t>
  </si>
  <si>
    <t>MÉDICO DO TRABALHO</t>
  </si>
  <si>
    <t>CARTÓRIO</t>
  </si>
  <si>
    <t>DEPRECIAÇÃO/MANUTENÇÃO DE EQUIPAMENTOS</t>
  </si>
  <si>
    <t>DESPESAS EVENTUAIS</t>
  </si>
  <si>
    <t>TOTAL DE DESPESAS OPERACIONAIS</t>
  </si>
  <si>
    <t>Tributação</t>
  </si>
  <si>
    <t xml:space="preserve">Os tributos (ISS, COFINS e PIS) foram definidos utilizando o regime de tributação de Lucro Real, </t>
  </si>
  <si>
    <t>Cálculo:</t>
  </si>
  <si>
    <t xml:space="preserve">{[Total (Remuneração + Encargos Sociais + Insumos) + Total (Bonificação e Outras Despesas)] x [1-(COFINS + PIS + ISS)]/100]} x Alíquota </t>
  </si>
  <si>
    <t>MARGEM FATURAMENTO (REMUNERAÇÃO+ENCARGOS SOCIAIS + INSUMOS).</t>
  </si>
  <si>
    <t>IMPOSTOS E CONSTRIBUIÇÕES NÃO REPERCUTIVEIS</t>
  </si>
  <si>
    <t>MARGEM LUCRO LIQUIDO EMPRESA</t>
  </si>
  <si>
    <t>PERCENTUAL A SER APLICADO DE LUCRO</t>
  </si>
  <si>
    <t>Ao</t>
  </si>
  <si>
    <t>INSTITUTO FEDERAL DO PARANÁ - IFPR</t>
  </si>
  <si>
    <t xml:space="preserve">Pró-reitoria de Administração </t>
  </si>
  <si>
    <t>Diretoria de Administração</t>
  </si>
  <si>
    <t>Ref.</t>
  </si>
  <si>
    <t>DESPESAS ADMINISTRATIVAS/OPERACIONAIS</t>
  </si>
  <si>
    <t>DESCRIÇÃO DO ITEM</t>
  </si>
  <si>
    <t>VALOR R$</t>
  </si>
  <si>
    <t>PERCENTUAL SOB O FATURAMENTO TOTAL¹</t>
  </si>
  <si>
    <t>TOTAL DE DESPESAS ADMINISTRATIVAS/OPERACIONAIS</t>
  </si>
  <si>
    <t>MARGEM FATURAMENTO DO CONTRATO (REMUNERAÇÃO+ENCARGOS SOCIAIS + INSUMOS).</t>
  </si>
  <si>
    <t>IMPOSTOS E CONSTRIBUIÇÕES NÃO REPERCUTIVEIS ( mensal )</t>
  </si>
  <si>
    <t>MARGEM LUCRO LIQUIDO EMPRESA (mensal)</t>
  </si>
  <si>
    <t>Incluindo todos os impostos e contribuições não repercutíveis, incidentes sobre o total da Remuneração + Encargos Sociais + Insumos do objeto licitado.</t>
  </si>
  <si>
    <t>Declaramos ainda que os valores são capazes de atender perfeitamente a execução do contrato sem qualquer onus a administração publica.</t>
  </si>
  <si>
    <t>Lucro, incluindo todos os impostos e contribuições não repercutíveis, incidentes sobre o total da Remuneração + Encargos Sociais + Insumos, foi definido em 0,50 %,  enquanto as despesas administrativas/operacionais foi estabelecida em 1,00% ( dos modulo I, II, III e IV )</t>
  </si>
  <si>
    <r>
      <t>1</t>
    </r>
    <r>
      <rPr>
        <sz val="10"/>
        <rFont val="Calibri"/>
        <family val="2"/>
      </rPr>
      <t xml:space="preserve">  Estimativa de que 2% (dois por cento) dos funcionários serão substituídos durante um ano.</t>
    </r>
  </si>
  <si>
    <t>{[(1/30)/12]x100} = 0,28%</t>
  </si>
  <si>
    <r>
      <t>5</t>
    </r>
    <r>
      <rPr>
        <sz val="10"/>
        <rFont val="Calibri"/>
        <family val="2"/>
      </rPr>
      <t xml:space="preserve"> Estimativa de 0,5% (meio por cento) dos funcionários usufruindo de 4 (quatro) meses de licença por ano.</t>
    </r>
  </si>
  <si>
    <t>[(0,1111x0,005x0,333)x100] = 0,02%</t>
  </si>
  <si>
    <t>{[(15/30)/12]*0,01}x100 = 0,04%</t>
  </si>
  <si>
    <t>{[(0,5/30)/12]x100} = 0,14%</t>
  </si>
  <si>
    <r>
      <t>2</t>
    </r>
    <r>
      <rPr>
        <sz val="10"/>
        <rFont val="Calibri"/>
        <family val="2"/>
      </rPr>
      <t xml:space="preserve"> Estimativa de 1 (dia) de licença p/ano.</t>
    </r>
  </si>
  <si>
    <r>
      <t>3</t>
    </r>
    <r>
      <rPr>
        <sz val="10"/>
        <rFont val="Calibri"/>
        <family val="2"/>
      </rPr>
      <t xml:space="preserve"> Estimativa de 1 (uma) licença de 15 (quinze) dias por ano para 1% (um por cento) dos funcionários.</t>
    </r>
  </si>
  <si>
    <r>
      <t>4</t>
    </r>
    <r>
      <rPr>
        <sz val="10"/>
        <rFont val="Calibri"/>
        <family val="2"/>
      </rPr>
      <t xml:space="preserve"> Estimativa de 0,5 (meia) ausência por ano. </t>
    </r>
  </si>
  <si>
    <t>Os valores dos materiais e equipamentos foram calculados com base em orçamento feito por forncedores diversos</t>
  </si>
  <si>
    <t>O Plano de saúde foi definido de acordo com a Cláusula 15ª da Convenção Coletiva (R$ 31,80);  para os colaboradores abrangidos pelo siemaco, e para o sinduscon pela função desempenhada</t>
  </si>
  <si>
    <t>O auxílio-alimentação foi estabelecido de acordo com a CCT (R$ 210 - 10,50 = 199,50 para o siemaco e 210 mensal para o sinduscon)</t>
  </si>
  <si>
    <t xml:space="preserve">O vale-transporte foi baseado no preço médio da passagem do transporte coletivo trajeto de ida e volta residência/rodoviária/IFPR e IFPR/rodoviária/residência p/ média de 22 dias úteis por mês. </t>
  </si>
  <si>
    <t>O valor da remuneração – salário – foi baseado no piso salarial constante Convenção Coletiva da categoria – SIEMACO-PR 2012 e SINDUSCON 2011/2012</t>
  </si>
  <si>
    <t>¹ Faturamento total mensal estimado R$ 1.239.000,00 para 2012</t>
  </si>
  <si>
    <t>Licitação N°. 20/2012</t>
  </si>
  <si>
    <t>Para as despesas administrativas/operacionais foi estabelecido 1,00% (conforme calculo tabela demonstrativa) do faturamento total mensal estimado da empresa, calculado sob os modulos I, II, III e IV da função predominante.</t>
  </si>
  <si>
    <t>Curitiba, 04 de julho de 2012</t>
  </si>
  <si>
    <t>SUPERVISOR</t>
  </si>
  <si>
    <t>SINDUSCON PR</t>
  </si>
  <si>
    <t>Pregão Eletrônico 20/2012</t>
  </si>
  <si>
    <t>Dia 04/07/2012</t>
  </si>
  <si>
    <t>MANUTENÇÃO E APOIO ADM</t>
  </si>
  <si>
    <t>2011/2012</t>
  </si>
  <si>
    <t>RECEPÇÃO</t>
  </si>
  <si>
    <t>COPEIRA</t>
  </si>
  <si>
    <t>PORTEIRO</t>
  </si>
  <si>
    <t>AUX. SERVIÇOS GERAIS</t>
  </si>
  <si>
    <t>OP. DE CALDEIRA</t>
  </si>
  <si>
    <t>ALMOXARIFE</t>
  </si>
  <si>
    <t>Adicional de Função</t>
  </si>
  <si>
    <t>OFICIAL DE MANUT. PREDIAL</t>
  </si>
  <si>
    <t xml:space="preserve">OPERADOR DE MAQUINA </t>
  </si>
  <si>
    <t>CERIMONIALISTA</t>
  </si>
  <si>
    <t>ORÇAMENTISTA</t>
  </si>
  <si>
    <t>JARDINEIRO</t>
  </si>
  <si>
    <t>ISS 2%</t>
  </si>
  <si>
    <t>ISS 3%</t>
  </si>
  <si>
    <t>ISS 4%</t>
  </si>
  <si>
    <t>ISS 5%</t>
  </si>
  <si>
    <t>Adcional de função</t>
  </si>
  <si>
    <t>Adicional de Estimulo</t>
  </si>
  <si>
    <t>Valor Mensal unit MÉDIO</t>
  </si>
  <si>
    <t>Telêmaco Borba</t>
  </si>
  <si>
    <t>Ivaiporã</t>
  </si>
  <si>
    <t>Irati</t>
  </si>
  <si>
    <t>Assis Chateaubriand</t>
  </si>
  <si>
    <t xml:space="preserve">Total GERAL </t>
  </si>
  <si>
    <t>empenho 2012 (outubro a dezembro)</t>
  </si>
  <si>
    <t>1 jardineiro</t>
  </si>
  <si>
    <t>1 jardineiro e 1 asg</t>
  </si>
  <si>
    <t>NE</t>
  </si>
  <si>
    <t>x</t>
  </si>
  <si>
    <t>empenho 2012 (novembro a dezembro)</t>
  </si>
  <si>
    <t xml:space="preserve">PROAD </t>
  </si>
  <si>
    <t>Supervisor -DA</t>
  </si>
  <si>
    <t>Orçamentista - DI</t>
  </si>
  <si>
    <t>Orçamentista - DCOF</t>
  </si>
  <si>
    <t>Of. de Manut Pred - DI</t>
  </si>
  <si>
    <t>Recepcionista - DA</t>
  </si>
  <si>
    <t>Orçamentista - DA</t>
  </si>
  <si>
    <t>ASG -DI</t>
  </si>
  <si>
    <t>Almoxarife -DA</t>
  </si>
  <si>
    <t>REITORIA</t>
  </si>
  <si>
    <t>Recepcionista - reitoria</t>
  </si>
  <si>
    <t>Copeiro - reitoria</t>
  </si>
  <si>
    <t>Copeiro - gabinete</t>
  </si>
  <si>
    <t>PROENS</t>
  </si>
  <si>
    <t>PROPLAN</t>
  </si>
  <si>
    <t>PROEPI</t>
  </si>
  <si>
    <t>PROGEPE</t>
  </si>
  <si>
    <t>EAD</t>
  </si>
  <si>
    <t>801645- CANCELADO - 802033</t>
  </si>
  <si>
    <t>Cerimonialista- gabinete</t>
  </si>
  <si>
    <t>uma será do Campus Curitiba e outra do Termo aditivo para inicio em 01/11 e outra para incio em Janeiro de 2013</t>
  </si>
  <si>
    <t>LICITAÇÃO</t>
  </si>
  <si>
    <t>ACRESCIMO - 1º TERMO ADITIVO</t>
  </si>
  <si>
    <t>Preço Máximo Admissível</t>
  </si>
  <si>
    <t>DIFERENÇA (Valor Anual licitado com o Valor anual de acréscimo)</t>
  </si>
  <si>
    <t>Valor do Posto</t>
  </si>
  <si>
    <t>Valor de novembro a dezembro 2012</t>
  </si>
  <si>
    <t>observações</t>
  </si>
  <si>
    <t xml:space="preserve">O.S. 01 </t>
  </si>
  <si>
    <t>ACRÉSCIMO 1º TERMO ADITIVO</t>
  </si>
  <si>
    <t>SUPRESSÃO 1º TERMO ADITIVO</t>
  </si>
  <si>
    <t>O.S. 01 - SUPRESSÃO ATRAVÉS DO 1º TERMO ADITIVO</t>
  </si>
  <si>
    <t>O.S. 02</t>
  </si>
  <si>
    <t>O.S. 03</t>
  </si>
  <si>
    <t>O.S. 03 DE 3 E ACRESCRIMO 1º TERMO ADITIVO DE DUAS</t>
  </si>
  <si>
    <t>O.S. 03 e não irá contratar de imediato uma receptionista transferido para a outra para a DA</t>
  </si>
  <si>
    <t>CÂMPUS CURITIBA</t>
  </si>
  <si>
    <t>O.S. 03 E não irá contrar de imediato um Oficial de Manutenção</t>
  </si>
  <si>
    <t>SUPRESSÃO - 1º TERMO ADITIVO</t>
  </si>
  <si>
    <t>1º TERMO ADITIVO</t>
  </si>
  <si>
    <t>802050 - ANULAÇÃO PARCIAL 802716</t>
  </si>
  <si>
    <t>NE REFORÇO 802773 DA 802043</t>
  </si>
  <si>
    <t>802052 ANULADO 1 POSTO PELA 802721</t>
  </si>
  <si>
    <t>de 205 para 235</t>
  </si>
  <si>
    <t>5,14 PARA 5,68</t>
  </si>
  <si>
    <t>VALOR LICITADO</t>
  </si>
  <si>
    <t>REPACTUADO</t>
  </si>
  <si>
    <t>SINDUSCO - PR</t>
  </si>
  <si>
    <t>REPACTUADO SINDUSCON</t>
  </si>
  <si>
    <t>2º Termo Aditivo</t>
  </si>
  <si>
    <t>Quantidade com o 2º Termo Aditivo</t>
  </si>
  <si>
    <t>Cascavel</t>
  </si>
  <si>
    <t>ACRESCIMO - 2º TERMO ADITIVO</t>
  </si>
  <si>
    <t>SUPRESSÃO - 2º TERMO ADITIVO</t>
  </si>
  <si>
    <t>2º TERMO ADITIVO</t>
  </si>
  <si>
    <t>VALOR INICIAL ATUALIZADO</t>
  </si>
  <si>
    <t>VALOR ATUALIZADO SINDUSCON 2012</t>
  </si>
  <si>
    <t>ACRÉSCIMO PRIMEIRO TERMO ADITIVO</t>
  </si>
  <si>
    <t>2º APOSTILAMENTO - REPACTUAÇÃO SINDUSCON 2012</t>
  </si>
  <si>
    <t>Operador de Maq.</t>
  </si>
  <si>
    <t xml:space="preserve">Of. de Manut Pred </t>
  </si>
  <si>
    <t>SUPRESSÃO PRIMEIRO TERMO ADITIVO</t>
  </si>
  <si>
    <t>NÃO EMPENHAR</t>
  </si>
  <si>
    <t>Recepcionista - protocolo</t>
  </si>
  <si>
    <t>Transferido da DA em abril de 2013</t>
  </si>
  <si>
    <t>Orçamentista - GAB</t>
  </si>
  <si>
    <t>TRANSFERIDO O POSTO DA PROPLAN EM ABRIL</t>
  </si>
  <si>
    <t>UM POSTO TRANSFERIDO PARA A PROAD EM ABRIL</t>
  </si>
  <si>
    <t>NÃO EMPENHAR / das três duas foram transferidas para a Reitoria protocolo</t>
  </si>
  <si>
    <t>TRANFERIRI A PARTIR DE 01/07/2013 PARA O CÂMPUS CURITIBA</t>
  </si>
  <si>
    <t>UM POSTO SUPRIMIDO A PARTIR DE 01/06/2013 E OUTRO TRANSFERIDO PARA O EAD A PARTIR DE 01/05/2013</t>
  </si>
  <si>
    <t>A) SALÁRIO - Cláusula Terceira- Novos pisos salariais para os colaboardores abrangidos pela CCT</t>
  </si>
  <si>
    <t>CARGO</t>
  </si>
  <si>
    <t>CARGA HORÁRIA</t>
  </si>
  <si>
    <t>SALÁRIO VIGENTE DO PREGÃO ATÉ 31/01/2013</t>
  </si>
  <si>
    <t>CCT 2013/2015</t>
  </si>
  <si>
    <t>40H</t>
  </si>
  <si>
    <t>RECEPCIONISTA</t>
  </si>
  <si>
    <t>Cláusula Terceira - Item 9</t>
  </si>
  <si>
    <t>30H</t>
  </si>
  <si>
    <t>Cláusula Terceira - Item 2</t>
  </si>
  <si>
    <t>44H</t>
  </si>
  <si>
    <t>Cláusula Terceira - Item 8</t>
  </si>
  <si>
    <t>AUXILIAR DE SERVIÇOS GERAIS</t>
  </si>
  <si>
    <t>Cláusula Terceira - Item 1</t>
  </si>
  <si>
    <t>OPERADOR COSTAL</t>
  </si>
  <si>
    <t>Cláusula Terceira - Item 10</t>
  </si>
  <si>
    <t>Cláusula Terceira - Item 5</t>
  </si>
  <si>
    <t>Cláusula Quarta - Parágrafo Segundo - percentual com base na servente</t>
  </si>
  <si>
    <t>BASE DE CALCULO (SERVENTE)  PARA CHEGAR NA PROPORÇÃO DAS 40 HORAS</t>
  </si>
  <si>
    <t>REAJUSTE</t>
  </si>
  <si>
    <t>DIFERENÇA</t>
  </si>
  <si>
    <t>PERCENTUAL</t>
  </si>
  <si>
    <t>BASE DE CALCULO (SERVENTE)  PARA CHEGAR NA PROPORÇÃO DO ORÇAMENTISTA, CERIMONIALISTA E COPEIRA</t>
  </si>
  <si>
    <t>B) ENCARGOS SOCIAIS  - Readequados de acordo com a remuneração por ter incidência direta</t>
  </si>
  <si>
    <t>C) ASSIDUIDADE - Cláusula Terceira - Parágrafo Oitavo - Adicional de assiduidade a todas as Categorias abrangidas pela CCT de 5% do salário base, a partir de Fevereiro de 2013</t>
  </si>
  <si>
    <t>CONVENÇÃO 2013/2015 A PARTIR DE 01/02/2013 A 31/01/2014</t>
  </si>
  <si>
    <t>D) AUXÍLIO SAÚDE- Cláusula Décima Quinta - contribuição mensal de R$35,00 (trinta e cinco reais) por colaborador para assitência saúde</t>
  </si>
  <si>
    <t>Auxílio Saúde  DO PREGÃO ATÉ 31/01/2013</t>
  </si>
  <si>
    <t>Auxílio Saúde  CCT 2013/2015</t>
  </si>
  <si>
    <t>E) Assistência Social Familiar - Cláusula Décima Sexta - Assitência social familiar a todas as categorias abrangidas pela presente CTT no valor mensal de R$12,00</t>
  </si>
  <si>
    <t>F) Fundo de Formação Profissiobal - Cláusula Vigèsima Segunda - contribuição R$11,00 mensais por cada colaborador da categoria</t>
  </si>
  <si>
    <t>G) Impostos - Incidência direta sobre os valores das notas emitidas, sofre variação conforme planilha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</si>
  <si>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Calibri"/>
        <family val="2"/>
      </rPr>
      <t>Data da Apresentação da proposta: 04/07/2012, às folhas 412 a 436;</t>
    </r>
  </si>
  <si>
    <t>e-mail</t>
  </si>
  <si>
    <t>luciano.juridico@siemaco.org.br</t>
  </si>
  <si>
    <t>3º Termo de Apostilamento - SIEMACO 2013</t>
  </si>
  <si>
    <t>Quantidade</t>
  </si>
  <si>
    <t>AD RISCO</t>
  </si>
  <si>
    <t>210-20% do funcionário</t>
  </si>
  <si>
    <t>Assistencia social</t>
  </si>
  <si>
    <t>J</t>
  </si>
  <si>
    <t xml:space="preserve">Assiduidade </t>
  </si>
  <si>
    <t>Incluido pelo SIEMACO 2013</t>
  </si>
  <si>
    <t>SIEMACO</t>
  </si>
  <si>
    <t>25 (VINTE E CINCO ) diárias</t>
  </si>
  <si>
    <t>APRESEN</t>
  </si>
  <si>
    <t>HABITUAL</t>
  </si>
  <si>
    <t>TABELA SIEMACO</t>
  </si>
  <si>
    <t xml:space="preserve"> Assistência Social Familiar - DO PREGÃO ATÉ 31/01/2013</t>
  </si>
  <si>
    <t xml:space="preserve"> Assistência Social Familiar -  CCT 2013/2015</t>
  </si>
  <si>
    <t>) Fundo de Formação Profissiobal DO PREGÃO ATÉ 31/01/2013</t>
  </si>
  <si>
    <t>) Fundo de Formação Profissiobal CCT 2013/2015</t>
  </si>
  <si>
    <t>Cláusula Terceira - Item 4</t>
  </si>
  <si>
    <t>LICITADO</t>
  </si>
  <si>
    <t>trasnferida para a DA Do GAB em 01/06/2013</t>
  </si>
  <si>
    <t>Recepcionista - DI</t>
  </si>
  <si>
    <t>EMPENHADO A PARTIR DE 01/06/2013 PARA A DI</t>
  </si>
  <si>
    <t>4º Termo de Apostilamento - retificação - referente a um mês Valor repactuado R$1.934,02</t>
  </si>
  <si>
    <t>4º Termo de Apostilamento - retificação do valor de R$2318,56 para R$2.589,20</t>
  </si>
  <si>
    <t>SALÁRIO</t>
  </si>
  <si>
    <t>ASSIDUIDADE</t>
  </si>
  <si>
    <t>TRANSFERIR A PARTIR DE 01/07/2013 PARA O CÂMPUS CURITIBA</t>
  </si>
  <si>
    <t>3º TERMO DE APOSTILAMENTO - SIEMACO 2013 (retificado pelo 4º Apostilamento)</t>
  </si>
  <si>
    <t>3º Termo de Apostilamento - SIEMACO 2013 retificado pelo 4º Apostilamento</t>
  </si>
  <si>
    <t>VALOR ATUALIZADO SIEMACO 2013</t>
  </si>
  <si>
    <t>3º Termo Aditivo - Prorrogação e acréscimo</t>
  </si>
  <si>
    <t>ASG -DA</t>
  </si>
  <si>
    <t>Aditivo a partir de 12/09 - Implantação Cascavel</t>
  </si>
  <si>
    <t>3º TERMO ADITIVO - acréscimo</t>
  </si>
  <si>
    <t>3º TERMO ADITIVO - acréscimo e supressão de materiais</t>
  </si>
  <si>
    <t>ADITIVO A PARTIR DE 12/09/2013 - MUDANÇA ASA - OS 07</t>
  </si>
  <si>
    <t>empenho 2012 (outubro dezembro)</t>
  </si>
  <si>
    <t>Saiu do Gabinete do Gilmar para o Gabinte do Reitor 01/10/2013</t>
  </si>
  <si>
    <t>Orçamentista -GAB PROAD</t>
  </si>
  <si>
    <t>Orçamentista - GAB PROAD</t>
  </si>
  <si>
    <t>NÃO EMPENHAR VAGO</t>
  </si>
  <si>
    <t>NÃO EMPENHAR O.S. 03 E não irá contrar de imediato</t>
  </si>
  <si>
    <t>Acréscimo de 1 (um) posto de serviços de Roçagem, item 9, em Curitiba (EAD), a partir de maio de 2013;</t>
  </si>
  <si>
    <t>2.1.3</t>
  </si>
  <si>
    <t>Acréscimo de 1 (um) posto de serviços Gerais, item 5, em Paranavaí, a partir de maio de 2013;</t>
  </si>
  <si>
    <t>2.1.4</t>
  </si>
  <si>
    <t>Acréscimo de 1 (um) posto de serviços de Portaria, item 4, em Irati, a partir de maio de 2013;</t>
  </si>
  <si>
    <t>2.1.5</t>
  </si>
  <si>
    <t>Acréscimo de 1 (um) posto de serviços de Manutenção Predial, item 8, em Palmas, a partir de maio de 2013;</t>
  </si>
  <si>
    <t>Acréscimo de 2 (dois) postos de serviços de Orçamentação, item 11, em Curitiba, a partir de novembro de 2012;</t>
  </si>
  <si>
    <t>2.1.2</t>
  </si>
  <si>
    <t>Acréscimo de 1 (um) posto de serviços de Recepção, item 2, em Curitiba, a partir de novembro de 2012;</t>
  </si>
  <si>
    <t>Acréscimo de 1 (um) posto de serviços de Recepção, item 2, em Curitiba, a partir de janeiro de 2013;</t>
  </si>
  <si>
    <t>Acréscimo de 1 (um) posto de serviços de Roçagem, item 9, em Telêmaco Borba, a partir de janeiro de 2013;</t>
  </si>
  <si>
    <t>Supressão de 1 (um) posto de serviços de Copeiragem, item 3, em Ivaiporã, a partir de janeiro de 2013;</t>
  </si>
  <si>
    <t>2.1.6</t>
  </si>
  <si>
    <t>Supressão de 1 (um) posto de serviços de Jardinagem, item 10, em Telêmaco Borba, a partir de janeiro de 2013</t>
  </si>
  <si>
    <t>1º termo aditivo</t>
  </si>
  <si>
    <t>2º Termo aditivo</t>
  </si>
  <si>
    <t>Acréscimo de 1 (um) posto de serviços Gerais, item 5, em Curitiba – Diretoria de Administração;</t>
  </si>
  <si>
    <t>Acréscimo de 1 (um) posto de serviços de Recepção, item 2, de 2 (dois) postos de serviços de Portaria e de 1 (um) posto de Oficial de Manutenção Predial,   em Cascavel;</t>
  </si>
  <si>
    <t>3º Termo aditivo</t>
  </si>
  <si>
    <t>4º TERMO ADITIVO - acréscimode todos os aditivos + o próprio</t>
  </si>
  <si>
    <t>VALOR ATUALIZADO SIEMACO 2013 E SUPRESSÃO DO MATERIAL DO OF</t>
  </si>
  <si>
    <t>DE ACRÉSCIMO</t>
  </si>
  <si>
    <t>tabela para calculo dos 25%</t>
  </si>
  <si>
    <t>4º Termo Aditivo - Acréscimo e supressão</t>
  </si>
  <si>
    <t>supressão de 1 posto no 4º Termo aditivo -O.S. 8</t>
  </si>
  <si>
    <t>Acréscimo de 1 posto no 4º Termo aditivo -O.S. 8</t>
  </si>
  <si>
    <t>supressão de 2 postos no 4º Termo aditivo -O.S. 8</t>
  </si>
  <si>
    <t>ACRÉSCIMO de 2 postos no 4º Termo aditivo -O.S. 8</t>
  </si>
  <si>
    <t>ACRÉSCIMO de 1 posto no 4º Termo aditivo -O.S. 8</t>
  </si>
  <si>
    <t>ocupação REALIZADA PELA O.S. 08 -A PARTIR DE 01/03/2014</t>
  </si>
  <si>
    <t>CALDEIREIRO</t>
  </si>
  <si>
    <t>OF. MANUTENÇÃO PREDIAL</t>
  </si>
  <si>
    <t>Ad. Estímulo = 5% do piso salarial</t>
  </si>
  <si>
    <t>SINDUSCON(almoxarife, of. Man. Predial, caldeireiro)</t>
  </si>
  <si>
    <t>Vale alimentação ou Compras</t>
  </si>
  <si>
    <t>CCT 2014/2016</t>
  </si>
  <si>
    <t>VALE ALIMENTAÇÃO</t>
  </si>
  <si>
    <t xml:space="preserve">CCT2014/2016 </t>
  </si>
  <si>
    <t>Assistencia médica</t>
  </si>
  <si>
    <t>5º Termo Aditivo - Acréscimo e supressão</t>
  </si>
  <si>
    <t>Pinhais</t>
  </si>
  <si>
    <t>Jaguariaiva</t>
  </si>
  <si>
    <t>5º TERMO DE APOSTILAMENTO - acréscimos e supressões</t>
  </si>
  <si>
    <t>6º Termo Aditivo - Acréscimo e supressão</t>
  </si>
  <si>
    <t>VALOR ATUALIZADO DA LICITAÇÃO - REPACTUAÇÃO 2014</t>
  </si>
  <si>
    <t>VALOR MENSAL</t>
  </si>
  <si>
    <t>VALOR ANUAL</t>
  </si>
  <si>
    <t>4º TERMO ADITIVO - acréscimos e supressões</t>
  </si>
  <si>
    <t>Pitanga</t>
  </si>
  <si>
    <t>6º TERMO ADITIVO - acréscimos</t>
  </si>
  <si>
    <t>Barracão</t>
  </si>
  <si>
    <t>6º TERMO ADITIVO - acréscimos e supressões</t>
  </si>
  <si>
    <t>Capanema</t>
  </si>
  <si>
    <t>Astorga</t>
  </si>
  <si>
    <t>Cel. Vivida</t>
  </si>
  <si>
    <t>Quedas do Iguaçu</t>
  </si>
  <si>
    <t>SÉTIMO APOSTILAMENTO</t>
  </si>
  <si>
    <t>Colombo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</si>
</sst>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#,##0.00&quot; &quot;;&quot; (&quot;#,##0.00&quot;)&quot;;&quot; -&quot;#&quot; &quot;;@&quot; &quot;"/>
    <numFmt numFmtId="166" formatCode="_-* #,##0_-;\-* #,##0_-;_-* &quot;-&quot;??_-;_-@_-"/>
    <numFmt numFmtId="167" formatCode="&quot;R$&quot;\ #,##0.00"/>
    <numFmt numFmtId="169" formatCode="&quot;R$&quot;\ #,##0"/>
  </numFmts>
  <fonts count="5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4"/>
      <name val="Times New Roman"/>
      <family val="1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vertAlign val="superscript"/>
      <sz val="10"/>
      <name val="Calibri"/>
      <family val="2"/>
    </font>
    <font>
      <vertAlign val="superscript"/>
      <sz val="12"/>
      <name val="Calibri"/>
      <family val="2"/>
    </font>
    <font>
      <vertAlign val="superscript"/>
      <sz val="10"/>
      <name val="Calibri"/>
      <family val="2"/>
    </font>
    <font>
      <sz val="7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color theme="1"/>
      <name val="Calibri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gray125">
        <bgColor rgb="FFDFDFDF"/>
      </patternFill>
    </fill>
    <fill>
      <patternFill patternType="solid">
        <fgColor rgb="FFC0C0C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DE9D9"/>
        <bgColor indexed="64"/>
      </patternFill>
    </fill>
    <fill>
      <patternFill patternType="gray125"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164" fontId="1" fillId="0" borderId="0"/>
    <xf numFmtId="165" fontId="1" fillId="0" borderId="0"/>
    <xf numFmtId="0" fontId="5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831">
    <xf numFmtId="0" fontId="0" fillId="0" borderId="0" xfId="0"/>
    <xf numFmtId="0" fontId="2" fillId="0" borderId="0" xfId="20" applyFont="1"/>
    <xf numFmtId="0" fontId="10" fillId="0" borderId="0" xfId="20"/>
    <xf numFmtId="10" fontId="0" fillId="0" borderId="0" xfId="21" applyNumberFormat="1" applyFont="1"/>
    <xf numFmtId="43" fontId="0" fillId="0" borderId="0" xfId="22" applyFont="1"/>
    <xf numFmtId="10" fontId="0" fillId="0" borderId="0" xfId="21" applyNumberFormat="1" applyFont="1" applyAlignment="1">
      <alignment horizontal="right"/>
    </xf>
    <xf numFmtId="43" fontId="0" fillId="0" borderId="0" xfId="22" applyFont="1" applyAlignment="1">
      <alignment horizontal="center"/>
    </xf>
    <xf numFmtId="0" fontId="10" fillId="0" borderId="2" xfId="20" applyBorder="1" applyAlignment="1">
      <alignment horizontal="center"/>
    </xf>
    <xf numFmtId="0" fontId="10" fillId="0" borderId="2" xfId="20" applyBorder="1"/>
    <xf numFmtId="0" fontId="2" fillId="0" borderId="0" xfId="20" applyFont="1" applyBorder="1"/>
    <xf numFmtId="0" fontId="10" fillId="0" borderId="0" xfId="20" applyAlignment="1">
      <alignment horizontal="left"/>
    </xf>
    <xf numFmtId="0" fontId="10" fillId="0" borderId="7" xfId="20" applyFont="1" applyBorder="1" applyAlignment="1"/>
    <xf numFmtId="0" fontId="8" fillId="0" borderId="7" xfId="20" applyFont="1" applyBorder="1" applyAlignment="1"/>
    <xf numFmtId="0" fontId="7" fillId="0" borderId="2" xfId="20" applyFont="1" applyBorder="1" applyAlignment="1">
      <alignment horizontal="center"/>
    </xf>
    <xf numFmtId="0" fontId="7" fillId="0" borderId="2" xfId="20" applyFont="1" applyBorder="1" applyAlignment="1"/>
    <xf numFmtId="10" fontId="7" fillId="0" borderId="2" xfId="21" applyNumberFormat="1" applyFont="1" applyBorder="1" applyAlignment="1">
      <alignment horizontal="center"/>
    </xf>
    <xf numFmtId="43" fontId="7" fillId="0" borderId="2" xfId="22" applyFont="1" applyBorder="1" applyAlignment="1">
      <alignment horizontal="center"/>
    </xf>
    <xf numFmtId="166" fontId="0" fillId="0" borderId="2" xfId="22" applyNumberFormat="1" applyFont="1" applyBorder="1"/>
    <xf numFmtId="43" fontId="0" fillId="0" borderId="2" xfId="22" applyFont="1" applyBorder="1"/>
    <xf numFmtId="43" fontId="2" fillId="0" borderId="0" xfId="22" applyFont="1"/>
    <xf numFmtId="9" fontId="0" fillId="0" borderId="2" xfId="21" applyFont="1" applyBorder="1"/>
    <xf numFmtId="43" fontId="6" fillId="0" borderId="0" xfId="22" applyFont="1"/>
    <xf numFmtId="43" fontId="0" fillId="0" borderId="2" xfId="22" applyNumberFormat="1" applyFont="1" applyBorder="1"/>
    <xf numFmtId="43" fontId="7" fillId="0" borderId="2" xfId="22" applyFont="1" applyBorder="1"/>
    <xf numFmtId="0" fontId="7" fillId="0" borderId="2" xfId="20" applyFont="1" applyBorder="1"/>
    <xf numFmtId="0" fontId="10" fillId="0" borderId="2" xfId="20" applyNumberFormat="1" applyBorder="1"/>
    <xf numFmtId="43" fontId="9" fillId="0" borderId="0" xfId="22" applyFont="1"/>
    <xf numFmtId="0" fontId="2" fillId="0" borderId="2" xfId="20" applyNumberFormat="1" applyFont="1" applyBorder="1"/>
    <xf numFmtId="43" fontId="2" fillId="0" borderId="0" xfId="20" applyNumberFormat="1" applyFont="1"/>
    <xf numFmtId="10" fontId="0" fillId="0" borderId="2" xfId="21" applyNumberFormat="1" applyFont="1" applyBorder="1"/>
    <xf numFmtId="0" fontId="10" fillId="0" borderId="0" xfId="20" applyAlignment="1">
      <alignment horizontal="center"/>
    </xf>
    <xf numFmtId="43" fontId="0" fillId="0" borderId="2" xfId="21" applyNumberFormat="1" applyFont="1" applyBorder="1"/>
    <xf numFmtId="0" fontId="2" fillId="0" borderId="2" xfId="20" applyFont="1" applyBorder="1"/>
    <xf numFmtId="0" fontId="2" fillId="0" borderId="2" xfId="20" applyFont="1" applyBorder="1" applyAlignment="1">
      <alignment horizontal="center"/>
    </xf>
    <xf numFmtId="10" fontId="7" fillId="0" borderId="2" xfId="21" applyNumberFormat="1" applyFont="1" applyBorder="1"/>
    <xf numFmtId="2" fontId="2" fillId="0" borderId="0" xfId="20" applyNumberFormat="1" applyFont="1" applyBorder="1"/>
    <xf numFmtId="10" fontId="2" fillId="0" borderId="0" xfId="20" applyNumberFormat="1" applyFont="1"/>
    <xf numFmtId="0" fontId="10" fillId="0" borderId="4" xfId="20" applyBorder="1" applyAlignment="1"/>
    <xf numFmtId="10" fontId="10" fillId="0" borderId="2" xfId="20" applyNumberFormat="1" applyBorder="1" applyAlignment="1"/>
    <xf numFmtId="0" fontId="10" fillId="0" borderId="2" xfId="20" applyBorder="1" applyAlignment="1"/>
    <xf numFmtId="0" fontId="7" fillId="0" borderId="4" xfId="20" applyFont="1" applyBorder="1" applyAlignment="1">
      <alignment horizontal="center"/>
    </xf>
    <xf numFmtId="10" fontId="7" fillId="0" borderId="2" xfId="20" applyNumberFormat="1" applyFont="1" applyBorder="1" applyAlignment="1"/>
    <xf numFmtId="43" fontId="12" fillId="0" borderId="0" xfId="22" applyFont="1"/>
    <xf numFmtId="0" fontId="10" fillId="0" borderId="2" xfId="20" applyFill="1" applyBorder="1" applyAlignment="1">
      <alignment horizontal="center"/>
    </xf>
    <xf numFmtId="10" fontId="7" fillId="0" borderId="0" xfId="20" applyNumberFormat="1" applyFont="1" applyBorder="1" applyAlignment="1">
      <alignment horizontal="center"/>
    </xf>
    <xf numFmtId="10" fontId="2" fillId="0" borderId="2" xfId="21" applyNumberFormat="1" applyFont="1" applyBorder="1"/>
    <xf numFmtId="43" fontId="2" fillId="0" borderId="0" xfId="20" applyNumberFormat="1" applyFont="1" applyBorder="1"/>
    <xf numFmtId="43" fontId="2" fillId="0" borderId="0" xfId="22" applyFont="1" applyBorder="1"/>
    <xf numFmtId="0" fontId="13" fillId="0" borderId="0" xfId="20" applyFont="1"/>
    <xf numFmtId="166" fontId="2" fillId="0" borderId="0" xfId="22" applyNumberFormat="1" applyFont="1"/>
    <xf numFmtId="9" fontId="10" fillId="0" borderId="0" xfId="20" applyNumberFormat="1"/>
    <xf numFmtId="44" fontId="0" fillId="0" borderId="0" xfId="23" applyFont="1"/>
    <xf numFmtId="0" fontId="2" fillId="0" borderId="0" xfId="20" applyFont="1" applyFill="1" applyBorder="1"/>
    <xf numFmtId="0" fontId="14" fillId="0" borderId="0" xfId="20" applyFont="1"/>
    <xf numFmtId="0" fontId="14" fillId="0" borderId="0" xfId="20" applyFont="1" applyBorder="1"/>
    <xf numFmtId="43" fontId="14" fillId="0" borderId="0" xfId="22" applyFont="1"/>
    <xf numFmtId="43" fontId="15" fillId="0" borderId="0" xfId="22" applyFont="1"/>
    <xf numFmtId="43" fontId="16" fillId="0" borderId="0" xfId="22" applyFont="1"/>
    <xf numFmtId="43" fontId="14" fillId="0" borderId="0" xfId="20" applyNumberFormat="1" applyFont="1"/>
    <xf numFmtId="2" fontId="14" fillId="0" borderId="0" xfId="20" applyNumberFormat="1" applyFont="1" applyBorder="1"/>
    <xf numFmtId="10" fontId="14" fillId="0" borderId="0" xfId="20" applyNumberFormat="1" applyFont="1"/>
    <xf numFmtId="10" fontId="17" fillId="0" borderId="0" xfId="20" applyNumberFormat="1" applyFont="1" applyBorder="1" applyAlignment="1">
      <alignment horizontal="center"/>
    </xf>
    <xf numFmtId="43" fontId="14" fillId="0" borderId="0" xfId="20" applyNumberFormat="1" applyFont="1" applyBorder="1"/>
    <xf numFmtId="43" fontId="14" fillId="0" borderId="0" xfId="22" applyFont="1" applyBorder="1"/>
    <xf numFmtId="0" fontId="18" fillId="0" borderId="0" xfId="20" applyFont="1"/>
    <xf numFmtId="166" fontId="14" fillId="0" borderId="0" xfId="22" applyNumberFormat="1" applyFont="1"/>
    <xf numFmtId="0" fontId="10" fillId="0" borderId="0" xfId="20" applyAlignment="1">
      <alignment horizontal="left"/>
    </xf>
    <xf numFmtId="0" fontId="7" fillId="0" borderId="2" xfId="20" applyFont="1" applyBorder="1" applyAlignment="1">
      <alignment horizontal="center"/>
    </xf>
    <xf numFmtId="0" fontId="10" fillId="0" borderId="2" xfId="20" applyBorder="1" applyAlignment="1"/>
    <xf numFmtId="0" fontId="7" fillId="0" borderId="4" xfId="20" applyFont="1" applyBorder="1" applyAlignment="1">
      <alignment horizontal="center"/>
    </xf>
    <xf numFmtId="0" fontId="2" fillId="0" borderId="2" xfId="20" applyFont="1" applyBorder="1" applyAlignment="1">
      <alignment horizontal="center"/>
    </xf>
    <xf numFmtId="0" fontId="10" fillId="0" borderId="2" xfId="2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8" fontId="22" fillId="0" borderId="12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right" vertical="center" wrapText="1"/>
    </xf>
    <xf numFmtId="8" fontId="20" fillId="0" borderId="12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8" fontId="21" fillId="0" borderId="1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8" fontId="1" fillId="0" borderId="1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8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 wrapText="1"/>
    </xf>
    <xf numFmtId="8" fontId="24" fillId="0" borderId="12" xfId="0" applyNumberFormat="1" applyFont="1" applyBorder="1" applyAlignment="1">
      <alignment horizontal="right" vertical="center"/>
    </xf>
    <xf numFmtId="8" fontId="0" fillId="0" borderId="2" xfId="21" applyNumberFormat="1" applyFont="1" applyBorder="1"/>
    <xf numFmtId="0" fontId="1" fillId="0" borderId="12" xfId="0" applyFont="1" applyBorder="1" applyAlignment="1">
      <alignment horizontal="center" vertical="center" wrapText="1"/>
    </xf>
    <xf numFmtId="8" fontId="1" fillId="0" borderId="12" xfId="0" applyNumberFormat="1" applyFont="1" applyBorder="1" applyAlignment="1">
      <alignment horizontal="center" vertical="center" wrapText="1"/>
    </xf>
    <xf numFmtId="8" fontId="1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8" fontId="24" fillId="0" borderId="12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8" fontId="25" fillId="0" borderId="12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8" fontId="21" fillId="0" borderId="12" xfId="0" applyNumberFormat="1" applyFont="1" applyBorder="1" applyAlignment="1">
      <alignment horizontal="right" vertical="center"/>
    </xf>
    <xf numFmtId="0" fontId="25" fillId="5" borderId="10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8" fontId="0" fillId="0" borderId="2" xfId="22" applyNumberFormat="1" applyFont="1" applyBorder="1"/>
    <xf numFmtId="0" fontId="19" fillId="0" borderId="0" xfId="0" applyFont="1"/>
    <xf numFmtId="0" fontId="10" fillId="0" borderId="0" xfId="20" applyAlignment="1">
      <alignment horizontal="left"/>
    </xf>
    <xf numFmtId="0" fontId="7" fillId="0" borderId="2" xfId="20" applyFont="1" applyBorder="1" applyAlignment="1">
      <alignment horizontal="center"/>
    </xf>
    <xf numFmtId="0" fontId="10" fillId="0" borderId="2" xfId="20" applyBorder="1" applyAlignment="1"/>
    <xf numFmtId="0" fontId="7" fillId="0" borderId="4" xfId="20" applyFont="1" applyBorder="1" applyAlignment="1">
      <alignment horizontal="center"/>
    </xf>
    <xf numFmtId="0" fontId="2" fillId="0" borderId="2" xfId="20" applyFont="1" applyBorder="1" applyAlignment="1">
      <alignment horizontal="center"/>
    </xf>
    <xf numFmtId="0" fontId="10" fillId="0" borderId="2" xfId="20" applyBorder="1" applyAlignment="1">
      <alignment horizontal="center"/>
    </xf>
    <xf numFmtId="0" fontId="10" fillId="0" borderId="0" xfId="20" applyFont="1" applyFill="1" applyBorder="1" applyAlignment="1">
      <alignment horizontal="left"/>
    </xf>
    <xf numFmtId="0" fontId="2" fillId="0" borderId="0" xfId="20" applyFont="1" applyAlignment="1">
      <alignment horizontal="left"/>
    </xf>
    <xf numFmtId="0" fontId="10" fillId="0" borderId="0" xfId="20" applyAlignment="1">
      <alignment horizontal="left"/>
    </xf>
    <xf numFmtId="0" fontId="7" fillId="0" borderId="0" xfId="20" applyFont="1" applyAlignment="1">
      <alignment horizontal="left"/>
    </xf>
    <xf numFmtId="0" fontId="2" fillId="0" borderId="0" xfId="20" applyFont="1" applyFill="1" applyBorder="1" applyAlignment="1">
      <alignment horizontal="left"/>
    </xf>
    <xf numFmtId="44" fontId="0" fillId="0" borderId="0" xfId="0" applyNumberFormat="1"/>
    <xf numFmtId="44" fontId="25" fillId="0" borderId="12" xfId="27" applyFont="1" applyBorder="1" applyAlignment="1">
      <alignment horizontal="center" vertical="center" wrapText="1"/>
    </xf>
    <xf numFmtId="44" fontId="25" fillId="0" borderId="12" xfId="27" applyFont="1" applyBorder="1" applyAlignment="1">
      <alignment horizontal="right" vertical="center" wrapText="1"/>
    </xf>
    <xf numFmtId="44" fontId="24" fillId="0" borderId="11" xfId="27" applyFont="1" applyBorder="1" applyAlignment="1">
      <alignment vertical="center" wrapText="1"/>
    </xf>
    <xf numFmtId="44" fontId="24" fillId="0" borderId="12" xfId="27" applyFont="1" applyBorder="1" applyAlignment="1">
      <alignment vertical="center" wrapText="1"/>
    </xf>
    <xf numFmtId="44" fontId="28" fillId="0" borderId="12" xfId="27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8" fontId="25" fillId="0" borderId="12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8" fontId="20" fillId="7" borderId="1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7" borderId="1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7" borderId="10" xfId="0" applyFont="1" applyFill="1" applyBorder="1" applyAlignment="1">
      <alignment horizontal="center" vertical="center"/>
    </xf>
    <xf numFmtId="8" fontId="20" fillId="7" borderId="11" xfId="0" applyNumberFormat="1" applyFont="1" applyFill="1" applyBorder="1" applyAlignment="1">
      <alignment horizontal="right" vertical="center"/>
    </xf>
    <xf numFmtId="8" fontId="0" fillId="0" borderId="2" xfId="27" applyNumberFormat="1" applyFont="1" applyBorder="1"/>
    <xf numFmtId="0" fontId="7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left"/>
    </xf>
    <xf numFmtId="43" fontId="7" fillId="0" borderId="0" xfId="22" applyFont="1" applyBorder="1"/>
    <xf numFmtId="0" fontId="2" fillId="0" borderId="4" xfId="20" applyFont="1" applyBorder="1" applyAlignment="1"/>
    <xf numFmtId="0" fontId="1" fillId="0" borderId="2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4" fontId="1" fillId="0" borderId="13" xfId="27" applyFont="1" applyBorder="1" applyAlignment="1">
      <alignment vertical="center"/>
    </xf>
    <xf numFmtId="44" fontId="1" fillId="0" borderId="12" xfId="27" applyFont="1" applyBorder="1" applyAlignment="1">
      <alignment vertical="center" wrapText="1"/>
    </xf>
    <xf numFmtId="8" fontId="0" fillId="0" borderId="0" xfId="0" applyNumberFormat="1"/>
    <xf numFmtId="0" fontId="32" fillId="0" borderId="0" xfId="0" applyFont="1"/>
    <xf numFmtId="44" fontId="0" fillId="0" borderId="2" xfId="27" applyFont="1" applyBorder="1"/>
    <xf numFmtId="0" fontId="2" fillId="0" borderId="0" xfId="19"/>
    <xf numFmtId="0" fontId="34" fillId="0" borderId="0" xfId="19" applyFont="1" applyAlignment="1">
      <alignment horizontal="center" vertical="center"/>
    </xf>
    <xf numFmtId="0" fontId="35" fillId="10" borderId="23" xfId="19" applyFont="1" applyFill="1" applyBorder="1" applyAlignment="1">
      <alignment horizontal="center" vertical="center" wrapText="1"/>
    </xf>
    <xf numFmtId="0" fontId="35" fillId="10" borderId="24" xfId="19" applyFont="1" applyFill="1" applyBorder="1" applyAlignment="1">
      <alignment horizontal="center" vertical="center" wrapText="1"/>
    </xf>
    <xf numFmtId="0" fontId="35" fillId="0" borderId="25" xfId="19" applyFont="1" applyBorder="1" applyAlignment="1">
      <alignment vertical="center" wrapText="1"/>
    </xf>
    <xf numFmtId="10" fontId="36" fillId="0" borderId="26" xfId="19" applyNumberFormat="1" applyFont="1" applyBorder="1" applyAlignment="1">
      <alignment horizontal="center" vertical="center" wrapText="1"/>
    </xf>
    <xf numFmtId="0" fontId="36" fillId="0" borderId="26" xfId="19" applyFont="1" applyBorder="1" applyAlignment="1">
      <alignment horizontal="center" vertical="center" wrapText="1"/>
    </xf>
    <xf numFmtId="0" fontId="36" fillId="0" borderId="26" xfId="19" applyFont="1" applyBorder="1" applyAlignment="1">
      <alignment vertical="center" wrapText="1"/>
    </xf>
    <xf numFmtId="0" fontId="35" fillId="0" borderId="0" xfId="19" applyFont="1" applyAlignment="1">
      <alignment horizontal="justify" vertical="center"/>
    </xf>
    <xf numFmtId="0" fontId="36" fillId="0" borderId="0" xfId="19" applyFont="1" applyAlignment="1">
      <alignment horizontal="justify" vertical="center"/>
    </xf>
    <xf numFmtId="10" fontId="37" fillId="0" borderId="0" xfId="28" applyNumberFormat="1" applyFont="1"/>
    <xf numFmtId="0" fontId="35" fillId="0" borderId="23" xfId="19" applyFont="1" applyBorder="1" applyAlignment="1">
      <alignment vertical="center" wrapText="1"/>
    </xf>
    <xf numFmtId="10" fontId="35" fillId="0" borderId="24" xfId="19" applyNumberFormat="1" applyFont="1" applyBorder="1" applyAlignment="1">
      <alignment horizontal="center" vertical="center" wrapText="1"/>
    </xf>
    <xf numFmtId="0" fontId="38" fillId="0" borderId="0" xfId="19" applyFont="1" applyAlignment="1">
      <alignment vertical="center"/>
    </xf>
    <xf numFmtId="0" fontId="36" fillId="0" borderId="26" xfId="19" applyFont="1" applyBorder="1" applyAlignment="1">
      <alignment horizontal="justify" vertical="center" wrapText="1"/>
    </xf>
    <xf numFmtId="0" fontId="35" fillId="0" borderId="25" xfId="19" applyFont="1" applyBorder="1" applyAlignment="1">
      <alignment horizontal="justify" vertical="center" wrapText="1"/>
    </xf>
    <xf numFmtId="10" fontId="35" fillId="0" borderId="26" xfId="19" applyNumberFormat="1" applyFont="1" applyBorder="1" applyAlignment="1">
      <alignment horizontal="center" vertical="center" wrapText="1"/>
    </xf>
    <xf numFmtId="0" fontId="40" fillId="0" borderId="0" xfId="19" applyFont="1" applyAlignment="1">
      <alignment horizontal="justify" vertical="center"/>
    </xf>
    <xf numFmtId="0" fontId="41" fillId="0" borderId="0" xfId="19" applyFont="1" applyAlignment="1">
      <alignment horizontal="justify" vertical="center"/>
    </xf>
    <xf numFmtId="2" fontId="2" fillId="0" borderId="0" xfId="19" applyNumberFormat="1" applyFont="1"/>
    <xf numFmtId="0" fontId="41" fillId="0" borderId="0" xfId="19" applyFont="1" applyAlignment="1">
      <alignment vertical="center"/>
    </xf>
    <xf numFmtId="9" fontId="0" fillId="0" borderId="0" xfId="28" applyFont="1"/>
    <xf numFmtId="0" fontId="36" fillId="0" borderId="0" xfId="19" applyFont="1" applyAlignment="1">
      <alignment vertical="center"/>
    </xf>
    <xf numFmtId="43" fontId="2" fillId="0" borderId="0" xfId="29" applyFont="1"/>
    <xf numFmtId="0" fontId="35" fillId="0" borderId="0" xfId="19" applyFont="1" applyAlignment="1">
      <alignment vertical="center"/>
    </xf>
    <xf numFmtId="0" fontId="36" fillId="0" borderId="22" xfId="19" applyFont="1" applyBorder="1" applyAlignment="1">
      <alignment vertical="center" wrapText="1"/>
    </xf>
    <xf numFmtId="0" fontId="35" fillId="0" borderId="0" xfId="19" applyFont="1" applyAlignment="1">
      <alignment horizontal="center" vertical="center"/>
    </xf>
    <xf numFmtId="43" fontId="2" fillId="0" borderId="0" xfId="19" applyNumberFormat="1"/>
    <xf numFmtId="0" fontId="37" fillId="0" borderId="0" xfId="19" applyFont="1"/>
    <xf numFmtId="44" fontId="37" fillId="0" borderId="0" xfId="30" applyFont="1"/>
    <xf numFmtId="10" fontId="0" fillId="0" borderId="0" xfId="28" applyNumberFormat="1" applyFont="1"/>
    <xf numFmtId="44" fontId="0" fillId="0" borderId="0" xfId="30" applyFont="1"/>
    <xf numFmtId="166" fontId="37" fillId="0" borderId="0" xfId="29" applyNumberFormat="1" applyFont="1"/>
    <xf numFmtId="44" fontId="7" fillId="0" borderId="0" xfId="30" applyFont="1"/>
    <xf numFmtId="44" fontId="2" fillId="0" borderId="0" xfId="19" applyNumberFormat="1"/>
    <xf numFmtId="166" fontId="0" fillId="0" borderId="0" xfId="29" applyNumberFormat="1" applyFont="1"/>
    <xf numFmtId="0" fontId="2" fillId="0" borderId="0" xfId="19" applyFont="1"/>
    <xf numFmtId="10" fontId="2" fillId="0" borderId="0" xfId="19" applyNumberFormat="1"/>
    <xf numFmtId="0" fontId="43" fillId="0" borderId="0" xfId="19" applyFont="1" applyAlignment="1">
      <alignment horizontal="left" vertical="center"/>
    </xf>
    <xf numFmtId="0" fontId="38" fillId="0" borderId="0" xfId="19" applyFont="1"/>
    <xf numFmtId="0" fontId="43" fillId="0" borderId="0" xfId="19" applyFont="1" applyAlignment="1">
      <alignment vertical="center"/>
    </xf>
    <xf numFmtId="0" fontId="7" fillId="0" borderId="0" xfId="19" applyFont="1"/>
    <xf numFmtId="49" fontId="36" fillId="0" borderId="0" xfId="19" applyNumberFormat="1" applyFont="1" applyAlignment="1">
      <alignment vertical="distributed"/>
    </xf>
    <xf numFmtId="0" fontId="38" fillId="0" borderId="0" xfId="19" applyFont="1" applyAlignment="1">
      <alignment horizontal="justify" vertical="center"/>
    </xf>
    <xf numFmtId="0" fontId="35" fillId="0" borderId="0" xfId="19" applyFont="1" applyBorder="1" applyAlignment="1">
      <alignment vertical="center"/>
    </xf>
    <xf numFmtId="0" fontId="43" fillId="0" borderId="2" xfId="19" applyFont="1" applyBorder="1" applyAlignment="1">
      <alignment horizontal="justify" vertical="center"/>
    </xf>
    <xf numFmtId="0" fontId="43" fillId="0" borderId="2" xfId="19" applyFont="1" applyBorder="1" applyAlignment="1">
      <alignment horizontal="center"/>
    </xf>
    <xf numFmtId="0" fontId="43" fillId="0" borderId="2" xfId="19" applyFont="1" applyBorder="1" applyAlignment="1">
      <alignment horizontal="distributed"/>
    </xf>
    <xf numFmtId="0" fontId="2" fillId="0" borderId="0" xfId="19" applyBorder="1"/>
    <xf numFmtId="0" fontId="38" fillId="0" borderId="2" xfId="19" applyFont="1" applyBorder="1"/>
    <xf numFmtId="44" fontId="38" fillId="0" borderId="2" xfId="30" applyFont="1" applyBorder="1"/>
    <xf numFmtId="10" fontId="38" fillId="0" borderId="2" xfId="28" applyNumberFormat="1" applyFont="1" applyBorder="1"/>
    <xf numFmtId="44" fontId="14" fillId="0" borderId="0" xfId="30" applyFont="1" applyBorder="1"/>
    <xf numFmtId="0" fontId="43" fillId="0" borderId="2" xfId="19" applyFont="1" applyBorder="1"/>
    <xf numFmtId="44" fontId="43" fillId="0" borderId="2" xfId="30" applyFont="1" applyBorder="1"/>
    <xf numFmtId="10" fontId="43" fillId="0" borderId="2" xfId="28" applyNumberFormat="1" applyFont="1" applyBorder="1"/>
    <xf numFmtId="0" fontId="7" fillId="0" borderId="0" xfId="19" applyFont="1" applyBorder="1"/>
    <xf numFmtId="0" fontId="43" fillId="0" borderId="0" xfId="19" applyFont="1" applyAlignment="1">
      <alignment horizontal="justify" vertical="center"/>
    </xf>
    <xf numFmtId="166" fontId="38" fillId="0" borderId="0" xfId="29" applyNumberFormat="1" applyFont="1"/>
    <xf numFmtId="10" fontId="38" fillId="0" borderId="0" xfId="28" applyNumberFormat="1" applyFont="1"/>
    <xf numFmtId="44" fontId="43" fillId="0" borderId="0" xfId="30" applyFont="1"/>
    <xf numFmtId="44" fontId="38" fillId="0" borderId="0" xfId="19" applyNumberFormat="1" applyFont="1"/>
    <xf numFmtId="0" fontId="43" fillId="0" borderId="2" xfId="19" applyFont="1" applyBorder="1" applyAlignment="1">
      <alignment vertical="center"/>
    </xf>
    <xf numFmtId="0" fontId="7" fillId="0" borderId="0" xfId="19" applyFont="1" applyBorder="1" applyAlignment="1">
      <alignment vertical="center"/>
    </xf>
    <xf numFmtId="0" fontId="38" fillId="0" borderId="3" xfId="19" applyFont="1" applyBorder="1"/>
    <xf numFmtId="44" fontId="38" fillId="0" borderId="3" xfId="19" applyNumberFormat="1" applyFont="1" applyBorder="1"/>
    <xf numFmtId="10" fontId="43" fillId="0" borderId="2" xfId="19" applyNumberFormat="1" applyFont="1" applyBorder="1"/>
    <xf numFmtId="0" fontId="38" fillId="0" borderId="28" xfId="19" applyFont="1" applyFill="1" applyBorder="1"/>
    <xf numFmtId="0" fontId="38" fillId="0" borderId="0" xfId="19" applyFont="1" applyFill="1" applyBorder="1"/>
    <xf numFmtId="0" fontId="2" fillId="0" borderId="0" xfId="19" applyAlignment="1">
      <alignment horizontal="center"/>
    </xf>
    <xf numFmtId="10" fontId="36" fillId="0" borderId="29" xfId="19" applyNumberFormat="1" applyFont="1" applyBorder="1" applyAlignment="1">
      <alignment horizontal="center" vertical="center" wrapText="1"/>
    </xf>
    <xf numFmtId="0" fontId="35" fillId="10" borderId="30" xfId="19" applyFont="1" applyFill="1" applyBorder="1" applyAlignment="1">
      <alignment horizontal="center" vertical="center" wrapText="1"/>
    </xf>
    <xf numFmtId="0" fontId="2" fillId="0" borderId="10" xfId="19" applyBorder="1"/>
    <xf numFmtId="0" fontId="36" fillId="0" borderId="0" xfId="19" applyFont="1" applyAlignment="1">
      <alignment horizontal="left" vertical="center"/>
    </xf>
    <xf numFmtId="2" fontId="2" fillId="0" borderId="0" xfId="19" applyNumberFormat="1"/>
    <xf numFmtId="0" fontId="36" fillId="0" borderId="0" xfId="19" applyFont="1" applyFill="1" applyBorder="1" applyAlignment="1">
      <alignment vertical="center" wrapText="1"/>
    </xf>
    <xf numFmtId="0" fontId="36" fillId="0" borderId="29" xfId="19" applyFont="1" applyBorder="1" applyAlignment="1">
      <alignment horizontal="center" vertical="center" wrapText="1"/>
    </xf>
    <xf numFmtId="0" fontId="36" fillId="0" borderId="10" xfId="19" applyFont="1" applyBorder="1" applyAlignment="1">
      <alignment vertical="center" wrapText="1"/>
    </xf>
    <xf numFmtId="44" fontId="2" fillId="0" borderId="0" xfId="19" applyNumberFormat="1" applyBorder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8" fontId="22" fillId="0" borderId="2" xfId="0" applyNumberFormat="1" applyFont="1" applyBorder="1" applyAlignment="1">
      <alignment horizontal="center" vertical="center" wrapText="1"/>
    </xf>
    <xf numFmtId="44" fontId="22" fillId="0" borderId="2" xfId="27" applyFont="1" applyBorder="1" applyAlignment="1">
      <alignment horizontal="center" vertical="center" wrapText="1"/>
    </xf>
    <xf numFmtId="0" fontId="0" fillId="0" borderId="2" xfId="0" applyBorder="1"/>
    <xf numFmtId="0" fontId="44" fillId="0" borderId="0" xfId="0" applyFont="1"/>
    <xf numFmtId="0" fontId="45" fillId="0" borderId="0" xfId="19" applyFont="1" applyAlignment="1">
      <alignment horizontal="left" vertical="center"/>
    </xf>
    <xf numFmtId="0" fontId="44" fillId="0" borderId="0" xfId="0" applyFont="1" applyAlignment="1">
      <alignment horizontal="center"/>
    </xf>
    <xf numFmtId="0" fontId="45" fillId="0" borderId="0" xfId="19" applyFont="1" applyAlignment="1">
      <alignment vertical="center"/>
    </xf>
    <xf numFmtId="0" fontId="44" fillId="11" borderId="0" xfId="0" applyFont="1" applyFill="1"/>
    <xf numFmtId="0" fontId="47" fillId="11" borderId="0" xfId="0" applyFont="1" applyFill="1" applyBorder="1" applyAlignment="1">
      <alignment vertical="center" wrapText="1"/>
    </xf>
    <xf numFmtId="0" fontId="47" fillId="11" borderId="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 wrapText="1"/>
    </xf>
    <xf numFmtId="0" fontId="44" fillId="0" borderId="0" xfId="0" applyFont="1" applyBorder="1" applyAlignment="1"/>
    <xf numFmtId="0" fontId="46" fillId="0" borderId="0" xfId="0" applyFont="1" applyBorder="1" applyAlignment="1"/>
    <xf numFmtId="0" fontId="47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0" fontId="48" fillId="11" borderId="2" xfId="0" applyFont="1" applyFill="1" applyBorder="1" applyAlignment="1">
      <alignment horizontal="center" vertical="center" wrapText="1"/>
    </xf>
    <xf numFmtId="44" fontId="48" fillId="0" borderId="2" xfId="27" applyFont="1" applyBorder="1" applyAlignment="1">
      <alignment horizontal="center" vertical="center" wrapText="1"/>
    </xf>
    <xf numFmtId="8" fontId="48" fillId="0" borderId="2" xfId="0" applyNumberFormat="1" applyFont="1" applyBorder="1" applyAlignment="1">
      <alignment horizontal="center" vertical="center" wrapText="1"/>
    </xf>
    <xf numFmtId="44" fontId="44" fillId="0" borderId="2" xfId="0" applyNumberFormat="1" applyFont="1" applyBorder="1" applyAlignment="1">
      <alignment horizontal="center"/>
    </xf>
    <xf numFmtId="44" fontId="44" fillId="0" borderId="2" xfId="0" applyNumberFormat="1" applyFont="1" applyBorder="1"/>
    <xf numFmtId="0" fontId="48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0" fontId="44" fillId="13" borderId="0" xfId="0" applyFont="1" applyFill="1"/>
    <xf numFmtId="0" fontId="47" fillId="4" borderId="2" xfId="0" applyFont="1" applyFill="1" applyBorder="1" applyAlignment="1">
      <alignment horizontal="center" vertical="center"/>
    </xf>
    <xf numFmtId="43" fontId="47" fillId="4" borderId="2" xfId="0" applyNumberFormat="1" applyFont="1" applyFill="1" applyBorder="1" applyAlignment="1">
      <alignment horizontal="center" vertical="center" wrapText="1"/>
    </xf>
    <xf numFmtId="8" fontId="47" fillId="4" borderId="2" xfId="0" applyNumberFormat="1" applyFont="1" applyFill="1" applyBorder="1" applyAlignment="1">
      <alignment horizontal="center" vertical="center" wrapText="1"/>
    </xf>
    <xf numFmtId="44" fontId="47" fillId="4" borderId="2" xfId="0" applyNumberFormat="1" applyFont="1" applyFill="1" applyBorder="1" applyAlignment="1">
      <alignment horizontal="center" vertical="center" wrapText="1"/>
    </xf>
    <xf numFmtId="44" fontId="44" fillId="0" borderId="0" xfId="0" applyNumberFormat="1" applyFont="1"/>
    <xf numFmtId="0" fontId="48" fillId="0" borderId="2" xfId="0" applyFont="1" applyBorder="1" applyAlignment="1">
      <alignment horizontal="left" vertical="center" wrapText="1"/>
    </xf>
    <xf numFmtId="0" fontId="44" fillId="0" borderId="2" xfId="0" applyFont="1" applyBorder="1"/>
    <xf numFmtId="0" fontId="44" fillId="14" borderId="2" xfId="0" applyFont="1" applyFill="1" applyBorder="1"/>
    <xf numFmtId="0" fontId="46" fillId="0" borderId="0" xfId="0" applyFont="1"/>
    <xf numFmtId="0" fontId="44" fillId="0" borderId="0" xfId="0" applyFont="1" applyBorder="1"/>
    <xf numFmtId="0" fontId="48" fillId="0" borderId="2" xfId="0" applyFont="1" applyFill="1" applyBorder="1" applyAlignment="1">
      <alignment horizontal="left" wrapText="1"/>
    </xf>
    <xf numFmtId="0" fontId="48" fillId="0" borderId="2" xfId="0" applyFont="1" applyFill="1" applyBorder="1" applyAlignment="1">
      <alignment horizontal="center" wrapText="1"/>
    </xf>
    <xf numFmtId="44" fontId="48" fillId="0" borderId="2" xfId="27" applyFont="1" applyFill="1" applyBorder="1" applyAlignment="1">
      <alignment horizontal="left" wrapText="1"/>
    </xf>
    <xf numFmtId="0" fontId="48" fillId="0" borderId="2" xfId="0" applyFont="1" applyFill="1" applyBorder="1" applyAlignment="1">
      <alignment horizontal="center" vertical="center"/>
    </xf>
    <xf numFmtId="8" fontId="48" fillId="0" borderId="0" xfId="0" applyNumberFormat="1" applyFont="1" applyFill="1" applyBorder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0" fontId="47" fillId="3" borderId="11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wrapText="1"/>
    </xf>
    <xf numFmtId="44" fontId="48" fillId="0" borderId="12" xfId="27" applyFont="1" applyFill="1" applyBorder="1" applyAlignment="1">
      <alignment horizontal="left" wrapText="1"/>
    </xf>
    <xf numFmtId="0" fontId="48" fillId="0" borderId="12" xfId="0" applyFont="1" applyFill="1" applyBorder="1" applyAlignment="1">
      <alignment horizontal="center" wrapText="1"/>
    </xf>
    <xf numFmtId="0" fontId="48" fillId="0" borderId="16" xfId="0" applyFont="1" applyBorder="1" applyAlignment="1">
      <alignment horizontal="center" vertical="center" wrapText="1"/>
    </xf>
    <xf numFmtId="44" fontId="48" fillId="0" borderId="12" xfId="27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center" vertical="center"/>
    </xf>
    <xf numFmtId="43" fontId="47" fillId="4" borderId="12" xfId="0" applyNumberFormat="1" applyFont="1" applyFill="1" applyBorder="1" applyAlignment="1">
      <alignment horizontal="center" vertical="center" wrapText="1"/>
    </xf>
    <xf numFmtId="44" fontId="47" fillId="4" borderId="12" xfId="0" applyNumberFormat="1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/>
    </xf>
    <xf numFmtId="9" fontId="44" fillId="0" borderId="0" xfId="26" applyFont="1"/>
    <xf numFmtId="0" fontId="47" fillId="4" borderId="4" xfId="0" applyFont="1" applyFill="1" applyBorder="1" applyAlignment="1">
      <alignment vertical="center"/>
    </xf>
    <xf numFmtId="0" fontId="47" fillId="4" borderId="5" xfId="0" applyFont="1" applyFill="1" applyBorder="1" applyAlignment="1">
      <alignment vertical="center"/>
    </xf>
    <xf numFmtId="44" fontId="48" fillId="0" borderId="2" xfId="27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/>
    </xf>
    <xf numFmtId="43" fontId="47" fillId="4" borderId="3" xfId="0" applyNumberFormat="1" applyFont="1" applyFill="1" applyBorder="1" applyAlignment="1">
      <alignment horizontal="center" vertical="center" wrapText="1"/>
    </xf>
    <xf numFmtId="44" fontId="47" fillId="4" borderId="3" xfId="0" applyNumberFormat="1" applyFont="1" applyFill="1" applyBorder="1" applyAlignment="1">
      <alignment horizontal="center" vertical="center" wrapText="1"/>
    </xf>
    <xf numFmtId="44" fontId="47" fillId="4" borderId="9" xfId="0" applyNumberFormat="1" applyFont="1" applyFill="1" applyBorder="1" applyAlignment="1">
      <alignment horizontal="center" vertical="center" wrapText="1"/>
    </xf>
    <xf numFmtId="7" fontId="47" fillId="4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43" fontId="44" fillId="0" borderId="0" xfId="0" applyNumberFormat="1" applyFont="1"/>
    <xf numFmtId="0" fontId="45" fillId="0" borderId="0" xfId="20" applyFont="1" applyAlignment="1"/>
    <xf numFmtId="0" fontId="48" fillId="11" borderId="2" xfId="0" applyFont="1" applyFill="1" applyBorder="1" applyAlignment="1">
      <alignment horizontal="left" vertical="center" wrapText="1"/>
    </xf>
    <xf numFmtId="0" fontId="44" fillId="11" borderId="2" xfId="0" applyFont="1" applyFill="1" applyBorder="1" applyAlignment="1">
      <alignment horizontal="center"/>
    </xf>
    <xf numFmtId="44" fontId="48" fillId="11" borderId="5" xfId="27" applyFont="1" applyFill="1" applyBorder="1" applyAlignment="1">
      <alignment horizontal="center" vertical="center" wrapText="1"/>
    </xf>
    <xf numFmtId="8" fontId="48" fillId="11" borderId="2" xfId="0" applyNumberFormat="1" applyFont="1" applyFill="1" applyBorder="1" applyAlignment="1">
      <alignment horizontal="center" vertical="center" wrapText="1"/>
    </xf>
    <xf numFmtId="44" fontId="44" fillId="11" borderId="2" xfId="0" applyNumberFormat="1" applyFont="1" applyFill="1" applyBorder="1"/>
    <xf numFmtId="44" fontId="48" fillId="11" borderId="2" xfId="27" applyFont="1" applyFill="1" applyBorder="1" applyAlignment="1">
      <alignment horizontal="center" vertical="center" wrapText="1"/>
    </xf>
    <xf numFmtId="44" fontId="44" fillId="0" borderId="0" xfId="0" applyNumberFormat="1" applyFont="1" applyBorder="1"/>
    <xf numFmtId="0" fontId="48" fillId="14" borderId="2" xfId="0" applyFont="1" applyFill="1" applyBorder="1" applyAlignment="1">
      <alignment horizontal="center" vertical="center" wrapText="1"/>
    </xf>
    <xf numFmtId="0" fontId="48" fillId="14" borderId="2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left" vertical="center" wrapText="1"/>
    </xf>
    <xf numFmtId="44" fontId="48" fillId="14" borderId="2" xfId="27" applyFont="1" applyFill="1" applyBorder="1" applyAlignment="1">
      <alignment horizontal="center" vertical="center" wrapText="1"/>
    </xf>
    <xf numFmtId="8" fontId="48" fillId="14" borderId="2" xfId="0" applyNumberFormat="1" applyFont="1" applyFill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center"/>
    </xf>
    <xf numFmtId="44" fontId="44" fillId="14" borderId="2" xfId="0" applyNumberFormat="1" applyFont="1" applyFill="1" applyBorder="1"/>
    <xf numFmtId="0" fontId="44" fillId="14" borderId="0" xfId="0" applyFont="1" applyFill="1"/>
    <xf numFmtId="0" fontId="48" fillId="0" borderId="2" xfId="0" applyFont="1" applyFill="1" applyBorder="1" applyAlignment="1">
      <alignment horizontal="center"/>
    </xf>
    <xf numFmtId="0" fontId="48" fillId="11" borderId="2" xfId="0" applyFont="1" applyFill="1" applyBorder="1" applyAlignment="1">
      <alignment horizontal="center" vertical="center"/>
    </xf>
    <xf numFmtId="0" fontId="48" fillId="11" borderId="2" xfId="0" applyFont="1" applyFill="1" applyBorder="1" applyAlignment="1">
      <alignment vertical="center" wrapText="1"/>
    </xf>
    <xf numFmtId="44" fontId="48" fillId="11" borderId="2" xfId="27" applyFont="1" applyFill="1" applyBorder="1" applyAlignment="1">
      <alignment horizontal="left" wrapText="1"/>
    </xf>
    <xf numFmtId="1" fontId="22" fillId="0" borderId="2" xfId="0" applyNumberFormat="1" applyFont="1" applyBorder="1" applyAlignment="1">
      <alignment horizontal="center" vertical="center" wrapText="1"/>
    </xf>
    <xf numFmtId="167" fontId="22" fillId="0" borderId="2" xfId="0" applyNumberFormat="1" applyFont="1" applyBorder="1" applyAlignment="1">
      <alignment horizontal="center" vertical="center" wrapText="1"/>
    </xf>
    <xf numFmtId="1" fontId="21" fillId="15" borderId="6" xfId="0" applyNumberFormat="1" applyFont="1" applyFill="1" applyBorder="1" applyAlignment="1">
      <alignment horizontal="center" vertical="center"/>
    </xf>
    <xf numFmtId="167" fontId="21" fillId="15" borderId="6" xfId="0" applyNumberFormat="1" applyFont="1" applyFill="1" applyBorder="1" applyAlignment="1">
      <alignment vertical="center"/>
    </xf>
    <xf numFmtId="44" fontId="21" fillId="16" borderId="2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7" fontId="0" fillId="0" borderId="0" xfId="0" applyNumberFormat="1"/>
    <xf numFmtId="8" fontId="0" fillId="0" borderId="2" xfId="0" applyNumberFormat="1" applyBorder="1"/>
    <xf numFmtId="44" fontId="21" fillId="17" borderId="2" xfId="0" applyNumberFormat="1" applyFont="1" applyFill="1" applyBorder="1" applyAlignment="1">
      <alignment horizontal="center" vertical="center" wrapText="1"/>
    </xf>
    <xf numFmtId="1" fontId="21" fillId="17" borderId="2" xfId="0" applyNumberFormat="1" applyFont="1" applyFill="1" applyBorder="1" applyAlignment="1">
      <alignment horizontal="center" vertical="center"/>
    </xf>
    <xf numFmtId="167" fontId="22" fillId="0" borderId="2" xfId="27" applyNumberFormat="1" applyFont="1" applyBorder="1" applyAlignment="1">
      <alignment horizontal="center" vertical="center" wrapText="1"/>
    </xf>
    <xf numFmtId="1" fontId="21" fillId="16" borderId="2" xfId="0" applyNumberFormat="1" applyFont="1" applyFill="1" applyBorder="1" applyAlignment="1">
      <alignment horizontal="center" vertical="center"/>
    </xf>
    <xf numFmtId="167" fontId="21" fillId="17" borderId="2" xfId="0" applyNumberFormat="1" applyFont="1" applyFill="1" applyBorder="1" applyAlignment="1">
      <alignment horizontal="center" vertical="center" wrapText="1"/>
    </xf>
    <xf numFmtId="1" fontId="22" fillId="17" borderId="2" xfId="0" applyNumberFormat="1" applyFont="1" applyFill="1" applyBorder="1" applyAlignment="1">
      <alignment horizontal="center" vertical="center" wrapText="1"/>
    </xf>
    <xf numFmtId="167" fontId="22" fillId="17" borderId="2" xfId="27" applyNumberFormat="1" applyFont="1" applyFill="1" applyBorder="1" applyAlignment="1">
      <alignment horizontal="center" vertical="center" wrapText="1"/>
    </xf>
    <xf numFmtId="44" fontId="22" fillId="17" borderId="2" xfId="27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44" fontId="22" fillId="16" borderId="2" xfId="27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167" fontId="22" fillId="2" borderId="2" xfId="27" applyNumberFormat="1" applyFont="1" applyFill="1" applyBorder="1" applyAlignment="1">
      <alignment horizontal="center" vertical="center" wrapText="1"/>
    </xf>
    <xf numFmtId="44" fontId="22" fillId="2" borderId="2" xfId="27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/>
    </xf>
    <xf numFmtId="167" fontId="21" fillId="2" borderId="2" xfId="0" applyNumberFormat="1" applyFont="1" applyFill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/>
    </xf>
    <xf numFmtId="44" fontId="44" fillId="0" borderId="0" xfId="0" applyNumberFormat="1" applyFont="1" applyBorder="1" applyAlignment="1"/>
    <xf numFmtId="0" fontId="7" fillId="0" borderId="2" xfId="20" applyFont="1" applyBorder="1" applyAlignment="1">
      <alignment horizontal="center"/>
    </xf>
    <xf numFmtId="0" fontId="10" fillId="0" borderId="2" xfId="20" applyBorder="1" applyAlignment="1">
      <alignment horizontal="center"/>
    </xf>
    <xf numFmtId="43" fontId="0" fillId="13" borderId="2" xfId="22" applyFont="1" applyFill="1" applyBorder="1"/>
    <xf numFmtId="166" fontId="0" fillId="13" borderId="2" xfId="22" applyNumberFormat="1" applyFont="1" applyFill="1" applyBorder="1"/>
    <xf numFmtId="43" fontId="2" fillId="13" borderId="0" xfId="20" applyNumberFormat="1" applyFont="1" applyFill="1"/>
    <xf numFmtId="43" fontId="2" fillId="13" borderId="0" xfId="22" applyFont="1" applyFill="1"/>
    <xf numFmtId="0" fontId="47" fillId="4" borderId="2" xfId="0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center" vertical="center" wrapText="1"/>
    </xf>
    <xf numFmtId="17" fontId="50" fillId="11" borderId="0" xfId="0" applyNumberFormat="1" applyFont="1" applyFill="1" applyBorder="1" applyAlignment="1">
      <alignment horizontal="center" vertical="center" wrapText="1"/>
    </xf>
    <xf numFmtId="0" fontId="51" fillId="11" borderId="0" xfId="0" applyFont="1" applyFill="1" applyBorder="1" applyAlignment="1">
      <alignment vertical="center" wrapText="1"/>
    </xf>
    <xf numFmtId="8" fontId="51" fillId="11" borderId="0" xfId="0" applyNumberFormat="1" applyFont="1" applyFill="1" applyBorder="1" applyAlignment="1">
      <alignment horizontal="center" vertical="center" wrapText="1"/>
    </xf>
    <xf numFmtId="167" fontId="22" fillId="11" borderId="2" xfId="27" applyNumberFormat="1" applyFont="1" applyFill="1" applyBorder="1" applyAlignment="1">
      <alignment horizontal="center" vertical="center" wrapText="1"/>
    </xf>
    <xf numFmtId="44" fontId="22" fillId="11" borderId="2" xfId="27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vertical="center" wrapText="1"/>
    </xf>
    <xf numFmtId="8" fontId="22" fillId="11" borderId="2" xfId="0" applyNumberFormat="1" applyFont="1" applyFill="1" applyBorder="1" applyAlignment="1">
      <alignment horizontal="center" vertical="center" wrapText="1"/>
    </xf>
    <xf numFmtId="0" fontId="44" fillId="11" borderId="5" xfId="0" applyFont="1" applyFill="1" applyBorder="1" applyAlignment="1">
      <alignment horizontal="center"/>
    </xf>
    <xf numFmtId="8" fontId="47" fillId="4" borderId="2" xfId="0" applyNumberFormat="1" applyFont="1" applyFill="1" applyBorder="1" applyAlignment="1">
      <alignment horizontal="center" vertical="center"/>
    </xf>
    <xf numFmtId="44" fontId="47" fillId="4" borderId="2" xfId="0" applyNumberFormat="1" applyFont="1" applyFill="1" applyBorder="1" applyAlignment="1">
      <alignment horizontal="center" vertical="center"/>
    </xf>
    <xf numFmtId="0" fontId="10" fillId="13" borderId="4" xfId="20" applyFill="1" applyBorder="1" applyAlignment="1"/>
    <xf numFmtId="0" fontId="10" fillId="11" borderId="5" xfId="20" applyFill="1" applyBorder="1" applyAlignment="1"/>
    <xf numFmtId="0" fontId="2" fillId="0" borderId="2" xfId="20" applyFont="1" applyBorder="1" applyAlignment="1">
      <alignment horizontal="center"/>
    </xf>
    <xf numFmtId="0" fontId="20" fillId="17" borderId="2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1" fontId="22" fillId="11" borderId="2" xfId="0" applyNumberFormat="1" applyFont="1" applyFill="1" applyBorder="1" applyAlignment="1">
      <alignment horizontal="center" vertical="center" wrapText="1"/>
    </xf>
    <xf numFmtId="8" fontId="47" fillId="4" borderId="3" xfId="0" applyNumberFormat="1" applyFont="1" applyFill="1" applyBorder="1" applyAlignment="1">
      <alignment horizontal="center" vertical="center" wrapText="1"/>
    </xf>
    <xf numFmtId="8" fontId="44" fillId="0" borderId="0" xfId="0" applyNumberFormat="1" applyFont="1"/>
    <xf numFmtId="0" fontId="22" fillId="11" borderId="2" xfId="0" applyFont="1" applyFill="1" applyBorder="1" applyAlignment="1">
      <alignment horizontal="center" vertical="center" wrapText="1"/>
    </xf>
    <xf numFmtId="1" fontId="22" fillId="16" borderId="2" xfId="0" applyNumberFormat="1" applyFont="1" applyFill="1" applyBorder="1" applyAlignment="1">
      <alignment horizontal="center" vertical="center" wrapText="1"/>
    </xf>
    <xf numFmtId="167" fontId="22" fillId="11" borderId="2" xfId="0" applyNumberFormat="1" applyFont="1" applyFill="1" applyBorder="1" applyAlignment="1">
      <alignment horizontal="center" vertical="center" wrapText="1"/>
    </xf>
    <xf numFmtId="167" fontId="22" fillId="16" borderId="2" xfId="0" applyNumberFormat="1" applyFont="1" applyFill="1" applyBorder="1" applyAlignment="1">
      <alignment horizontal="center" vertical="center" wrapText="1"/>
    </xf>
    <xf numFmtId="167" fontId="21" fillId="16" borderId="2" xfId="0" applyNumberFormat="1" applyFont="1" applyFill="1" applyBorder="1" applyAlignment="1">
      <alignment horizontal="center" vertical="center" wrapText="1"/>
    </xf>
    <xf numFmtId="0" fontId="0" fillId="16" borderId="0" xfId="0" applyFill="1"/>
    <xf numFmtId="1" fontId="22" fillId="18" borderId="2" xfId="0" applyNumberFormat="1" applyFont="1" applyFill="1" applyBorder="1" applyAlignment="1">
      <alignment horizontal="center" vertical="center" wrapText="1"/>
    </xf>
    <xf numFmtId="167" fontId="22" fillId="18" borderId="2" xfId="0" applyNumberFormat="1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8" fontId="0" fillId="0" borderId="0" xfId="0" applyNumberFormat="1" applyBorder="1"/>
    <xf numFmtId="1" fontId="22" fillId="19" borderId="2" xfId="0" applyNumberFormat="1" applyFont="1" applyFill="1" applyBorder="1" applyAlignment="1">
      <alignment horizontal="center" vertical="center" wrapText="1"/>
    </xf>
    <xf numFmtId="167" fontId="22" fillId="19" borderId="2" xfId="0" applyNumberFormat="1" applyFont="1" applyFill="1" applyBorder="1" applyAlignment="1">
      <alignment horizontal="center" vertical="center" wrapText="1"/>
    </xf>
    <xf numFmtId="0" fontId="49" fillId="11" borderId="31" xfId="0" applyFont="1" applyFill="1" applyBorder="1" applyAlignment="1">
      <alignment horizontal="center"/>
    </xf>
    <xf numFmtId="44" fontId="49" fillId="11" borderId="31" xfId="0" applyNumberFormat="1" applyFont="1" applyFill="1" applyBorder="1"/>
    <xf numFmtId="0" fontId="49" fillId="11" borderId="31" xfId="0" applyFont="1" applyFill="1" applyBorder="1"/>
    <xf numFmtId="0" fontId="49" fillId="11" borderId="0" xfId="0" applyFont="1" applyFill="1"/>
    <xf numFmtId="0" fontId="49" fillId="11" borderId="2" xfId="0" applyFont="1" applyFill="1" applyBorder="1" applyAlignment="1">
      <alignment horizontal="center"/>
    </xf>
    <xf numFmtId="44" fontId="49" fillId="11" borderId="2" xfId="0" applyNumberFormat="1" applyFont="1" applyFill="1" applyBorder="1"/>
    <xf numFmtId="0" fontId="49" fillId="11" borderId="2" xfId="0" applyFont="1" applyFill="1" applyBorder="1"/>
    <xf numFmtId="0" fontId="20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44" fontId="48" fillId="2" borderId="2" xfId="27" applyFont="1" applyFill="1" applyBorder="1" applyAlignment="1">
      <alignment horizontal="center" vertical="center" wrapText="1"/>
    </xf>
    <xf numFmtId="8" fontId="48" fillId="2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wrapText="1"/>
    </xf>
    <xf numFmtId="0" fontId="48" fillId="11" borderId="2" xfId="0" applyFont="1" applyFill="1" applyBorder="1" applyAlignment="1">
      <alignment horizontal="center" wrapText="1"/>
    </xf>
    <xf numFmtId="44" fontId="44" fillId="11" borderId="2" xfId="0" applyNumberFormat="1" applyFont="1" applyFill="1" applyBorder="1" applyAlignment="1">
      <alignment horizontal="center"/>
    </xf>
    <xf numFmtId="0" fontId="44" fillId="11" borderId="2" xfId="0" applyFont="1" applyFill="1" applyBorder="1"/>
    <xf numFmtId="0" fontId="48" fillId="2" borderId="2" xfId="0" applyFont="1" applyFill="1" applyBorder="1" applyAlignment="1">
      <alignment horizontal="center" wrapText="1"/>
    </xf>
    <xf numFmtId="44" fontId="48" fillId="2" borderId="2" xfId="27" applyFont="1" applyFill="1" applyBorder="1" applyAlignment="1">
      <alignment horizontal="left" wrapText="1"/>
    </xf>
    <xf numFmtId="44" fontId="48" fillId="2" borderId="2" xfId="27" applyNumberFormat="1" applyFont="1" applyFill="1" applyBorder="1" applyAlignment="1">
      <alignment horizontal="left" wrapText="1"/>
    </xf>
    <xf numFmtId="0" fontId="44" fillId="14" borderId="32" xfId="0" applyFont="1" applyFill="1" applyBorder="1" applyAlignment="1"/>
    <xf numFmtId="0" fontId="49" fillId="11" borderId="31" xfId="0" applyFont="1" applyFill="1" applyBorder="1" applyAlignment="1">
      <alignment horizontal="center" vertical="center"/>
    </xf>
    <xf numFmtId="0" fontId="49" fillId="11" borderId="31" xfId="0" applyFont="1" applyFill="1" applyBorder="1" applyAlignment="1">
      <alignment horizontal="left" vertical="center" wrapText="1"/>
    </xf>
    <xf numFmtId="0" fontId="49" fillId="11" borderId="31" xfId="0" applyFont="1" applyFill="1" applyBorder="1" applyAlignment="1">
      <alignment horizontal="center" vertical="center" wrapText="1"/>
    </xf>
    <xf numFmtId="44" fontId="49" fillId="11" borderId="31" xfId="27" applyFont="1" applyFill="1" applyBorder="1" applyAlignment="1">
      <alignment horizontal="center" vertical="center" wrapText="1"/>
    </xf>
    <xf numFmtId="8" fontId="49" fillId="11" borderId="31" xfId="0" applyNumberFormat="1" applyFont="1" applyFill="1" applyBorder="1" applyAlignment="1">
      <alignment horizontal="center" vertical="center" wrapText="1"/>
    </xf>
    <xf numFmtId="0" fontId="49" fillId="11" borderId="2" xfId="0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vertical="center" wrapText="1"/>
    </xf>
    <xf numFmtId="0" fontId="49" fillId="11" borderId="2" xfId="0" applyFont="1" applyFill="1" applyBorder="1" applyAlignment="1">
      <alignment horizontal="center" vertical="center" wrapText="1"/>
    </xf>
    <xf numFmtId="44" fontId="49" fillId="11" borderId="2" xfId="27" applyFont="1" applyFill="1" applyBorder="1" applyAlignment="1">
      <alignment horizontal="center" vertical="center" wrapText="1"/>
    </xf>
    <xf numFmtId="8" fontId="49" fillId="11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2" fillId="0" borderId="2" xfId="20" applyFont="1" applyBorder="1" applyAlignment="1">
      <alignment horizontal="center"/>
    </xf>
    <xf numFmtId="0" fontId="28" fillId="14" borderId="0" xfId="0" applyFont="1" applyFill="1"/>
    <xf numFmtId="0" fontId="28" fillId="0" borderId="0" xfId="0" applyFont="1"/>
    <xf numFmtId="0" fontId="0" fillId="14" borderId="0" xfId="0" applyFill="1"/>
    <xf numFmtId="167" fontId="0" fillId="11" borderId="0" xfId="0" applyNumberFormat="1" applyFill="1"/>
    <xf numFmtId="0" fontId="54" fillId="0" borderId="0" xfId="0" applyFont="1" applyAlignment="1">
      <alignment horizontal="justify" vertical="center"/>
    </xf>
    <xf numFmtId="0" fontId="56" fillId="0" borderId="0" xfId="31"/>
    <xf numFmtId="0" fontId="2" fillId="13" borderId="0" xfId="20" applyFont="1" applyFill="1"/>
    <xf numFmtId="44" fontId="1" fillId="13" borderId="13" xfId="27" applyFont="1" applyFill="1" applyBorder="1" applyAlignment="1">
      <alignment vertical="center" wrapText="1"/>
    </xf>
    <xf numFmtId="0" fontId="28" fillId="11" borderId="0" xfId="0" applyFont="1" applyFill="1"/>
    <xf numFmtId="0" fontId="28" fillId="11" borderId="0" xfId="0" applyFont="1" applyFill="1" applyAlignment="1">
      <alignment horizontal="center"/>
    </xf>
    <xf numFmtId="0" fontId="0" fillId="11" borderId="0" xfId="0" applyFill="1"/>
    <xf numFmtId="167" fontId="0" fillId="11" borderId="0" xfId="0" applyNumberFormat="1" applyFill="1" applyAlignment="1">
      <alignment horizontal="center"/>
    </xf>
    <xf numFmtId="9" fontId="0" fillId="0" borderId="0" xfId="0" applyNumberFormat="1"/>
    <xf numFmtId="0" fontId="44" fillId="0" borderId="0" xfId="0" applyFont="1" applyAlignment="1">
      <alignment horizontal="right"/>
    </xf>
    <xf numFmtId="0" fontId="47" fillId="3" borderId="2" xfId="0" applyFont="1" applyFill="1" applyBorder="1" applyAlignment="1">
      <alignment horizontal="right" vertical="center" wrapText="1"/>
    </xf>
    <xf numFmtId="44" fontId="48" fillId="0" borderId="2" xfId="27" applyFont="1" applyBorder="1" applyAlignment="1">
      <alignment horizontal="right" vertical="center" wrapText="1"/>
    </xf>
    <xf numFmtId="44" fontId="48" fillId="2" borderId="2" xfId="27" applyFont="1" applyFill="1" applyBorder="1" applyAlignment="1">
      <alignment horizontal="right" vertical="center" wrapText="1"/>
    </xf>
    <xf numFmtId="43" fontId="47" fillId="4" borderId="2" xfId="0" applyNumberFormat="1" applyFont="1" applyFill="1" applyBorder="1" applyAlignment="1">
      <alignment horizontal="right" vertical="center" wrapText="1"/>
    </xf>
    <xf numFmtId="0" fontId="44" fillId="0" borderId="0" xfId="0" applyFont="1" applyBorder="1" applyAlignment="1">
      <alignment horizontal="right"/>
    </xf>
    <xf numFmtId="44" fontId="48" fillId="11" borderId="5" xfId="27" applyFont="1" applyFill="1" applyBorder="1" applyAlignment="1">
      <alignment horizontal="right" vertical="center" wrapText="1"/>
    </xf>
    <xf numFmtId="44" fontId="48" fillId="11" borderId="2" xfId="27" applyFont="1" applyFill="1" applyBorder="1" applyAlignment="1">
      <alignment horizontal="right" vertical="center" wrapText="1"/>
    </xf>
    <xf numFmtId="44" fontId="44" fillId="0" borderId="0" xfId="0" applyNumberFormat="1" applyFont="1" applyBorder="1" applyAlignment="1">
      <alignment horizontal="right"/>
    </xf>
    <xf numFmtId="44" fontId="49" fillId="11" borderId="31" xfId="27" applyFont="1" applyFill="1" applyBorder="1" applyAlignment="1">
      <alignment horizontal="right" vertical="center" wrapText="1"/>
    </xf>
    <xf numFmtId="44" fontId="49" fillId="11" borderId="2" xfId="27" applyFont="1" applyFill="1" applyBorder="1" applyAlignment="1">
      <alignment horizontal="right" vertical="center" wrapText="1"/>
    </xf>
    <xf numFmtId="44" fontId="48" fillId="0" borderId="2" xfId="27" applyFont="1" applyFill="1" applyBorder="1" applyAlignment="1">
      <alignment horizontal="right" wrapText="1"/>
    </xf>
    <xf numFmtId="44" fontId="48" fillId="2" borderId="2" xfId="27" applyFont="1" applyFill="1" applyBorder="1" applyAlignment="1">
      <alignment horizontal="right" wrapText="1"/>
    </xf>
    <xf numFmtId="44" fontId="48" fillId="0" borderId="2" xfId="27" applyFont="1" applyFill="1" applyBorder="1" applyAlignment="1">
      <alignment horizontal="right" vertical="center" wrapText="1"/>
    </xf>
    <xf numFmtId="43" fontId="47" fillId="4" borderId="3" xfId="0" applyNumberFormat="1" applyFont="1" applyFill="1" applyBorder="1" applyAlignment="1">
      <alignment horizontal="right" vertical="center" wrapText="1"/>
    </xf>
    <xf numFmtId="44" fontId="48" fillId="11" borderId="2" xfId="27" applyFont="1" applyFill="1" applyBorder="1" applyAlignment="1">
      <alignment horizontal="right" wrapText="1"/>
    </xf>
    <xf numFmtId="0" fontId="44" fillId="14" borderId="32" xfId="0" applyFont="1" applyFill="1" applyBorder="1" applyAlignment="1">
      <alignment horizontal="center"/>
    </xf>
    <xf numFmtId="8" fontId="48" fillId="13" borderId="2" xfId="0" applyNumberFormat="1" applyFont="1" applyFill="1" applyBorder="1" applyAlignment="1">
      <alignment horizontal="center" vertical="center" wrapText="1"/>
    </xf>
    <xf numFmtId="44" fontId="48" fillId="13" borderId="2" xfId="27" applyFont="1" applyFill="1" applyBorder="1" applyAlignment="1">
      <alignment horizontal="left" wrapText="1"/>
    </xf>
    <xf numFmtId="44" fontId="48" fillId="13" borderId="2" xfId="27" applyFont="1" applyFill="1" applyBorder="1" applyAlignment="1">
      <alignment horizontal="right" vertical="center" wrapText="1"/>
    </xf>
    <xf numFmtId="167" fontId="28" fillId="11" borderId="0" xfId="0" applyNumberFormat="1" applyFont="1" applyFill="1" applyAlignment="1">
      <alignment horizontal="left"/>
    </xf>
    <xf numFmtId="167" fontId="0" fillId="11" borderId="0" xfId="0" applyNumberFormat="1" applyFill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44" fontId="48" fillId="13" borderId="2" xfId="27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169" fontId="21" fillId="15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8" fillId="13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57" fillId="0" borderId="0" xfId="0" applyFont="1"/>
    <xf numFmtId="0" fontId="26" fillId="0" borderId="2" xfId="0" applyFont="1" applyBorder="1" applyAlignment="1">
      <alignment horizontal="justify" vertical="center"/>
    </xf>
    <xf numFmtId="0" fontId="57" fillId="0" borderId="2" xfId="0" applyFont="1" applyBorder="1"/>
    <xf numFmtId="0" fontId="54" fillId="0" borderId="2" xfId="0" applyFont="1" applyBorder="1" applyAlignment="1">
      <alignment horizontal="justify" vertical="center"/>
    </xf>
    <xf numFmtId="0" fontId="26" fillId="22" borderId="2" xfId="0" applyFont="1" applyFill="1" applyBorder="1" applyAlignment="1">
      <alignment horizontal="justify" vertical="center"/>
    </xf>
    <xf numFmtId="0" fontId="54" fillId="22" borderId="2" xfId="0" applyFont="1" applyFill="1" applyBorder="1" applyAlignment="1">
      <alignment horizontal="justify" vertical="center"/>
    </xf>
    <xf numFmtId="0" fontId="26" fillId="11" borderId="2" xfId="0" applyFont="1" applyFill="1" applyBorder="1" applyAlignment="1">
      <alignment horizontal="justify" vertical="center"/>
    </xf>
    <xf numFmtId="0" fontId="54" fillId="23" borderId="2" xfId="0" applyFont="1" applyFill="1" applyBorder="1" applyAlignment="1">
      <alignment horizontal="justify" vertical="center"/>
    </xf>
    <xf numFmtId="0" fontId="26" fillId="23" borderId="2" xfId="0" applyFont="1" applyFill="1" applyBorder="1" applyAlignment="1">
      <alignment horizontal="justify" vertical="center"/>
    </xf>
    <xf numFmtId="0" fontId="20" fillId="2" borderId="3" xfId="0" applyFont="1" applyFill="1" applyBorder="1" applyAlignment="1">
      <alignment horizontal="center" vertical="center" wrapText="1"/>
    </xf>
    <xf numFmtId="167" fontId="22" fillId="11" borderId="4" xfId="27" applyNumberFormat="1" applyFont="1" applyFill="1" applyBorder="1" applyAlignment="1">
      <alignment horizontal="center" vertical="center" wrapText="1"/>
    </xf>
    <xf numFmtId="167" fontId="21" fillId="2" borderId="4" xfId="0" applyNumberFormat="1" applyFont="1" applyFill="1" applyBorder="1" applyAlignment="1">
      <alignment horizontal="center" vertical="center" wrapText="1"/>
    </xf>
    <xf numFmtId="1" fontId="22" fillId="11" borderId="35" xfId="0" applyNumberFormat="1" applyFont="1" applyFill="1" applyBorder="1" applyAlignment="1">
      <alignment horizontal="center" vertical="center" wrapText="1"/>
    </xf>
    <xf numFmtId="167" fontId="22" fillId="11" borderId="36" xfId="27" applyNumberFormat="1" applyFont="1" applyFill="1" applyBorder="1" applyAlignment="1">
      <alignment horizontal="center" vertical="center" wrapText="1"/>
    </xf>
    <xf numFmtId="1" fontId="22" fillId="23" borderId="35" xfId="0" applyNumberFormat="1" applyFont="1" applyFill="1" applyBorder="1" applyAlignment="1">
      <alignment horizontal="center" vertical="center" wrapText="1"/>
    </xf>
    <xf numFmtId="1" fontId="21" fillId="2" borderId="37" xfId="0" applyNumberFormat="1" applyFont="1" applyFill="1" applyBorder="1" applyAlignment="1">
      <alignment horizontal="center" vertical="center"/>
    </xf>
    <xf numFmtId="1" fontId="21" fillId="2" borderId="38" xfId="0" applyNumberFormat="1" applyFont="1" applyFill="1" applyBorder="1" applyAlignment="1">
      <alignment horizontal="center" vertical="center"/>
    </xf>
    <xf numFmtId="167" fontId="21" fillId="2" borderId="38" xfId="27" applyNumberFormat="1" applyFont="1" applyFill="1" applyBorder="1" applyAlignment="1">
      <alignment horizontal="center" vertical="center" wrapText="1"/>
    </xf>
    <xf numFmtId="167" fontId="21" fillId="2" borderId="39" xfId="0" applyNumberFormat="1" applyFont="1" applyFill="1" applyBorder="1" applyAlignment="1">
      <alignment horizontal="center" vertical="center" wrapText="1"/>
    </xf>
    <xf numFmtId="1" fontId="22" fillId="24" borderId="2" xfId="0" applyNumberFormat="1" applyFont="1" applyFill="1" applyBorder="1" applyAlignment="1">
      <alignment horizontal="center" vertical="center" wrapText="1"/>
    </xf>
    <xf numFmtId="169" fontId="22" fillId="24" borderId="2" xfId="0" applyNumberFormat="1" applyFont="1" applyFill="1" applyBorder="1" applyAlignment="1">
      <alignment horizontal="center" vertical="center" wrapText="1"/>
    </xf>
    <xf numFmtId="167" fontId="22" fillId="24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8" fillId="13" borderId="2" xfId="0" applyFont="1" applyFill="1" applyBorder="1" applyAlignment="1">
      <alignment horizontal="center" vertical="center" wrapText="1"/>
    </xf>
    <xf numFmtId="0" fontId="49" fillId="13" borderId="2" xfId="0" applyFont="1" applyFill="1" applyBorder="1" applyAlignment="1">
      <alignment horizontal="center" vertical="center" wrapText="1"/>
    </xf>
    <xf numFmtId="44" fontId="49" fillId="13" borderId="2" xfId="27" applyFont="1" applyFill="1" applyBorder="1" applyAlignment="1">
      <alignment horizontal="right" vertical="center" wrapText="1"/>
    </xf>
    <xf numFmtId="8" fontId="49" fillId="13" borderId="31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8" fillId="14" borderId="0" xfId="0" applyFont="1" applyFill="1" applyBorder="1" applyAlignment="1">
      <alignment horizontal="center" vertical="center" wrapText="1"/>
    </xf>
    <xf numFmtId="44" fontId="48" fillId="0" borderId="32" xfId="27" applyFont="1" applyBorder="1" applyAlignment="1">
      <alignment horizontal="center" vertical="center" wrapText="1"/>
    </xf>
    <xf numFmtId="8" fontId="48" fillId="0" borderId="32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8" fillId="11" borderId="0" xfId="0" applyFont="1" applyFill="1" applyBorder="1" applyAlignment="1">
      <alignment horizontal="center" vertical="center" wrapText="1"/>
    </xf>
    <xf numFmtId="44" fontId="48" fillId="0" borderId="0" xfId="27" applyFont="1" applyBorder="1" applyAlignment="1">
      <alignment horizontal="center" vertical="center" wrapText="1"/>
    </xf>
    <xf numFmtId="8" fontId="48" fillId="0" borderId="0" xfId="0" applyNumberFormat="1" applyFont="1" applyBorder="1" applyAlignment="1">
      <alignment horizontal="center" vertical="center" wrapText="1"/>
    </xf>
    <xf numFmtId="44" fontId="48" fillId="0" borderId="0" xfId="27" applyFont="1" applyBorder="1" applyAlignment="1">
      <alignment horizontal="right" vertical="center" wrapText="1"/>
    </xf>
    <xf numFmtId="44" fontId="48" fillId="0" borderId="32" xfId="27" applyFont="1" applyBorder="1" applyAlignment="1">
      <alignment horizontal="right" vertical="center" wrapText="1"/>
    </xf>
    <xf numFmtId="0" fontId="47" fillId="4" borderId="0" xfId="0" applyFont="1" applyFill="1" applyBorder="1" applyAlignment="1">
      <alignment horizontal="center" vertical="center"/>
    </xf>
    <xf numFmtId="43" fontId="47" fillId="4" borderId="32" xfId="0" applyNumberFormat="1" applyFont="1" applyFill="1" applyBorder="1" applyAlignment="1">
      <alignment horizontal="center" vertical="center" wrapText="1"/>
    </xf>
    <xf numFmtId="8" fontId="47" fillId="4" borderId="32" xfId="0" applyNumberFormat="1" applyFont="1" applyFill="1" applyBorder="1" applyAlignment="1">
      <alignment horizontal="center" vertical="center" wrapText="1"/>
    </xf>
    <xf numFmtId="44" fontId="47" fillId="4" borderId="0" xfId="0" applyNumberFormat="1" applyFont="1" applyFill="1" applyBorder="1" applyAlignment="1">
      <alignment horizontal="center" vertical="center" wrapText="1"/>
    </xf>
    <xf numFmtId="43" fontId="47" fillId="4" borderId="0" xfId="0" applyNumberFormat="1" applyFont="1" applyFill="1" applyBorder="1" applyAlignment="1">
      <alignment horizontal="center" vertical="center" wrapText="1"/>
    </xf>
    <xf numFmtId="8" fontId="47" fillId="4" borderId="0" xfId="0" applyNumberFormat="1" applyFont="1" applyFill="1" applyBorder="1" applyAlignment="1">
      <alignment horizontal="center" vertical="center" wrapText="1"/>
    </xf>
    <xf numFmtId="43" fontId="47" fillId="4" borderId="0" xfId="0" applyNumberFormat="1" applyFont="1" applyFill="1" applyBorder="1" applyAlignment="1">
      <alignment horizontal="right" vertical="center" wrapText="1"/>
    </xf>
    <xf numFmtId="43" fontId="47" fillId="4" borderId="32" xfId="0" applyNumberFormat="1" applyFont="1" applyFill="1" applyBorder="1" applyAlignment="1">
      <alignment horizontal="right" vertical="center" wrapText="1"/>
    </xf>
    <xf numFmtId="44" fontId="47" fillId="4" borderId="32" xfId="0" applyNumberFormat="1" applyFont="1" applyFill="1" applyBorder="1" applyAlignment="1">
      <alignment horizontal="center" vertical="center" wrapText="1"/>
    </xf>
    <xf numFmtId="0" fontId="28" fillId="11" borderId="0" xfId="0" applyFont="1" applyFill="1" applyAlignment="1">
      <alignment wrapText="1"/>
    </xf>
    <xf numFmtId="43" fontId="58" fillId="0" borderId="2" xfId="22" applyFont="1" applyBorder="1"/>
    <xf numFmtId="167" fontId="28" fillId="0" borderId="0" xfId="0" applyNumberFormat="1" applyFont="1"/>
    <xf numFmtId="0" fontId="28" fillId="0" borderId="0" xfId="0" applyFont="1" applyFill="1"/>
    <xf numFmtId="0" fontId="0" fillId="0" borderId="0" xfId="0" applyFill="1"/>
    <xf numFmtId="167" fontId="28" fillId="0" borderId="0" xfId="0" applyNumberFormat="1" applyFont="1" applyFill="1"/>
    <xf numFmtId="0" fontId="10" fillId="0" borderId="2" xfId="20" applyFill="1" applyBorder="1"/>
    <xf numFmtId="0" fontId="2" fillId="0" borderId="0" xfId="20" applyFont="1" applyFill="1"/>
    <xf numFmtId="0" fontId="10" fillId="0" borderId="7" xfId="20" applyFont="1" applyFill="1" applyBorder="1" applyAlignment="1"/>
    <xf numFmtId="0" fontId="8" fillId="0" borderId="7" xfId="20" applyFont="1" applyFill="1" applyBorder="1" applyAlignment="1"/>
    <xf numFmtId="0" fontId="7" fillId="0" borderId="2" xfId="20" applyFont="1" applyFill="1" applyBorder="1" applyAlignment="1">
      <alignment horizontal="center"/>
    </xf>
    <xf numFmtId="0" fontId="7" fillId="0" borderId="2" xfId="20" applyFont="1" applyFill="1" applyBorder="1" applyAlignment="1"/>
    <xf numFmtId="10" fontId="7" fillId="0" borderId="2" xfId="21" applyNumberFormat="1" applyFont="1" applyFill="1" applyBorder="1" applyAlignment="1">
      <alignment horizontal="center"/>
    </xf>
    <xf numFmtId="43" fontId="7" fillId="0" borderId="2" xfId="22" applyFont="1" applyFill="1" applyBorder="1" applyAlignment="1">
      <alignment horizontal="center"/>
    </xf>
    <xf numFmtId="166" fontId="0" fillId="0" borderId="2" xfId="22" applyNumberFormat="1" applyFont="1" applyFill="1" applyBorder="1"/>
    <xf numFmtId="43" fontId="0" fillId="0" borderId="2" xfId="22" applyFont="1" applyFill="1" applyBorder="1"/>
    <xf numFmtId="43" fontId="2" fillId="0" borderId="0" xfId="22" applyFont="1" applyFill="1"/>
    <xf numFmtId="9" fontId="0" fillId="0" borderId="2" xfId="21" applyFont="1" applyFill="1" applyBorder="1"/>
    <xf numFmtId="43" fontId="6" fillId="0" borderId="0" xfId="22" applyFont="1" applyFill="1"/>
    <xf numFmtId="43" fontId="0" fillId="0" borderId="2" xfId="22" applyNumberFormat="1" applyFont="1" applyFill="1" applyBorder="1"/>
    <xf numFmtId="0" fontId="2" fillId="0" borderId="2" xfId="20" applyFont="1" applyFill="1" applyBorder="1" applyAlignment="1">
      <alignment horizontal="center"/>
    </xf>
    <xf numFmtId="0" fontId="2" fillId="0" borderId="2" xfId="20" applyFont="1" applyFill="1" applyBorder="1"/>
    <xf numFmtId="43" fontId="7" fillId="0" borderId="2" xfId="22" applyFont="1" applyFill="1" applyBorder="1"/>
    <xf numFmtId="0" fontId="10" fillId="0" borderId="0" xfId="20" applyFill="1"/>
    <xf numFmtId="10" fontId="0" fillId="0" borderId="0" xfId="21" applyNumberFormat="1" applyFont="1" applyFill="1"/>
    <xf numFmtId="43" fontId="0" fillId="0" borderId="0" xfId="22" applyFont="1" applyFill="1"/>
    <xf numFmtId="0" fontId="7" fillId="0" borderId="2" xfId="20" applyFont="1" applyFill="1" applyBorder="1"/>
    <xf numFmtId="0" fontId="10" fillId="0" borderId="2" xfId="20" applyNumberFormat="1" applyFill="1" applyBorder="1"/>
    <xf numFmtId="43" fontId="9" fillId="0" borderId="0" xfId="22" applyFont="1" applyFill="1"/>
    <xf numFmtId="0" fontId="2" fillId="0" borderId="2" xfId="20" applyNumberFormat="1" applyFont="1" applyFill="1" applyBorder="1"/>
    <xf numFmtId="43" fontId="2" fillId="0" borderId="0" xfId="20" applyNumberFormat="1" applyFont="1" applyFill="1"/>
    <xf numFmtId="10" fontId="0" fillId="0" borderId="2" xfId="21" applyNumberFormat="1" applyFont="1" applyFill="1" applyBorder="1"/>
    <xf numFmtId="0" fontId="10" fillId="0" borderId="0" xfId="20" applyFill="1" applyAlignment="1">
      <alignment horizontal="center"/>
    </xf>
    <xf numFmtId="43" fontId="2" fillId="0" borderId="2" xfId="22" applyFont="1" applyFill="1" applyBorder="1"/>
    <xf numFmtId="0" fontId="14" fillId="0" borderId="0" xfId="20" applyFont="1" applyFill="1"/>
    <xf numFmtId="43" fontId="15" fillId="0" borderId="0" xfId="22" applyFont="1" applyFill="1"/>
    <xf numFmtId="43" fontId="14" fillId="0" borderId="0" xfId="22" applyFont="1" applyFill="1"/>
    <xf numFmtId="43" fontId="16" fillId="0" borderId="0" xfId="22" applyFont="1" applyFill="1"/>
    <xf numFmtId="10" fontId="0" fillId="0" borderId="0" xfId="21" applyNumberFormat="1" applyFont="1" applyFill="1" applyAlignment="1">
      <alignment horizontal="right"/>
    </xf>
    <xf numFmtId="43" fontId="0" fillId="0" borderId="0" xfId="22" applyFont="1" applyFill="1" applyAlignment="1">
      <alignment horizontal="center"/>
    </xf>
    <xf numFmtId="0" fontId="10" fillId="0" borderId="0" xfId="20" applyFill="1" applyAlignment="1">
      <alignment horizontal="left"/>
    </xf>
    <xf numFmtId="8" fontId="0" fillId="0" borderId="2" xfId="21" applyNumberFormat="1" applyFont="1" applyFill="1" applyBorder="1"/>
    <xf numFmtId="43" fontId="0" fillId="0" borderId="2" xfId="21" applyNumberFormat="1" applyFont="1" applyFill="1" applyBorder="1"/>
    <xf numFmtId="10" fontId="7" fillId="0" borderId="2" xfId="21" applyNumberFormat="1" applyFont="1" applyFill="1" applyBorder="1"/>
    <xf numFmtId="10" fontId="2" fillId="0" borderId="0" xfId="20" applyNumberFormat="1" applyFont="1" applyFill="1"/>
    <xf numFmtId="0" fontId="10" fillId="0" borderId="4" xfId="20" applyFill="1" applyBorder="1" applyAlignment="1"/>
    <xf numFmtId="10" fontId="10" fillId="0" borderId="2" xfId="20" applyNumberFormat="1" applyFill="1" applyBorder="1" applyAlignment="1"/>
    <xf numFmtId="0" fontId="10" fillId="0" borderId="2" xfId="20" applyFill="1" applyBorder="1" applyAlignment="1"/>
    <xf numFmtId="0" fontId="7" fillId="0" borderId="4" xfId="20" applyFont="1" applyFill="1" applyBorder="1" applyAlignment="1">
      <alignment horizontal="center"/>
    </xf>
    <xf numFmtId="10" fontId="7" fillId="0" borderId="2" xfId="20" applyNumberFormat="1" applyFont="1" applyFill="1" applyBorder="1" applyAlignment="1"/>
    <xf numFmtId="43" fontId="12" fillId="0" borderId="0" xfId="22" applyFont="1" applyFill="1"/>
    <xf numFmtId="10" fontId="2" fillId="0" borderId="2" xfId="21" applyNumberFormat="1" applyFont="1" applyFill="1" applyBorder="1"/>
    <xf numFmtId="166" fontId="2" fillId="0" borderId="0" xfId="22" applyNumberFormat="1" applyFont="1" applyFill="1"/>
    <xf numFmtId="44" fontId="2" fillId="0" borderId="0" xfId="20" applyNumberFormat="1" applyFont="1" applyBorder="1"/>
    <xf numFmtId="0" fontId="47" fillId="3" borderId="0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10" fillId="0" borderId="0" xfId="20" applyAlignment="1">
      <alignment horizontal="left"/>
    </xf>
    <xf numFmtId="0" fontId="7" fillId="0" borderId="2" xfId="20" applyFont="1" applyBorder="1" applyAlignment="1">
      <alignment horizontal="center"/>
    </xf>
    <xf numFmtId="0" fontId="10" fillId="0" borderId="2" xfId="20" applyBorder="1" applyAlignment="1"/>
    <xf numFmtId="0" fontId="7" fillId="0" borderId="4" xfId="20" applyFont="1" applyBorder="1" applyAlignment="1">
      <alignment horizontal="center"/>
    </xf>
    <xf numFmtId="0" fontId="2" fillId="0" borderId="2" xfId="20" applyFont="1" applyBorder="1" applyAlignment="1">
      <alignment horizontal="center"/>
    </xf>
    <xf numFmtId="0" fontId="10" fillId="0" borderId="2" xfId="20" applyBorder="1" applyAlignment="1">
      <alignment horizontal="center"/>
    </xf>
    <xf numFmtId="0" fontId="7" fillId="0" borderId="2" xfId="20" applyFont="1" applyFill="1" applyBorder="1" applyAlignment="1">
      <alignment horizontal="center"/>
    </xf>
    <xf numFmtId="0" fontId="2" fillId="0" borderId="2" xfId="20" applyFont="1" applyFill="1" applyBorder="1" applyAlignment="1">
      <alignment horizontal="center"/>
    </xf>
    <xf numFmtId="0" fontId="10" fillId="0" borderId="2" xfId="20" applyFill="1" applyBorder="1" applyAlignment="1">
      <alignment horizontal="center"/>
    </xf>
    <xf numFmtId="0" fontId="47" fillId="11" borderId="2" xfId="0" applyFont="1" applyFill="1" applyBorder="1" applyAlignment="1">
      <alignment horizontal="center" vertical="center"/>
    </xf>
    <xf numFmtId="43" fontId="47" fillId="11" borderId="2" xfId="0" applyNumberFormat="1" applyFont="1" applyFill="1" applyBorder="1" applyAlignment="1">
      <alignment horizontal="right" vertical="center" wrapText="1"/>
    </xf>
    <xf numFmtId="8" fontId="47" fillId="11" borderId="3" xfId="0" applyNumberFormat="1" applyFont="1" applyFill="1" applyBorder="1" applyAlignment="1">
      <alignment horizontal="center" vertical="center" wrapText="1"/>
    </xf>
    <xf numFmtId="0" fontId="47" fillId="3" borderId="16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7" fillId="25" borderId="2" xfId="0" applyFont="1" applyFill="1" applyBorder="1" applyAlignment="1">
      <alignment horizontal="center" vertical="center" wrapText="1"/>
    </xf>
    <xf numFmtId="43" fontId="47" fillId="25" borderId="2" xfId="0" applyNumberFormat="1" applyFont="1" applyFill="1" applyBorder="1" applyAlignment="1">
      <alignment horizontal="right" vertical="center" wrapText="1"/>
    </xf>
    <xf numFmtId="43" fontId="47" fillId="25" borderId="2" xfId="0" applyNumberFormat="1" applyFont="1" applyFill="1" applyBorder="1" applyAlignment="1">
      <alignment horizontal="center" vertical="center" wrapText="1"/>
    </xf>
    <xf numFmtId="44" fontId="48" fillId="25" borderId="2" xfId="27" applyFont="1" applyFill="1" applyBorder="1" applyAlignment="1">
      <alignment horizontal="left" wrapText="1"/>
    </xf>
    <xf numFmtId="0" fontId="44" fillId="25" borderId="0" xfId="0" applyFont="1" applyFill="1"/>
    <xf numFmtId="0" fontId="48" fillId="25" borderId="2" xfId="0" applyFont="1" applyFill="1" applyBorder="1" applyAlignment="1">
      <alignment horizontal="center" vertical="center" wrapText="1"/>
    </xf>
    <xf numFmtId="44" fontId="48" fillId="25" borderId="2" xfId="27" applyFont="1" applyFill="1" applyBorder="1" applyAlignment="1">
      <alignment horizontal="right" vertical="center" wrapText="1"/>
    </xf>
    <xf numFmtId="8" fontId="48" fillId="25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0" fontId="44" fillId="2" borderId="4" xfId="0" applyFont="1" applyFill="1" applyBorder="1"/>
    <xf numFmtId="0" fontId="44" fillId="2" borderId="6" xfId="0" applyFont="1" applyFill="1" applyBorder="1"/>
    <xf numFmtId="0" fontId="0" fillId="0" borderId="0" xfId="0" applyBorder="1" applyAlignment="1">
      <alignment horizontal="center"/>
    </xf>
    <xf numFmtId="167" fontId="22" fillId="11" borderId="6" xfId="27" applyNumberFormat="1" applyFont="1" applyFill="1" applyBorder="1" applyAlignment="1">
      <alignment horizontal="center" vertical="center" wrapText="1"/>
    </xf>
    <xf numFmtId="169" fontId="0" fillId="0" borderId="0" xfId="0" applyNumberFormat="1"/>
    <xf numFmtId="4" fontId="22" fillId="11" borderId="35" xfId="0" applyNumberFormat="1" applyFont="1" applyFill="1" applyBorder="1" applyAlignment="1">
      <alignment horizontal="center" vertical="center" wrapText="1"/>
    </xf>
    <xf numFmtId="4" fontId="21" fillId="2" borderId="38" xfId="0" applyNumberFormat="1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21" fillId="2" borderId="38" xfId="0" applyNumberFormat="1" applyFont="1" applyFill="1" applyBorder="1" applyAlignment="1">
      <alignment horizontal="center" vertical="center"/>
    </xf>
    <xf numFmtId="1" fontId="21" fillId="26" borderId="6" xfId="0" applyNumberFormat="1" applyFont="1" applyFill="1" applyBorder="1" applyAlignment="1">
      <alignment horizontal="center" vertical="center"/>
    </xf>
    <xf numFmtId="167" fontId="21" fillId="26" borderId="40" xfId="0" applyNumberFormat="1" applyFont="1" applyFill="1" applyBorder="1" applyAlignment="1">
      <alignment horizontal="center" vertical="center" wrapText="1"/>
    </xf>
    <xf numFmtId="4" fontId="20" fillId="27" borderId="3" xfId="0" applyNumberFormat="1" applyFont="1" applyFill="1" applyBorder="1" applyAlignment="1">
      <alignment horizontal="center" vertical="center" wrapText="1"/>
    </xf>
    <xf numFmtId="4" fontId="20" fillId="27" borderId="2" xfId="0" applyNumberFormat="1" applyFont="1" applyFill="1" applyBorder="1" applyAlignment="1">
      <alignment horizontal="center" vertical="center" wrapText="1"/>
    </xf>
    <xf numFmtId="1" fontId="21" fillId="27" borderId="37" xfId="0" applyNumberFormat="1" applyFont="1" applyFill="1" applyBorder="1" applyAlignment="1">
      <alignment horizontal="center" vertical="center"/>
    </xf>
    <xf numFmtId="4" fontId="21" fillId="27" borderId="38" xfId="0" applyNumberFormat="1" applyFont="1" applyFill="1" applyBorder="1" applyAlignment="1">
      <alignment horizontal="center" vertical="center"/>
    </xf>
    <xf numFmtId="4" fontId="21" fillId="27" borderId="38" xfId="0" applyNumberFormat="1" applyFont="1" applyFill="1" applyBorder="1" applyAlignment="1">
      <alignment horizontal="center" vertical="center" wrapText="1"/>
    </xf>
    <xf numFmtId="4" fontId="21" fillId="27" borderId="39" xfId="0" applyNumberFormat="1" applyFont="1" applyFill="1" applyBorder="1" applyAlignment="1">
      <alignment horizontal="center" vertical="center" wrapText="1"/>
    </xf>
    <xf numFmtId="169" fontId="22" fillId="11" borderId="35" xfId="0" applyNumberFormat="1" applyFont="1" applyFill="1" applyBorder="1" applyAlignment="1">
      <alignment horizontal="center" vertical="center" wrapText="1"/>
    </xf>
    <xf numFmtId="167" fontId="21" fillId="2" borderId="38" xfId="0" applyNumberFormat="1" applyFont="1" applyFill="1" applyBorder="1" applyAlignment="1">
      <alignment horizontal="center" vertical="center" wrapText="1"/>
    </xf>
    <xf numFmtId="167" fontId="22" fillId="11" borderId="35" xfId="0" applyNumberFormat="1" applyFont="1" applyFill="1" applyBorder="1" applyAlignment="1">
      <alignment horizontal="center" vertical="center" wrapText="1"/>
    </xf>
    <xf numFmtId="0" fontId="44" fillId="14" borderId="32" xfId="0" applyFont="1" applyFill="1" applyBorder="1" applyAlignment="1">
      <alignment horizontal="center"/>
    </xf>
    <xf numFmtId="0" fontId="44" fillId="14" borderId="6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43" fontId="47" fillId="0" borderId="0" xfId="0" applyNumberFormat="1" applyFont="1" applyFill="1" applyBorder="1" applyAlignment="1">
      <alignment horizontal="center" vertical="center" wrapText="1"/>
    </xf>
    <xf numFmtId="43" fontId="44" fillId="0" borderId="0" xfId="0" applyNumberFormat="1" applyFont="1" applyFill="1"/>
    <xf numFmtId="0" fontId="44" fillId="0" borderId="0" xfId="0" applyFont="1" applyFill="1"/>
    <xf numFmtId="7" fontId="47" fillId="0" borderId="0" xfId="0" applyNumberFormat="1" applyFont="1" applyFill="1" applyBorder="1" applyAlignment="1">
      <alignment horizontal="center" vertical="center" wrapText="1"/>
    </xf>
    <xf numFmtId="8" fontId="47" fillId="0" borderId="0" xfId="0" applyNumberFormat="1" applyFont="1" applyFill="1" applyBorder="1" applyAlignment="1">
      <alignment horizontal="center" vertical="center" wrapText="1"/>
    </xf>
    <xf numFmtId="44" fontId="47" fillId="0" borderId="0" xfId="0" applyNumberFormat="1" applyFont="1" applyFill="1" applyBorder="1" applyAlignment="1">
      <alignment horizontal="center" vertical="center" wrapText="1"/>
    </xf>
    <xf numFmtId="43" fontId="47" fillId="0" borderId="0" xfId="0" applyNumberFormat="1" applyFont="1" applyFill="1" applyBorder="1" applyAlignment="1">
      <alignment horizontal="right" vertical="center" wrapText="1"/>
    </xf>
    <xf numFmtId="43" fontId="47" fillId="0" borderId="2" xfId="0" applyNumberFormat="1" applyFont="1" applyFill="1" applyBorder="1" applyAlignment="1">
      <alignment horizontal="center" vertical="center" wrapText="1"/>
    </xf>
    <xf numFmtId="43" fontId="44" fillId="0" borderId="2" xfId="0" applyNumberFormat="1" applyFont="1" applyFill="1" applyBorder="1"/>
    <xf numFmtId="0" fontId="44" fillId="0" borderId="2" xfId="0" applyFont="1" applyFill="1" applyBorder="1"/>
    <xf numFmtId="7" fontId="47" fillId="0" borderId="2" xfId="0" applyNumberFormat="1" applyFont="1" applyFill="1" applyBorder="1" applyAlignment="1">
      <alignment horizontal="center" vertical="center" wrapText="1"/>
    </xf>
    <xf numFmtId="8" fontId="47" fillId="0" borderId="2" xfId="0" applyNumberFormat="1" applyFont="1" applyFill="1" applyBorder="1" applyAlignment="1">
      <alignment horizontal="center" vertical="center" wrapText="1"/>
    </xf>
    <xf numFmtId="44" fontId="47" fillId="0" borderId="2" xfId="0" applyNumberFormat="1" applyFont="1" applyFill="1" applyBorder="1" applyAlignment="1">
      <alignment horizontal="center" vertical="center" wrapText="1"/>
    </xf>
    <xf numFmtId="43" fontId="47" fillId="0" borderId="2" xfId="0" applyNumberFormat="1" applyFont="1" applyFill="1" applyBorder="1" applyAlignment="1">
      <alignment horizontal="right" vertical="center" wrapText="1"/>
    </xf>
    <xf numFmtId="0" fontId="48" fillId="2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vertical="center" wrapText="1"/>
    </xf>
    <xf numFmtId="43" fontId="47" fillId="2" borderId="2" xfId="0" applyNumberFormat="1" applyFont="1" applyFill="1" applyBorder="1" applyAlignment="1">
      <alignment horizontal="center" vertical="center" wrapText="1"/>
    </xf>
    <xf numFmtId="43" fontId="44" fillId="2" borderId="2" xfId="0" applyNumberFormat="1" applyFont="1" applyFill="1" applyBorder="1"/>
    <xf numFmtId="0" fontId="44" fillId="2" borderId="2" xfId="0" applyFont="1" applyFill="1" applyBorder="1"/>
    <xf numFmtId="7" fontId="47" fillId="2" borderId="2" xfId="0" applyNumberFormat="1" applyFont="1" applyFill="1" applyBorder="1" applyAlignment="1">
      <alignment horizontal="center" vertical="center" wrapText="1"/>
    </xf>
    <xf numFmtId="8" fontId="47" fillId="2" borderId="2" xfId="0" applyNumberFormat="1" applyFont="1" applyFill="1" applyBorder="1" applyAlignment="1">
      <alignment horizontal="center" vertical="center" wrapText="1"/>
    </xf>
    <xf numFmtId="44" fontId="47" fillId="2" borderId="2" xfId="0" applyNumberFormat="1" applyFont="1" applyFill="1" applyBorder="1" applyAlignment="1">
      <alignment horizontal="center" vertical="center" wrapText="1"/>
    </xf>
    <xf numFmtId="43" fontId="47" fillId="2" borderId="2" xfId="0" applyNumberFormat="1" applyFont="1" applyFill="1" applyBorder="1" applyAlignment="1">
      <alignment horizontal="right" vertical="center" wrapText="1"/>
    </xf>
    <xf numFmtId="0" fontId="47" fillId="12" borderId="2" xfId="0" applyFont="1" applyFill="1" applyBorder="1" applyAlignment="1">
      <alignment horizontal="center" vertical="center"/>
    </xf>
    <xf numFmtId="43" fontId="47" fillId="12" borderId="2" xfId="0" applyNumberFormat="1" applyFont="1" applyFill="1" applyBorder="1" applyAlignment="1">
      <alignment horizontal="right" vertical="center" wrapText="1"/>
    </xf>
    <xf numFmtId="8" fontId="47" fillId="12" borderId="3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43" fontId="58" fillId="0" borderId="0" xfId="22" applyFont="1"/>
    <xf numFmtId="0" fontId="47" fillId="4" borderId="2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44" fontId="48" fillId="11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8" fillId="14" borderId="0" xfId="0" applyFont="1" applyFill="1" applyAlignment="1">
      <alignment horizontal="center" wrapText="1"/>
    </xf>
    <xf numFmtId="0" fontId="28" fillId="27" borderId="14" xfId="0" applyFont="1" applyFill="1" applyBorder="1" applyAlignment="1">
      <alignment horizontal="center"/>
    </xf>
    <xf numFmtId="0" fontId="28" fillId="27" borderId="15" xfId="0" applyFont="1" applyFill="1" applyBorder="1" applyAlignment="1">
      <alignment horizontal="center"/>
    </xf>
    <xf numFmtId="0" fontId="28" fillId="27" borderId="11" xfId="0" applyFont="1" applyFill="1" applyBorder="1" applyAlignment="1">
      <alignment horizontal="center"/>
    </xf>
    <xf numFmtId="0" fontId="20" fillId="27" borderId="45" xfId="0" applyFont="1" applyFill="1" applyBorder="1" applyAlignment="1">
      <alignment horizontal="center" vertical="center" wrapText="1"/>
    </xf>
    <xf numFmtId="0" fontId="20" fillId="27" borderId="33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horizontal="center" vertical="center" wrapText="1"/>
    </xf>
    <xf numFmtId="0" fontId="20" fillId="27" borderId="3" xfId="0" applyFont="1" applyFill="1" applyBorder="1" applyAlignment="1">
      <alignment horizontal="center" vertical="center" wrapText="1"/>
    </xf>
    <xf numFmtId="0" fontId="20" fillId="27" borderId="43" xfId="0" applyFont="1" applyFill="1" applyBorder="1" applyAlignment="1">
      <alignment horizontal="center" vertical="center" wrapText="1"/>
    </xf>
    <xf numFmtId="0" fontId="20" fillId="27" borderId="3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8" fillId="14" borderId="3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8" fillId="21" borderId="32" xfId="0" applyFont="1" applyFill="1" applyBorder="1" applyAlignment="1">
      <alignment horizontal="center"/>
    </xf>
    <xf numFmtId="0" fontId="28" fillId="14" borderId="32" xfId="0" applyFont="1" applyFill="1" applyBorder="1" applyAlignment="1">
      <alignment horizontal="left"/>
    </xf>
    <xf numFmtId="0" fontId="20" fillId="17" borderId="2" xfId="0" applyFont="1" applyFill="1" applyBorder="1" applyAlignment="1">
      <alignment horizontal="center" vertical="center" wrapText="1"/>
    </xf>
    <xf numFmtId="0" fontId="28" fillId="15" borderId="32" xfId="0" applyFont="1" applyFill="1" applyBorder="1" applyAlignment="1">
      <alignment horizontal="center"/>
    </xf>
    <xf numFmtId="0" fontId="28" fillId="16" borderId="32" xfId="0" applyFont="1" applyFill="1" applyBorder="1" applyAlignment="1">
      <alignment horizontal="center"/>
    </xf>
    <xf numFmtId="0" fontId="20" fillId="15" borderId="31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6" borderId="31" xfId="0" applyFont="1" applyFill="1" applyBorder="1" applyAlignment="1">
      <alignment horizontal="center" vertical="center" wrapText="1"/>
    </xf>
    <xf numFmtId="0" fontId="20" fillId="26" borderId="3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26" borderId="15" xfId="0" applyFont="1" applyFill="1" applyBorder="1" applyAlignment="1">
      <alignment horizontal="center" wrapText="1"/>
    </xf>
    <xf numFmtId="0" fontId="28" fillId="26" borderId="11" xfId="0" applyFont="1" applyFill="1" applyBorder="1" applyAlignment="1">
      <alignment horizontal="center" wrapText="1"/>
    </xf>
    <xf numFmtId="0" fontId="20" fillId="26" borderId="41" xfId="0" applyFont="1" applyFill="1" applyBorder="1" applyAlignment="1">
      <alignment horizontal="center" vertical="center" wrapText="1"/>
    </xf>
    <xf numFmtId="0" fontId="20" fillId="26" borderId="9" xfId="0" applyFont="1" applyFill="1" applyBorder="1" applyAlignment="1">
      <alignment horizontal="center" vertical="center" wrapText="1"/>
    </xf>
    <xf numFmtId="0" fontId="20" fillId="26" borderId="18" xfId="0" applyFont="1" applyFill="1" applyBorder="1" applyAlignment="1">
      <alignment horizontal="center" vertical="center" wrapText="1"/>
    </xf>
    <xf numFmtId="0" fontId="20" fillId="26" borderId="4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8" fillId="22" borderId="14" xfId="0" applyFont="1" applyFill="1" applyBorder="1" applyAlignment="1">
      <alignment horizontal="center"/>
    </xf>
    <xf numFmtId="0" fontId="28" fillId="22" borderId="15" xfId="0" applyFont="1" applyFill="1" applyBorder="1" applyAlignment="1">
      <alignment horizontal="center"/>
    </xf>
    <xf numFmtId="0" fontId="28" fillId="22" borderId="11" xfId="0" applyFont="1" applyFill="1" applyBorder="1" applyAlignment="1">
      <alignment horizontal="center"/>
    </xf>
    <xf numFmtId="0" fontId="28" fillId="17" borderId="32" xfId="0" applyFont="1" applyFill="1" applyBorder="1" applyAlignment="1">
      <alignment horizontal="center"/>
    </xf>
    <xf numFmtId="0" fontId="28" fillId="20" borderId="32" xfId="0" applyFont="1" applyFill="1" applyBorder="1" applyAlignment="1">
      <alignment horizontal="center"/>
    </xf>
    <xf numFmtId="0" fontId="44" fillId="14" borderId="6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 vertical="center"/>
    </xf>
    <xf numFmtId="0" fontId="44" fillId="14" borderId="32" xfId="0" applyFont="1" applyFill="1" applyBorder="1" applyAlignment="1">
      <alignment horizontal="center"/>
    </xf>
    <xf numFmtId="0" fontId="44" fillId="11" borderId="32" xfId="0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7" fontId="46" fillId="12" borderId="0" xfId="0" applyNumberFormat="1" applyFont="1" applyFill="1" applyAlignment="1">
      <alignment horizontal="center"/>
    </xf>
    <xf numFmtId="0" fontId="47" fillId="4" borderId="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2" fillId="0" borderId="2" xfId="20" applyFont="1" applyBorder="1" applyAlignment="1">
      <alignment horizontal="center"/>
    </xf>
    <xf numFmtId="0" fontId="10" fillId="0" borderId="2" xfId="20" applyBorder="1" applyAlignment="1">
      <alignment horizontal="center"/>
    </xf>
    <xf numFmtId="0" fontId="7" fillId="0" borderId="0" xfId="20" applyFont="1" applyAlignment="1">
      <alignment horizontal="center"/>
    </xf>
    <xf numFmtId="0" fontId="7" fillId="2" borderId="2" xfId="20" applyFont="1" applyFill="1" applyBorder="1" applyAlignment="1">
      <alignment horizontal="center"/>
    </xf>
    <xf numFmtId="14" fontId="10" fillId="0" borderId="2" xfId="20" applyNumberFormat="1" applyBorder="1" applyAlignment="1">
      <alignment horizontal="center"/>
    </xf>
    <xf numFmtId="0" fontId="7" fillId="0" borderId="2" xfId="20" applyFont="1" applyBorder="1" applyAlignment="1">
      <alignment horizontal="center"/>
    </xf>
    <xf numFmtId="14" fontId="2" fillId="0" borderId="2" xfId="20" applyNumberFormat="1" applyFont="1" applyBorder="1" applyAlignment="1">
      <alignment horizontal="center"/>
    </xf>
    <xf numFmtId="0" fontId="10" fillId="0" borderId="2" xfId="20" applyBorder="1" applyAlignment="1">
      <alignment horizontal="left"/>
    </xf>
    <xf numFmtId="0" fontId="10" fillId="0" borderId="4" xfId="20" applyBorder="1" applyAlignment="1">
      <alignment horizontal="left"/>
    </xf>
    <xf numFmtId="0" fontId="10" fillId="0" borderId="5" xfId="20" applyBorder="1" applyAlignment="1">
      <alignment horizontal="left"/>
    </xf>
    <xf numFmtId="0" fontId="2" fillId="13" borderId="2" xfId="20" applyFont="1" applyFill="1" applyBorder="1" applyAlignment="1">
      <alignment horizontal="center"/>
    </xf>
    <xf numFmtId="0" fontId="10" fillId="13" borderId="2" xfId="20" applyFill="1" applyBorder="1" applyAlignment="1">
      <alignment horizontal="center"/>
    </xf>
    <xf numFmtId="0" fontId="7" fillId="2" borderId="0" xfId="20" applyFont="1" applyFill="1" applyAlignment="1">
      <alignment horizontal="center"/>
    </xf>
    <xf numFmtId="0" fontId="7" fillId="0" borderId="4" xfId="20" applyFont="1" applyBorder="1" applyAlignment="1">
      <alignment horizontal="left"/>
    </xf>
    <xf numFmtId="0" fontId="7" fillId="0" borderId="6" xfId="20" applyFont="1" applyBorder="1" applyAlignment="1">
      <alignment horizontal="left"/>
    </xf>
    <xf numFmtId="0" fontId="7" fillId="0" borderId="5" xfId="20" applyFont="1" applyBorder="1" applyAlignment="1">
      <alignment horizontal="left"/>
    </xf>
    <xf numFmtId="0" fontId="7" fillId="0" borderId="2" xfId="20" applyFont="1" applyBorder="1" applyAlignment="1">
      <alignment horizontal="left"/>
    </xf>
    <xf numFmtId="44" fontId="0" fillId="13" borderId="2" xfId="23" applyFont="1" applyFill="1" applyBorder="1" applyAlignment="1">
      <alignment horizontal="center"/>
    </xf>
    <xf numFmtId="14" fontId="10" fillId="13" borderId="2" xfId="20" applyNumberFormat="1" applyFill="1" applyBorder="1" applyAlignment="1">
      <alignment horizontal="center"/>
    </xf>
    <xf numFmtId="10" fontId="11" fillId="0" borderId="7" xfId="21" applyNumberFormat="1" applyFont="1" applyBorder="1" applyAlignment="1">
      <alignment horizontal="center"/>
    </xf>
    <xf numFmtId="0" fontId="7" fillId="0" borderId="4" xfId="20" applyFont="1" applyBorder="1" applyAlignment="1">
      <alignment horizontal="center"/>
    </xf>
    <xf numFmtId="0" fontId="7" fillId="0" borderId="5" xfId="20" applyFont="1" applyBorder="1" applyAlignment="1">
      <alignment horizontal="center"/>
    </xf>
    <xf numFmtId="0" fontId="7" fillId="2" borderId="8" xfId="20" applyFont="1" applyFill="1" applyBorder="1" applyAlignment="1">
      <alignment horizontal="center"/>
    </xf>
    <xf numFmtId="0" fontId="7" fillId="2" borderId="3" xfId="20" applyFont="1" applyFill="1" applyBorder="1" applyAlignment="1">
      <alignment horizontal="center"/>
    </xf>
    <xf numFmtId="0" fontId="7" fillId="2" borderId="9" xfId="20" applyFont="1" applyFill="1" applyBorder="1" applyAlignment="1">
      <alignment horizontal="center"/>
    </xf>
    <xf numFmtId="0" fontId="7" fillId="0" borderId="6" xfId="20" applyFont="1" applyBorder="1" applyAlignment="1">
      <alignment horizontal="center"/>
    </xf>
    <xf numFmtId="0" fontId="2" fillId="0" borderId="5" xfId="20" applyFont="1" applyBorder="1" applyAlignment="1">
      <alignment horizontal="center"/>
    </xf>
    <xf numFmtId="0" fontId="10" fillId="0" borderId="2" xfId="20" applyBorder="1" applyAlignment="1"/>
    <xf numFmtId="0" fontId="10" fillId="0" borderId="0" xfId="20" applyFont="1" applyFill="1" applyBorder="1" applyAlignment="1">
      <alignment horizontal="left"/>
    </xf>
    <xf numFmtId="0" fontId="2" fillId="0" borderId="0" xfId="20" applyFont="1" applyAlignment="1">
      <alignment horizontal="left"/>
    </xf>
    <xf numFmtId="0" fontId="10" fillId="0" borderId="0" xfId="20" applyAlignment="1">
      <alignment horizontal="left"/>
    </xf>
    <xf numFmtId="0" fontId="7" fillId="0" borderId="0" xfId="20" applyFont="1" applyAlignment="1">
      <alignment horizontal="left"/>
    </xf>
    <xf numFmtId="0" fontId="2" fillId="0" borderId="0" xfId="20" applyFont="1" applyFill="1" applyBorder="1" applyAlignment="1">
      <alignment horizontal="left"/>
    </xf>
    <xf numFmtId="0" fontId="2" fillId="0" borderId="2" xfId="20" applyFont="1" applyFill="1" applyBorder="1" applyAlignment="1">
      <alignment horizontal="center"/>
    </xf>
    <xf numFmtId="0" fontId="10" fillId="0" borderId="2" xfId="20" applyFill="1" applyBorder="1" applyAlignment="1">
      <alignment horizontal="center"/>
    </xf>
    <xf numFmtId="0" fontId="7" fillId="0" borderId="0" xfId="20" applyFont="1" applyFill="1" applyAlignment="1">
      <alignment horizontal="center"/>
    </xf>
    <xf numFmtId="0" fontId="7" fillId="0" borderId="2" xfId="20" applyFont="1" applyFill="1" applyBorder="1" applyAlignment="1">
      <alignment horizontal="center"/>
    </xf>
    <xf numFmtId="14" fontId="10" fillId="0" borderId="2" xfId="20" applyNumberFormat="1" applyFill="1" applyBorder="1" applyAlignment="1">
      <alignment horizontal="center"/>
    </xf>
    <xf numFmtId="0" fontId="10" fillId="0" borderId="2" xfId="20" applyFill="1" applyBorder="1" applyAlignment="1">
      <alignment horizontal="left"/>
    </xf>
    <xf numFmtId="0" fontId="10" fillId="0" borderId="4" xfId="20" applyFill="1" applyBorder="1" applyAlignment="1">
      <alignment horizontal="left"/>
    </xf>
    <xf numFmtId="0" fontId="10" fillId="0" borderId="5" xfId="20" applyFill="1" applyBorder="1" applyAlignment="1">
      <alignment horizontal="left"/>
    </xf>
    <xf numFmtId="0" fontId="7" fillId="0" borderId="4" xfId="20" applyFont="1" applyFill="1" applyBorder="1" applyAlignment="1">
      <alignment horizontal="left"/>
    </xf>
    <xf numFmtId="0" fontId="7" fillId="0" borderId="6" xfId="20" applyFont="1" applyFill="1" applyBorder="1" applyAlignment="1">
      <alignment horizontal="left"/>
    </xf>
    <xf numFmtId="0" fontId="7" fillId="0" borderId="5" xfId="20" applyFont="1" applyFill="1" applyBorder="1" applyAlignment="1">
      <alignment horizontal="left"/>
    </xf>
    <xf numFmtId="0" fontId="7" fillId="0" borderId="2" xfId="20" applyFont="1" applyFill="1" applyBorder="1" applyAlignment="1">
      <alignment horizontal="left"/>
    </xf>
    <xf numFmtId="44" fontId="0" fillId="0" borderId="2" xfId="23" applyFont="1" applyFill="1" applyBorder="1" applyAlignment="1">
      <alignment horizontal="center"/>
    </xf>
    <xf numFmtId="10" fontId="11" fillId="0" borderId="7" xfId="21" applyNumberFormat="1" applyFont="1" applyFill="1" applyBorder="1" applyAlignment="1">
      <alignment horizontal="center"/>
    </xf>
    <xf numFmtId="0" fontId="7" fillId="0" borderId="4" xfId="20" applyFont="1" applyFill="1" applyBorder="1" applyAlignment="1">
      <alignment horizontal="center"/>
    </xf>
    <xf numFmtId="0" fontId="7" fillId="0" borderId="5" xfId="20" applyFont="1" applyFill="1" applyBorder="1" applyAlignment="1">
      <alignment horizontal="center"/>
    </xf>
    <xf numFmtId="0" fontId="7" fillId="0" borderId="8" xfId="20" applyFont="1" applyFill="1" applyBorder="1" applyAlignment="1">
      <alignment horizontal="center"/>
    </xf>
    <xf numFmtId="0" fontId="7" fillId="0" borderId="3" xfId="20" applyFont="1" applyFill="1" applyBorder="1" applyAlignment="1">
      <alignment horizontal="center"/>
    </xf>
    <xf numFmtId="0" fontId="7" fillId="0" borderId="9" xfId="20" applyFont="1" applyFill="1" applyBorder="1" applyAlignment="1">
      <alignment horizontal="center"/>
    </xf>
    <xf numFmtId="0" fontId="7" fillId="0" borderId="6" xfId="20" applyFont="1" applyFill="1" applyBorder="1" applyAlignment="1">
      <alignment horizontal="center"/>
    </xf>
    <xf numFmtId="0" fontId="2" fillId="0" borderId="5" xfId="20" applyFont="1" applyFill="1" applyBorder="1" applyAlignment="1">
      <alignment horizontal="center"/>
    </xf>
    <xf numFmtId="0" fontId="10" fillId="0" borderId="2" xfId="20" applyFill="1" applyBorder="1" applyAlignment="1"/>
    <xf numFmtId="0" fontId="2" fillId="0" borderId="0" xfId="20" applyFont="1" applyFill="1" applyAlignment="1">
      <alignment horizontal="left"/>
    </xf>
    <xf numFmtId="0" fontId="10" fillId="0" borderId="0" xfId="20" applyFill="1" applyAlignment="1">
      <alignment horizontal="left"/>
    </xf>
    <xf numFmtId="0" fontId="7" fillId="0" borderId="0" xfId="20" applyFont="1" applyFill="1" applyAlignment="1">
      <alignment horizontal="left"/>
    </xf>
    <xf numFmtId="49" fontId="10" fillId="0" borderId="2" xfId="20" applyNumberFormat="1" applyFill="1" applyBorder="1" applyAlignment="1">
      <alignment horizontal="center"/>
    </xf>
    <xf numFmtId="49" fontId="10" fillId="0" borderId="2" xfId="20" applyNumberFormat="1" applyBorder="1" applyAlignment="1">
      <alignment horizontal="center"/>
    </xf>
    <xf numFmtId="44" fontId="0" fillId="0" borderId="2" xfId="23" applyFont="1" applyBorder="1" applyAlignment="1">
      <alignment horizontal="center"/>
    </xf>
    <xf numFmtId="0" fontId="50" fillId="11" borderId="0" xfId="0" applyFont="1" applyFill="1" applyBorder="1" applyAlignment="1">
      <alignment horizontal="center" vertical="center" wrapText="1"/>
    </xf>
    <xf numFmtId="0" fontId="2" fillId="11" borderId="2" xfId="20" applyFont="1" applyFill="1" applyBorder="1" applyAlignment="1">
      <alignment horizontal="center"/>
    </xf>
    <xf numFmtId="0" fontId="10" fillId="11" borderId="2" xfId="20" applyFill="1" applyBorder="1" applyAlignment="1">
      <alignment horizontal="center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center"/>
    </xf>
    <xf numFmtId="2" fontId="36" fillId="0" borderId="0" xfId="19" applyNumberFormat="1" applyFont="1" applyAlignment="1">
      <alignment horizontal="justify" vertical="justify"/>
    </xf>
    <xf numFmtId="0" fontId="33" fillId="0" borderId="0" xfId="19" applyFont="1" applyAlignment="1">
      <alignment horizontal="justify" vertical="justify"/>
    </xf>
    <xf numFmtId="0" fontId="41" fillId="0" borderId="0" xfId="19" applyFont="1" applyAlignment="1">
      <alignment horizontal="left" vertical="center"/>
    </xf>
    <xf numFmtId="0" fontId="35" fillId="0" borderId="27" xfId="19" applyFont="1" applyBorder="1" applyAlignment="1">
      <alignment horizontal="justify" vertical="center" wrapText="1"/>
    </xf>
    <xf numFmtId="0" fontId="35" fillId="0" borderId="25" xfId="19" applyFont="1" applyBorder="1" applyAlignment="1">
      <alignment horizontal="justify" vertical="center" wrapText="1"/>
    </xf>
    <xf numFmtId="10" fontId="36" fillId="0" borderId="27" xfId="19" applyNumberFormat="1" applyFont="1" applyBorder="1" applyAlignment="1">
      <alignment horizontal="center" vertical="center" wrapText="1"/>
    </xf>
    <xf numFmtId="10" fontId="36" fillId="0" borderId="25" xfId="19" applyNumberFormat="1" applyFont="1" applyBorder="1" applyAlignment="1">
      <alignment horizontal="center" vertical="center" wrapText="1"/>
    </xf>
    <xf numFmtId="0" fontId="36" fillId="0" borderId="27" xfId="19" applyFont="1" applyBorder="1" applyAlignment="1">
      <alignment vertical="center" wrapText="1"/>
    </xf>
    <xf numFmtId="0" fontId="36" fillId="0" borderId="25" xfId="19" applyFont="1" applyBorder="1" applyAlignment="1">
      <alignment vertical="center" wrapText="1"/>
    </xf>
    <xf numFmtId="0" fontId="2" fillId="0" borderId="0" xfId="19" applyFont="1" applyFill="1" applyBorder="1" applyAlignment="1">
      <alignment horizontal="left"/>
    </xf>
    <xf numFmtId="49" fontId="38" fillId="0" borderId="0" xfId="19" applyNumberFormat="1" applyFont="1" applyAlignment="1">
      <alignment horizontal="left" vertical="distributed"/>
    </xf>
    <xf numFmtId="0" fontId="43" fillId="0" borderId="2" xfId="19" applyFont="1" applyBorder="1" applyAlignment="1">
      <alignment horizontal="center" vertical="center"/>
    </xf>
    <xf numFmtId="0" fontId="2" fillId="0" borderId="0" xfId="19" applyFont="1" applyAlignment="1">
      <alignment horizontal="left"/>
    </xf>
    <xf numFmtId="0" fontId="2" fillId="0" borderId="0" xfId="19" applyAlignment="1">
      <alignment horizontal="left"/>
    </xf>
    <xf numFmtId="0" fontId="7" fillId="0" borderId="0" xfId="19" applyFont="1" applyAlignment="1">
      <alignment horizontal="left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vertical="center" wrapText="1"/>
    </xf>
    <xf numFmtId="0" fontId="47" fillId="2" borderId="0" xfId="0" applyFont="1" applyFill="1" applyBorder="1" applyAlignment="1">
      <alignment horizontal="center" vertical="center"/>
    </xf>
    <xf numFmtId="43" fontId="47" fillId="2" borderId="32" xfId="0" applyNumberFormat="1" applyFont="1" applyFill="1" applyBorder="1" applyAlignment="1">
      <alignment horizontal="center" vertical="center" wrapText="1"/>
    </xf>
    <xf numFmtId="43" fontId="47" fillId="2" borderId="0" xfId="0" applyNumberFormat="1" applyFont="1" applyFill="1" applyBorder="1" applyAlignment="1">
      <alignment horizontal="center" vertical="center" wrapText="1"/>
    </xf>
    <xf numFmtId="43" fontId="44" fillId="2" borderId="0" xfId="0" applyNumberFormat="1" applyFont="1" applyFill="1" applyBorder="1"/>
    <xf numFmtId="0" fontId="44" fillId="2" borderId="0" xfId="0" applyFont="1" applyFill="1" applyBorder="1"/>
    <xf numFmtId="7" fontId="47" fillId="2" borderId="0" xfId="0" applyNumberFormat="1" applyFont="1" applyFill="1" applyBorder="1" applyAlignment="1">
      <alignment horizontal="center" vertical="center" wrapText="1"/>
    </xf>
    <xf numFmtId="43" fontId="47" fillId="2" borderId="6" xfId="0" applyNumberFormat="1" applyFont="1" applyFill="1" applyBorder="1" applyAlignment="1">
      <alignment horizontal="center" vertical="center" wrapText="1"/>
    </xf>
    <xf numFmtId="8" fontId="47" fillId="2" borderId="6" xfId="0" applyNumberFormat="1" applyFont="1" applyFill="1" applyBorder="1" applyAlignment="1">
      <alignment horizontal="center" vertical="center" wrapText="1"/>
    </xf>
    <xf numFmtId="44" fontId="47" fillId="2" borderId="6" xfId="0" applyNumberFormat="1" applyFont="1" applyFill="1" applyBorder="1" applyAlignment="1">
      <alignment horizontal="center" vertical="center" wrapText="1"/>
    </xf>
    <xf numFmtId="43" fontId="47" fillId="2" borderId="6" xfId="0" applyNumberFormat="1" applyFont="1" applyFill="1" applyBorder="1" applyAlignment="1">
      <alignment horizontal="right" vertical="center" wrapText="1"/>
    </xf>
    <xf numFmtId="43" fontId="47" fillId="2" borderId="0" xfId="0" applyNumberFormat="1" applyFont="1" applyFill="1" applyBorder="1" applyAlignment="1">
      <alignment horizontal="right" vertical="center" wrapText="1"/>
    </xf>
    <xf numFmtId="8" fontId="47" fillId="2" borderId="0" xfId="0" applyNumberFormat="1" applyFont="1" applyFill="1" applyBorder="1" applyAlignment="1">
      <alignment horizontal="center" vertical="center" wrapText="1"/>
    </xf>
    <xf numFmtId="44" fontId="47" fillId="2" borderId="0" xfId="0" applyNumberFormat="1" applyFont="1" applyFill="1" applyBorder="1" applyAlignment="1">
      <alignment horizontal="center" vertical="center" wrapText="1"/>
    </xf>
  </cellXfs>
  <cellStyles count="32">
    <cellStyle name="Excel Built-in Comma" xfId="2"/>
    <cellStyle name="Excel Built-in Normal" xfId="1"/>
    <cellStyle name="Excel Built-in Normal 10" xfId="18"/>
    <cellStyle name="Excel Built-in Normal 2" xfId="3"/>
    <cellStyle name="Excel Built-in Normal 3" xfId="6"/>
    <cellStyle name="Excel Built-in Normal 4" xfId="7"/>
    <cellStyle name="Excel Built-in Normal 5" xfId="9"/>
    <cellStyle name="Excel Built-in Normal 6" xfId="11"/>
    <cellStyle name="Excel Built-in Normal 7" xfId="12"/>
    <cellStyle name="Excel Built-in Normal 8" xfId="14"/>
    <cellStyle name="Excel Built-in Normal 9" xfId="16"/>
    <cellStyle name="Hiperlink" xfId="31" builtinId="8"/>
    <cellStyle name="Moeda" xfId="27" builtinId="4"/>
    <cellStyle name="Moeda 2" xfId="23"/>
    <cellStyle name="Moeda 3" xfId="30"/>
    <cellStyle name="Normal" xfId="0" builtinId="0"/>
    <cellStyle name="Normal 10" xfId="19"/>
    <cellStyle name="Normal 2" xfId="20"/>
    <cellStyle name="Normal 2 2" xfId="25"/>
    <cellStyle name="Normal 4" xfId="8"/>
    <cellStyle name="Normal 5" xfId="10"/>
    <cellStyle name="Normal 7" xfId="13"/>
    <cellStyle name="Normal 8" xfId="15"/>
    <cellStyle name="Normal 9" xfId="17"/>
    <cellStyle name="Porcentagem" xfId="26" builtinId="5"/>
    <cellStyle name="Porcentagem 2" xfId="21"/>
    <cellStyle name="Porcentagem 3" xfId="28"/>
    <cellStyle name="Porcentagem 4" xfId="24"/>
    <cellStyle name="Título 1 1" xfId="4"/>
    <cellStyle name="Título 1 1 1" xfId="5"/>
    <cellStyle name="Vírgula 2" xfId="22"/>
    <cellStyle name="Vírgula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84\5_CONTRATOS\Contrato%2036-2012%20-%20Habitual%20Higieniza&#231;&#227;o%20Ltda%20-%20Terceirizados\C&#243;pia%20de%20Proposta%20final%20(5)%20-%201&#186;%20TERMO%20AD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GEM 1º ADITIVO"/>
      <sheetName val="Resumo PARCIAL"/>
      <sheetName val="Super 2"/>
      <sheetName val="Recepção 2"/>
      <sheetName val="Recepção 3"/>
      <sheetName val="Recepção 4"/>
      <sheetName val="Copeira 2"/>
      <sheetName val="Copeira 3"/>
      <sheetName val="Copeira 4"/>
      <sheetName val="Porteiro 2"/>
      <sheetName val="Porteiro 3"/>
      <sheetName val="Porteiro 4"/>
      <sheetName val="ASG 2"/>
      <sheetName val="ASG 3"/>
      <sheetName val="ASG 4"/>
      <sheetName val="ASG 5"/>
      <sheetName val="Caldereiro 3"/>
      <sheetName val="Almoxarife 2"/>
      <sheetName val="Oficial 2"/>
      <sheetName val="Oficial 3"/>
      <sheetName val="Oficial 4"/>
      <sheetName val="Oficial 5"/>
      <sheetName val="Op. de maq. 2"/>
      <sheetName val="Op.de maq. 3"/>
      <sheetName val="Op.de maq. 4"/>
      <sheetName val="Op.de maq. 5"/>
      <sheetName val="Cerim. 2"/>
      <sheetName val="Orçam 2"/>
      <sheetName val="Jardineiro 3"/>
      <sheetName val="Mat Maq Costal"/>
      <sheetName val="Mat Jard"/>
      <sheetName val="Manut."/>
      <sheetName val="Epis"/>
      <sheetName val="Uniforme 1"/>
      <sheetName val="Uniforme 2"/>
      <sheetName val="Memoria de calculo"/>
      <sheetName val="Memoria de calculo Lucro e Desp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6">
          <cell r="D136">
            <v>1993.11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6">
          <cell r="D136">
            <v>2498.1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6">
          <cell r="D136">
            <v>2981.64</v>
          </cell>
        </row>
      </sheetData>
      <sheetData sheetId="20" refreshError="1"/>
      <sheetData sheetId="21" refreshError="1"/>
      <sheetData sheetId="22" refreshError="1"/>
      <sheetData sheetId="23">
        <row r="136">
          <cell r="D136">
            <v>2318.56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iano.juridico@siemaco.org.br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1"/>
  <sheetViews>
    <sheetView showGridLines="0" view="pageBreakPreview" zoomScale="60" zoomScaleNormal="100" workbookViewId="0">
      <selection activeCell="J41" sqref="J41"/>
    </sheetView>
  </sheetViews>
  <sheetFormatPr defaultRowHeight="15" x14ac:dyDescent="0.25"/>
  <cols>
    <col min="2" max="2" width="42.28515625" customWidth="1"/>
    <col min="3" max="3" width="25.85546875" customWidth="1"/>
    <col min="4" max="4" width="40.7109375" customWidth="1"/>
    <col min="5" max="5" width="15.42578125" customWidth="1"/>
    <col min="6" max="8" width="26.7109375" customWidth="1"/>
    <col min="9" max="9" width="75.85546875" customWidth="1"/>
    <col min="10" max="10" width="24.28515625" customWidth="1"/>
    <col min="11" max="11" width="51.28515625" customWidth="1"/>
  </cols>
  <sheetData>
    <row r="1" spans="2:11" s="427" customFormat="1" x14ac:dyDescent="0.25">
      <c r="B1" s="426" t="s">
        <v>592</v>
      </c>
      <c r="C1" s="426"/>
      <c r="D1" s="426"/>
      <c r="E1" s="426"/>
      <c r="F1" s="426"/>
      <c r="G1" s="426"/>
      <c r="H1" s="426"/>
      <c r="I1" s="426"/>
    </row>
    <row r="2" spans="2:11" s="427" customFormat="1" x14ac:dyDescent="0.25">
      <c r="B2" s="434" t="s">
        <v>593</v>
      </c>
      <c r="C2" s="435" t="s">
        <v>594</v>
      </c>
      <c r="D2" s="434" t="s">
        <v>595</v>
      </c>
      <c r="E2" s="434" t="s">
        <v>638</v>
      </c>
      <c r="F2" s="434" t="s">
        <v>651</v>
      </c>
      <c r="G2" s="434" t="s">
        <v>596</v>
      </c>
      <c r="H2" s="434" t="s">
        <v>707</v>
      </c>
      <c r="I2" s="434" t="s">
        <v>596</v>
      </c>
      <c r="J2" s="427" t="s">
        <v>707</v>
      </c>
    </row>
    <row r="3" spans="2:11" x14ac:dyDescent="0.25">
      <c r="B3" s="434" t="s">
        <v>485</v>
      </c>
      <c r="C3" s="435" t="s">
        <v>597</v>
      </c>
      <c r="D3" s="429">
        <v>1526</v>
      </c>
      <c r="E3" s="429">
        <v>1261</v>
      </c>
      <c r="F3" s="429">
        <f>'Super 2'!D29</f>
        <v>1988.12</v>
      </c>
      <c r="G3" s="429" t="s">
        <v>644</v>
      </c>
      <c r="H3" s="429">
        <v>1243.3399999999999</v>
      </c>
      <c r="I3" s="436" t="s">
        <v>644</v>
      </c>
      <c r="J3">
        <v>1988.12</v>
      </c>
    </row>
    <row r="4" spans="2:11" x14ac:dyDescent="0.25">
      <c r="B4" s="434" t="s">
        <v>598</v>
      </c>
      <c r="C4" s="435" t="s">
        <v>597</v>
      </c>
      <c r="D4" s="429">
        <v>768</v>
      </c>
      <c r="E4" s="429">
        <v>864.41</v>
      </c>
      <c r="F4" s="429">
        <v>865</v>
      </c>
      <c r="G4" s="429" t="s">
        <v>599</v>
      </c>
      <c r="H4" s="429">
        <v>925.55</v>
      </c>
      <c r="I4" s="436" t="s">
        <v>599</v>
      </c>
      <c r="J4" s="429">
        <v>1022.3</v>
      </c>
    </row>
    <row r="5" spans="2:11" x14ac:dyDescent="0.25">
      <c r="B5" s="434" t="s">
        <v>492</v>
      </c>
      <c r="C5" s="435" t="s">
        <v>600</v>
      </c>
      <c r="D5" s="429">
        <v>510</v>
      </c>
      <c r="E5" s="429">
        <v>574</v>
      </c>
      <c r="F5" s="429">
        <v>573</v>
      </c>
      <c r="G5" s="429" t="s">
        <v>601</v>
      </c>
      <c r="H5" s="429">
        <v>613.11</v>
      </c>
      <c r="I5" s="436" t="s">
        <v>601</v>
      </c>
      <c r="J5" s="429">
        <v>903.38</v>
      </c>
      <c r="K5" s="429">
        <v>887</v>
      </c>
    </row>
    <row r="6" spans="2:11" x14ac:dyDescent="0.25">
      <c r="B6" s="434" t="s">
        <v>493</v>
      </c>
      <c r="C6" s="435" t="s">
        <v>602</v>
      </c>
      <c r="D6" s="429">
        <v>1006</v>
      </c>
      <c r="E6" s="429">
        <v>1131</v>
      </c>
      <c r="F6" s="429">
        <v>1131</v>
      </c>
      <c r="G6" s="429" t="s">
        <v>603</v>
      </c>
      <c r="H6" s="429">
        <v>1210</v>
      </c>
      <c r="I6" s="436" t="s">
        <v>603</v>
      </c>
      <c r="J6" s="429">
        <v>1337</v>
      </c>
    </row>
    <row r="7" spans="2:11" x14ac:dyDescent="0.25">
      <c r="B7" s="434" t="s">
        <v>604</v>
      </c>
      <c r="C7" s="435" t="s">
        <v>597</v>
      </c>
      <c r="D7" s="429">
        <v>659</v>
      </c>
      <c r="E7" s="429">
        <v>740</v>
      </c>
      <c r="F7" s="429">
        <v>740</v>
      </c>
      <c r="G7" s="429" t="s">
        <v>605</v>
      </c>
      <c r="H7" s="429">
        <v>791.8</v>
      </c>
      <c r="I7" s="436" t="s">
        <v>605</v>
      </c>
      <c r="J7" s="429">
        <v>875.73</v>
      </c>
    </row>
    <row r="8" spans="2:11" x14ac:dyDescent="0.25">
      <c r="B8" s="434" t="s">
        <v>606</v>
      </c>
      <c r="C8" s="435" t="s">
        <v>597</v>
      </c>
      <c r="D8" s="429">
        <v>858</v>
      </c>
      <c r="E8" s="429">
        <v>963.94</v>
      </c>
      <c r="F8" s="429">
        <v>964</v>
      </c>
      <c r="G8" s="429" t="s">
        <v>607</v>
      </c>
      <c r="H8" s="429">
        <v>1031.48</v>
      </c>
      <c r="I8" s="436" t="s">
        <v>607</v>
      </c>
      <c r="J8" s="429">
        <v>1140.29</v>
      </c>
    </row>
    <row r="9" spans="2:11" x14ac:dyDescent="0.25">
      <c r="B9" s="434" t="s">
        <v>502</v>
      </c>
      <c r="C9" s="435" t="s">
        <v>597</v>
      </c>
      <c r="D9" s="429">
        <v>724</v>
      </c>
      <c r="E9" s="429">
        <v>813.72</v>
      </c>
      <c r="F9" s="429">
        <v>814</v>
      </c>
      <c r="G9" s="429" t="s">
        <v>608</v>
      </c>
      <c r="H9" s="429">
        <v>870.98</v>
      </c>
      <c r="I9" s="436" t="s">
        <v>608</v>
      </c>
      <c r="J9" s="429">
        <v>962.38</v>
      </c>
    </row>
    <row r="10" spans="2:11" x14ac:dyDescent="0.25">
      <c r="B10" s="434" t="s">
        <v>501</v>
      </c>
      <c r="C10" s="435" t="s">
        <v>597</v>
      </c>
      <c r="D10" s="429">
        <v>1289</v>
      </c>
      <c r="E10" s="429">
        <v>1449.67</v>
      </c>
      <c r="F10" s="429">
        <f>E10</f>
        <v>1449.67</v>
      </c>
      <c r="G10" s="429" t="s">
        <v>609</v>
      </c>
      <c r="H10" s="429">
        <v>1552.57</v>
      </c>
      <c r="I10" s="436" t="s">
        <v>609</v>
      </c>
      <c r="J10" s="332">
        <v>1794.06</v>
      </c>
    </row>
    <row r="11" spans="2:11" x14ac:dyDescent="0.25">
      <c r="B11" s="434" t="s">
        <v>500</v>
      </c>
      <c r="C11" s="435"/>
      <c r="D11" s="429">
        <v>1330</v>
      </c>
      <c r="E11" s="429">
        <v>1495.78</v>
      </c>
      <c r="F11" s="429">
        <f>E11</f>
        <v>1495.78</v>
      </c>
      <c r="G11" s="429" t="s">
        <v>609</v>
      </c>
      <c r="H11" s="429">
        <v>1601.96</v>
      </c>
      <c r="I11" s="436" t="s">
        <v>609</v>
      </c>
      <c r="J11" s="332">
        <v>1809.85</v>
      </c>
    </row>
    <row r="12" spans="2:11" x14ac:dyDescent="0.25">
      <c r="B12" s="434" t="s">
        <v>700</v>
      </c>
      <c r="C12" s="435" t="s">
        <v>597</v>
      </c>
      <c r="D12" s="429"/>
      <c r="E12" s="429"/>
      <c r="F12" s="429">
        <v>1136</v>
      </c>
      <c r="G12" s="429"/>
      <c r="H12" s="429">
        <v>1256</v>
      </c>
      <c r="I12" s="436"/>
      <c r="J12" s="332">
        <v>1334</v>
      </c>
    </row>
    <row r="13" spans="2:11" x14ac:dyDescent="0.25">
      <c r="B13" s="434" t="s">
        <v>701</v>
      </c>
      <c r="C13" s="435" t="s">
        <v>597</v>
      </c>
      <c r="D13" s="429"/>
      <c r="E13" s="429"/>
      <c r="F13" s="429">
        <v>1130.8</v>
      </c>
      <c r="G13" s="429"/>
      <c r="H13" s="429">
        <v>1256</v>
      </c>
      <c r="I13" s="436"/>
      <c r="J13" s="332">
        <v>1334</v>
      </c>
    </row>
    <row r="14" spans="2:11" x14ac:dyDescent="0.25">
      <c r="B14" s="434" t="s">
        <v>496</v>
      </c>
      <c r="C14" s="435" t="s">
        <v>597</v>
      </c>
      <c r="F14" s="429">
        <v>1130.8</v>
      </c>
      <c r="G14" s="429"/>
      <c r="H14" s="429">
        <v>1256</v>
      </c>
      <c r="J14" s="332">
        <v>1334</v>
      </c>
    </row>
    <row r="16" spans="2:11" x14ac:dyDescent="0.25">
      <c r="B16" s="427" t="s">
        <v>610</v>
      </c>
      <c r="F16" s="427"/>
      <c r="G16" s="427"/>
      <c r="H16" s="427"/>
      <c r="I16" s="427"/>
    </row>
    <row r="17" spans="2:11" x14ac:dyDescent="0.25">
      <c r="B17" s="245" t="s">
        <v>594</v>
      </c>
      <c r="C17" s="245">
        <v>44</v>
      </c>
      <c r="D17" s="245">
        <v>40</v>
      </c>
    </row>
    <row r="18" spans="2:11" x14ac:dyDescent="0.25">
      <c r="B18" s="245" t="s">
        <v>611</v>
      </c>
      <c r="C18" s="245">
        <v>803</v>
      </c>
      <c r="D18" s="245">
        <v>740</v>
      </c>
    </row>
    <row r="19" spans="2:11" x14ac:dyDescent="0.25">
      <c r="B19" s="245" t="s">
        <v>612</v>
      </c>
      <c r="C19" s="245">
        <f>C18-D18</f>
        <v>63</v>
      </c>
      <c r="D19" s="245"/>
      <c r="F19" s="332"/>
      <c r="G19" s="332"/>
      <c r="H19" s="332"/>
    </row>
    <row r="20" spans="2:11" x14ac:dyDescent="0.25">
      <c r="B20" s="245" t="s">
        <v>613</v>
      </c>
      <c r="C20" s="245">
        <f>C19/C18</f>
        <v>7.8455790784557902E-2</v>
      </c>
      <c r="D20" s="245"/>
    </row>
    <row r="21" spans="2:11" x14ac:dyDescent="0.25">
      <c r="B21" s="427" t="s">
        <v>614</v>
      </c>
    </row>
    <row r="22" spans="2:11" x14ac:dyDescent="0.25">
      <c r="B22" s="245" t="s">
        <v>594</v>
      </c>
      <c r="C22" s="245">
        <v>44</v>
      </c>
      <c r="D22" s="245">
        <v>44</v>
      </c>
      <c r="F22" s="332"/>
      <c r="G22" s="332"/>
      <c r="H22" s="332"/>
    </row>
    <row r="23" spans="2:11" x14ac:dyDescent="0.25">
      <c r="B23" s="245" t="s">
        <v>611</v>
      </c>
      <c r="C23" s="245">
        <v>714</v>
      </c>
      <c r="D23" s="245">
        <v>803</v>
      </c>
    </row>
    <row r="24" spans="2:11" x14ac:dyDescent="0.25">
      <c r="B24" s="245" t="s">
        <v>612</v>
      </c>
      <c r="C24" s="245">
        <f>D23-C23</f>
        <v>89</v>
      </c>
      <c r="D24" s="245"/>
    </row>
    <row r="25" spans="2:11" x14ac:dyDescent="0.25">
      <c r="B25" s="245" t="s">
        <v>613</v>
      </c>
      <c r="C25" s="245">
        <f>C24/C23</f>
        <v>0.12464985994397759</v>
      </c>
      <c r="D25" s="245"/>
    </row>
    <row r="27" spans="2:11" s="427" customFormat="1" x14ac:dyDescent="0.25">
      <c r="B27" s="426" t="s">
        <v>615</v>
      </c>
      <c r="C27" s="426"/>
      <c r="D27" s="426"/>
      <c r="E27" s="426"/>
      <c r="F27" s="426"/>
      <c r="G27" s="426"/>
      <c r="H27" s="426"/>
      <c r="I27" s="426"/>
      <c r="K27" s="427" t="s">
        <v>703</v>
      </c>
    </row>
    <row r="29" spans="2:11" ht="41.25" customHeight="1" x14ac:dyDescent="0.25">
      <c r="B29" s="666" t="s">
        <v>616</v>
      </c>
      <c r="C29" s="666"/>
      <c r="D29" s="666"/>
      <c r="E29" s="666"/>
      <c r="F29" s="666"/>
      <c r="G29" s="666"/>
      <c r="H29" s="666"/>
      <c r="I29" s="666"/>
      <c r="K29" t="s">
        <v>702</v>
      </c>
    </row>
    <row r="30" spans="2:11" x14ac:dyDescent="0.25">
      <c r="K30" s="332">
        <f>J12*5%</f>
        <v>66.7</v>
      </c>
    </row>
    <row r="31" spans="2:11" ht="45" x14ac:dyDescent="0.25">
      <c r="B31" s="427" t="s">
        <v>593</v>
      </c>
      <c r="C31" s="520" t="s">
        <v>617</v>
      </c>
      <c r="D31" s="435" t="s">
        <v>652</v>
      </c>
      <c r="F31" s="434"/>
      <c r="G31" s="434"/>
      <c r="H31" s="434"/>
      <c r="I31" s="459" t="s">
        <v>629</v>
      </c>
      <c r="K31" t="s">
        <v>704</v>
      </c>
    </row>
    <row r="32" spans="2:11" hidden="1" x14ac:dyDescent="0.25">
      <c r="B32" s="427" t="s">
        <v>485</v>
      </c>
      <c r="C32" s="429" t="e">
        <f>#REF!</f>
        <v>#REF!</v>
      </c>
      <c r="D32" s="437">
        <v>63.05</v>
      </c>
      <c r="E32" s="438">
        <v>0.05</v>
      </c>
      <c r="F32" s="436"/>
      <c r="G32" s="436"/>
      <c r="H32" s="436"/>
      <c r="I32" s="460"/>
    </row>
    <row r="33" spans="2:11" x14ac:dyDescent="0.25">
      <c r="B33" s="427" t="s">
        <v>598</v>
      </c>
      <c r="C33" s="429">
        <v>865</v>
      </c>
      <c r="D33" s="437">
        <v>43.22</v>
      </c>
      <c r="E33" t="s">
        <v>639</v>
      </c>
      <c r="F33" s="436"/>
      <c r="G33" s="436"/>
      <c r="H33" s="436"/>
      <c r="I33" s="460">
        <v>18</v>
      </c>
      <c r="J33">
        <v>21.36</v>
      </c>
      <c r="K33" s="332">
        <v>326</v>
      </c>
    </row>
    <row r="34" spans="2:11" hidden="1" x14ac:dyDescent="0.25">
      <c r="B34" s="427" t="s">
        <v>492</v>
      </c>
      <c r="C34" s="429">
        <v>573</v>
      </c>
      <c r="D34" s="437">
        <v>28.7</v>
      </c>
      <c r="E34" t="s">
        <v>639</v>
      </c>
      <c r="F34" s="436"/>
      <c r="G34" s="436"/>
      <c r="H34" s="436"/>
      <c r="I34" s="460"/>
      <c r="K34" s="332"/>
    </row>
    <row r="35" spans="2:11" x14ac:dyDescent="0.25">
      <c r="B35" s="427" t="s">
        <v>493</v>
      </c>
      <c r="C35" s="429">
        <v>1131</v>
      </c>
      <c r="D35" s="437">
        <v>56.55</v>
      </c>
      <c r="E35" t="s">
        <v>639</v>
      </c>
      <c r="F35" s="436"/>
      <c r="G35" s="436"/>
      <c r="H35" s="436"/>
      <c r="I35" s="460">
        <v>40</v>
      </c>
      <c r="J35">
        <v>47</v>
      </c>
      <c r="K35" s="332"/>
    </row>
    <row r="36" spans="2:11" hidden="1" x14ac:dyDescent="0.25">
      <c r="B36" s="427" t="s">
        <v>604</v>
      </c>
      <c r="C36" s="429">
        <v>740</v>
      </c>
      <c r="D36" s="437">
        <v>37</v>
      </c>
      <c r="E36" t="s">
        <v>639</v>
      </c>
      <c r="F36" s="436"/>
      <c r="G36" s="436"/>
      <c r="H36" s="436"/>
      <c r="K36" s="429"/>
    </row>
    <row r="37" spans="2:11" hidden="1" x14ac:dyDescent="0.25">
      <c r="B37" s="427" t="s">
        <v>606</v>
      </c>
      <c r="C37" s="429">
        <v>964</v>
      </c>
      <c r="D37" s="437">
        <v>48.2</v>
      </c>
      <c r="E37" t="s">
        <v>639</v>
      </c>
      <c r="F37" s="436"/>
      <c r="G37" s="436"/>
      <c r="H37" s="436"/>
      <c r="K37" s="429"/>
    </row>
    <row r="38" spans="2:11" hidden="1" x14ac:dyDescent="0.25">
      <c r="B38" s="427" t="s">
        <v>502</v>
      </c>
      <c r="C38" s="429">
        <v>814</v>
      </c>
      <c r="D38" s="437">
        <v>40.69</v>
      </c>
      <c r="E38" t="s">
        <v>639</v>
      </c>
      <c r="F38" s="436"/>
      <c r="G38" s="436"/>
      <c r="H38" s="436"/>
      <c r="K38" s="429"/>
    </row>
    <row r="39" spans="2:11" hidden="1" x14ac:dyDescent="0.25">
      <c r="B39" s="427" t="s">
        <v>501</v>
      </c>
      <c r="C39" s="429">
        <f>D10*1.12464986</f>
        <v>1449.6736695399998</v>
      </c>
      <c r="D39" s="437">
        <v>72.48</v>
      </c>
      <c r="E39" s="438">
        <v>0.05</v>
      </c>
      <c r="F39" s="436"/>
      <c r="G39" s="436"/>
      <c r="H39" s="436"/>
      <c r="K39" s="429"/>
    </row>
    <row r="40" spans="2:11" hidden="1" x14ac:dyDescent="0.25">
      <c r="B40" s="427" t="s">
        <v>500</v>
      </c>
      <c r="C40" s="429">
        <f>D11*1.12464986</f>
        <v>1495.7843137999998</v>
      </c>
      <c r="D40" s="437">
        <v>74.790000000000006</v>
      </c>
      <c r="E40" s="438">
        <v>0.05</v>
      </c>
      <c r="F40" s="436"/>
      <c r="G40" s="436"/>
      <c r="H40" s="436"/>
      <c r="K40" s="332"/>
    </row>
    <row r="41" spans="2:11" x14ac:dyDescent="0.25">
      <c r="B41" s="427"/>
      <c r="C41" s="429"/>
      <c r="D41" s="429"/>
      <c r="K41" s="332" t="s">
        <v>157</v>
      </c>
    </row>
    <row r="42" spans="2:11" x14ac:dyDescent="0.25">
      <c r="B42" s="426" t="s">
        <v>618</v>
      </c>
      <c r="C42" s="428"/>
      <c r="D42" s="428"/>
      <c r="E42" s="428"/>
      <c r="F42" s="428"/>
      <c r="G42" s="428"/>
      <c r="H42" s="428"/>
      <c r="I42" s="428"/>
      <c r="J42" s="428"/>
      <c r="K42" s="332">
        <v>27.17</v>
      </c>
    </row>
    <row r="43" spans="2:11" x14ac:dyDescent="0.25">
      <c r="B43" s="427" t="s">
        <v>619</v>
      </c>
      <c r="C43" s="427" t="s">
        <v>620</v>
      </c>
      <c r="I43" t="s">
        <v>705</v>
      </c>
      <c r="J43" s="522" t="s">
        <v>705</v>
      </c>
    </row>
    <row r="44" spans="2:11" x14ac:dyDescent="0.25">
      <c r="B44" s="332">
        <v>31.5</v>
      </c>
      <c r="C44" s="332">
        <v>35</v>
      </c>
      <c r="I44">
        <v>40</v>
      </c>
      <c r="J44" s="522">
        <v>45</v>
      </c>
      <c r="K44" t="s">
        <v>708</v>
      </c>
    </row>
    <row r="45" spans="2:11" x14ac:dyDescent="0.25">
      <c r="J45" s="522"/>
      <c r="K45" s="332">
        <v>22</v>
      </c>
    </row>
    <row r="46" spans="2:11" x14ac:dyDescent="0.25">
      <c r="B46" s="426" t="s">
        <v>621</v>
      </c>
      <c r="C46" s="428"/>
      <c r="D46" s="428"/>
      <c r="E46" s="428"/>
      <c r="F46" s="428"/>
      <c r="G46" s="428"/>
      <c r="H46" s="428"/>
      <c r="I46" s="428"/>
      <c r="J46" s="522"/>
    </row>
    <row r="47" spans="2:11" x14ac:dyDescent="0.25">
      <c r="B47" s="427" t="s">
        <v>640</v>
      </c>
      <c r="C47" s="427" t="s">
        <v>641</v>
      </c>
      <c r="I47">
        <v>13</v>
      </c>
      <c r="J47" s="522">
        <v>14.5</v>
      </c>
    </row>
    <row r="48" spans="2:11" x14ac:dyDescent="0.25">
      <c r="B48" s="332">
        <v>10.85</v>
      </c>
      <c r="C48" s="332">
        <v>12</v>
      </c>
      <c r="J48" s="522"/>
    </row>
    <row r="49" spans="2:10" x14ac:dyDescent="0.25">
      <c r="J49" s="522"/>
    </row>
    <row r="50" spans="2:10" x14ac:dyDescent="0.25">
      <c r="B50" s="426" t="s">
        <v>622</v>
      </c>
      <c r="C50" s="428"/>
      <c r="D50" s="428"/>
      <c r="E50" s="428"/>
      <c r="F50" s="428"/>
      <c r="G50" s="428"/>
      <c r="H50" s="428"/>
      <c r="I50" s="428"/>
      <c r="J50" s="522"/>
    </row>
    <row r="51" spans="2:10" x14ac:dyDescent="0.25">
      <c r="B51" s="427" t="s">
        <v>642</v>
      </c>
      <c r="C51" s="427" t="s">
        <v>643</v>
      </c>
      <c r="J51" s="522"/>
    </row>
    <row r="52" spans="2:10" x14ac:dyDescent="0.25">
      <c r="B52" s="332">
        <v>8.75</v>
      </c>
      <c r="C52" s="332">
        <v>11</v>
      </c>
      <c r="I52">
        <v>13</v>
      </c>
      <c r="J52" s="522">
        <v>14.5</v>
      </c>
    </row>
    <row r="53" spans="2:10" x14ac:dyDescent="0.25">
      <c r="B53" s="426" t="s">
        <v>623</v>
      </c>
      <c r="C53" s="428"/>
      <c r="D53" s="428"/>
      <c r="E53" s="428"/>
      <c r="F53" s="428"/>
      <c r="G53" s="428"/>
      <c r="H53" s="428"/>
      <c r="I53" s="428"/>
      <c r="J53" s="522"/>
    </row>
    <row r="54" spans="2:10" x14ac:dyDescent="0.25">
      <c r="B54" s="523" t="s">
        <v>706</v>
      </c>
      <c r="C54" s="524"/>
      <c r="D54" s="524"/>
      <c r="E54" s="524"/>
      <c r="F54" s="524"/>
      <c r="G54" s="524"/>
      <c r="H54" s="524"/>
      <c r="I54" s="524">
        <v>248</v>
      </c>
      <c r="J54" s="525">
        <v>280</v>
      </c>
    </row>
    <row r="55" spans="2:10" x14ac:dyDescent="0.25">
      <c r="B55" s="523"/>
      <c r="C55" s="524"/>
      <c r="D55" s="524"/>
      <c r="E55" s="524"/>
      <c r="F55" s="524"/>
      <c r="G55" s="524"/>
      <c r="H55" s="524"/>
      <c r="I55" s="524"/>
      <c r="J55" s="525"/>
    </row>
    <row r="56" spans="2:10" x14ac:dyDescent="0.25">
      <c r="B56" s="523"/>
      <c r="C56" s="523"/>
      <c r="D56" s="524"/>
      <c r="E56" s="524"/>
      <c r="F56" s="524"/>
      <c r="G56" s="524"/>
      <c r="H56" s="524"/>
      <c r="I56" s="524"/>
      <c r="J56" s="524"/>
    </row>
    <row r="57" spans="2:10" x14ac:dyDescent="0.25">
      <c r="B57" s="332"/>
      <c r="C57" s="332"/>
    </row>
    <row r="58" spans="2:10" ht="28.5" x14ac:dyDescent="0.25">
      <c r="B58" s="430" t="s">
        <v>624</v>
      </c>
    </row>
    <row r="60" spans="2:10" x14ac:dyDescent="0.25">
      <c r="B60" t="s">
        <v>625</v>
      </c>
    </row>
    <row r="61" spans="2:10" x14ac:dyDescent="0.25">
      <c r="B61" s="431" t="s">
        <v>626</v>
      </c>
    </row>
  </sheetData>
  <mergeCells count="1">
    <mergeCell ref="B29:I29"/>
  </mergeCells>
  <hyperlinks>
    <hyperlink ref="B61" r:id="rId1"/>
  </hyperlinks>
  <pageMargins left="0.51181102362204722" right="0.51181102362204722" top="0.78740157480314965" bottom="0.78740157480314965" header="0.31496062992125984" footer="0.31496062992125984"/>
  <pageSetup paperSize="9" scale="46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2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492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54"/>
    </row>
    <row r="23" spans="1:5" x14ac:dyDescent="0.25">
      <c r="A23" s="43">
        <v>2</v>
      </c>
      <c r="B23" s="526" t="s">
        <v>33</v>
      </c>
      <c r="C23" s="769">
        <v>887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2013'!J5</f>
        <v>903.38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/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32.792693999999997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936.17</v>
      </c>
      <c r="E39" s="554"/>
    </row>
    <row r="40" spans="1:5" x14ac:dyDescent="0.25">
      <c r="A40" s="543"/>
      <c r="B40" s="543"/>
      <c r="C40" s="544"/>
      <c r="D40" s="545"/>
      <c r="E40" s="554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91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389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31">
        <v>25</v>
      </c>
      <c r="D53" s="18">
        <f>ROUND(C53*$C$29,2)</f>
        <v>25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5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5</v>
      </c>
      <c r="D56" s="18">
        <v>5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30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187.23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14.04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9.36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1.87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23.4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74.89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28.09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5.62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344.5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77.98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25.99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103.97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38.26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142.22999999999999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0.94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7.49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18.16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6.68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41.38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74.72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77.98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2.25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0.19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1.31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0.19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82.29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30.28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112.57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142.24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344.51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74.72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112.57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674.05</v>
      </c>
    </row>
    <row r="106" spans="1:5" x14ac:dyDescent="0.25">
      <c r="D106" s="42">
        <f>ROUND(D105+D57+D49+D39,2)</f>
        <v>2029.22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20.29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39.18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180.45</v>
      </c>
      <c r="F113" s="61">
        <f>SUM(C110:C114)</f>
        <v>0.13250000000000001</v>
      </c>
    </row>
    <row r="114" spans="1:9" x14ac:dyDescent="0.25">
      <c r="A114" s="43" t="s">
        <v>130</v>
      </c>
      <c r="B114" s="8" t="s">
        <v>131</v>
      </c>
      <c r="C114" s="45">
        <v>0.04</v>
      </c>
      <c r="D114" s="18">
        <f>ROUND($F$115*C114,2)</f>
        <v>94.97</v>
      </c>
      <c r="F114" s="62">
        <f>ROUND(D115+D108+D106,2)</f>
        <v>2059.7600000000002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10.25</v>
      </c>
      <c r="F115" s="63">
        <f>ROUND(F114/(1-F113),2)</f>
        <v>2374.36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345.14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936.17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389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30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674.05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2029.22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345.14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2374.36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2374.36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2374.36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2374.36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2374.36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2374.36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28492.32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09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" t="s">
        <v>13</v>
      </c>
      <c r="B8" s="8" t="s">
        <v>14</v>
      </c>
      <c r="C8" s="728">
        <v>41094</v>
      </c>
      <c r="D8" s="725"/>
    </row>
    <row r="9" spans="1:4" ht="12.75" x14ac:dyDescent="0.2">
      <c r="A9" s="7" t="s">
        <v>15</v>
      </c>
      <c r="B9" s="8" t="s">
        <v>16</v>
      </c>
      <c r="C9" s="729" t="s">
        <v>17</v>
      </c>
      <c r="D9" s="729"/>
    </row>
    <row r="10" spans="1:4" ht="12.75" x14ac:dyDescent="0.2">
      <c r="A10" s="7" t="s">
        <v>18</v>
      </c>
      <c r="B10" s="8" t="s">
        <v>19</v>
      </c>
      <c r="C10" s="783">
        <v>2012</v>
      </c>
      <c r="D10" s="783"/>
    </row>
    <row r="11" spans="1:4" ht="12.75" x14ac:dyDescent="0.2">
      <c r="A11" s="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493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0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f>'REPACTUAÇÃO SIEMACO 2013'!J6</f>
        <v>1337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2013'!J6</f>
        <v>1337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5" x14ac:dyDescent="0.25">
      <c r="A33" s="43" t="s">
        <v>45</v>
      </c>
      <c r="B33" s="526" t="s">
        <v>46</v>
      </c>
      <c r="C33" s="539"/>
      <c r="D33" s="535"/>
      <c r="E33" s="536"/>
    </row>
    <row r="34" spans="1:5" x14ac:dyDescent="0.25">
      <c r="A34" s="43" t="s">
        <v>47</v>
      </c>
      <c r="B34" s="526" t="s">
        <v>48</v>
      </c>
      <c r="C34" s="534"/>
      <c r="D34" s="535"/>
      <c r="E34" s="538"/>
    </row>
    <row r="35" spans="1:5" x14ac:dyDescent="0.25">
      <c r="A35" s="43" t="s">
        <v>49</v>
      </c>
      <c r="B35" s="526" t="s">
        <v>50</v>
      </c>
      <c r="C35" s="539"/>
      <c r="D35" s="535"/>
      <c r="E35" s="536"/>
    </row>
    <row r="36" spans="1:5" x14ac:dyDescent="0.25">
      <c r="A36" s="43" t="s">
        <v>51</v>
      </c>
      <c r="B36" s="526" t="s">
        <v>52</v>
      </c>
      <c r="C36" s="534"/>
      <c r="D36" s="535">
        <f>'REPACTUAÇÃO SIEMACO 2013'!J35</f>
        <v>47</v>
      </c>
      <c r="E36" s="527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48.533099999999997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1432.53</v>
      </c>
      <c r="E39" s="527"/>
    </row>
    <row r="40" spans="1:5" x14ac:dyDescent="0.25">
      <c r="A40" s="543"/>
      <c r="B40" s="543"/>
      <c r="C40" s="544"/>
      <c r="D40" s="545"/>
      <c r="E40" s="527"/>
    </row>
    <row r="41" spans="1:5" ht="12.75" x14ac:dyDescent="0.2">
      <c r="A41" s="773" t="s">
        <v>56</v>
      </c>
      <c r="B41" s="774"/>
      <c r="C41" s="774"/>
      <c r="D41" s="775"/>
      <c r="E41" s="527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64.98</v>
      </c>
      <c r="E43" s="548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362.98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73" t="s">
        <v>66</v>
      </c>
      <c r="B51" s="774"/>
      <c r="C51" s="774"/>
      <c r="D51" s="775"/>
      <c r="E51" s="527"/>
    </row>
    <row r="52" spans="1:5" ht="13.5" customHeight="1" x14ac:dyDescent="0.2">
      <c r="A52" s="530">
        <v>3</v>
      </c>
      <c r="B52" s="546" t="s">
        <v>67</v>
      </c>
      <c r="C52" s="532" t="s">
        <v>68</v>
      </c>
      <c r="D52" s="533" t="s">
        <v>40</v>
      </c>
      <c r="E52" s="527"/>
    </row>
    <row r="53" spans="1:5" x14ac:dyDescent="0.25">
      <c r="A53" s="43" t="s">
        <v>13</v>
      </c>
      <c r="B53" s="526" t="s">
        <v>69</v>
      </c>
      <c r="C53" s="561">
        <f>'Uniforme 1'!D23</f>
        <v>51.875</v>
      </c>
      <c r="D53" s="535">
        <f>ROUND(C53*$C$29,2)</f>
        <v>51.88</v>
      </c>
      <c r="E53" s="527"/>
    </row>
    <row r="54" spans="1:5" x14ac:dyDescent="0.25">
      <c r="A54" s="43" t="s">
        <v>15</v>
      </c>
      <c r="B54" s="541" t="s">
        <v>332</v>
      </c>
      <c r="C54" s="562">
        <v>0</v>
      </c>
      <c r="D54" s="535">
        <v>0</v>
      </c>
      <c r="E54" s="550"/>
    </row>
    <row r="55" spans="1:5" x14ac:dyDescent="0.25">
      <c r="A55" s="43" t="s">
        <v>18</v>
      </c>
      <c r="B55" s="526" t="s">
        <v>71</v>
      </c>
      <c r="C55" s="562">
        <v>0</v>
      </c>
      <c r="D55" s="535">
        <f>ROUND(C55*$C$29,2)</f>
        <v>0</v>
      </c>
      <c r="E55" s="527"/>
    </row>
    <row r="56" spans="1:5" x14ac:dyDescent="0.25">
      <c r="A56" s="43" t="s">
        <v>20</v>
      </c>
      <c r="B56" s="541" t="s">
        <v>72</v>
      </c>
      <c r="C56" s="535">
        <v>0</v>
      </c>
      <c r="D56" s="535">
        <f>C56</f>
        <v>0</v>
      </c>
      <c r="E56" s="550"/>
    </row>
    <row r="57" spans="1:5" x14ac:dyDescent="0.25">
      <c r="A57" s="771" t="s">
        <v>73</v>
      </c>
      <c r="B57" s="772"/>
      <c r="C57" s="551"/>
      <c r="D57" s="542">
        <f>ROUND(SUM(D53:D56),2)</f>
        <v>51.88</v>
      </c>
      <c r="E57" s="550"/>
    </row>
    <row r="58" spans="1:5" x14ac:dyDescent="0.25">
      <c r="A58" s="543"/>
      <c r="B58" s="543"/>
      <c r="C58" s="544"/>
      <c r="D58" s="545"/>
      <c r="E58" s="527"/>
    </row>
    <row r="59" spans="1:5" ht="12.75" x14ac:dyDescent="0.2">
      <c r="A59" s="773" t="s">
        <v>74</v>
      </c>
      <c r="B59" s="774"/>
      <c r="C59" s="774"/>
      <c r="D59" s="775"/>
      <c r="E59" s="527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286.51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21.49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14.33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2.87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35.81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114.6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42.98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8.6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527.19000000000005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119.33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39.78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159.11000000000001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58.55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217.66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1.43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0.11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11.46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27.79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10.23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63.32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114.34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119.33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3.44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0.28999999999999998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2.0099999999999998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0.56999999999999995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0.28999999999999998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125.92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46.34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172.26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217.66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527.16999999999996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114.34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172.26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1031.43</v>
      </c>
    </row>
    <row r="106" spans="1:5" x14ac:dyDescent="0.25">
      <c r="D106" s="42">
        <f>ROUND(D105+D57+D49+D39,2)</f>
        <v>2878.82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28.79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54.33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250.23</v>
      </c>
      <c r="F113" s="61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65.849999999999994</v>
      </c>
      <c r="F114" s="62">
        <f>ROUND(D115+D108+D106,2)</f>
        <v>2922.15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14.54</v>
      </c>
      <c r="F115" s="63">
        <f>ROUND(F114/(1-F113),2)</f>
        <v>3292.56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413.74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1432.53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362.98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1031.43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2878.82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413.74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3292.56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3292.56</v>
      </c>
      <c r="E130" s="49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3292.56</v>
      </c>
      <c r="E132" s="49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3292.56</v>
      </c>
      <c r="E134" s="49"/>
      <c r="F134" s="64"/>
    </row>
    <row r="135" spans="1:9" ht="18.75" x14ac:dyDescent="0.3">
      <c r="E135" s="49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7" t="s">
        <v>13</v>
      </c>
      <c r="B137" s="731" t="s">
        <v>149</v>
      </c>
      <c r="C137" s="731"/>
      <c r="D137" s="18">
        <f>D130</f>
        <v>3292.56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3292.56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39510.720000000001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21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493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54"/>
    </row>
    <row r="23" spans="1:5" x14ac:dyDescent="0.25">
      <c r="A23" s="43">
        <v>2</v>
      </c>
      <c r="B23" s="526" t="s">
        <v>33</v>
      </c>
      <c r="C23" s="769">
        <f>'REPACTUAÇÃO SIEMACO 2013'!J6</f>
        <v>1337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2013'!J6</f>
        <v>1337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f>'REPACTUAÇÃO SIEMACO 2013'!J35</f>
        <v>47</v>
      </c>
      <c r="E36" s="527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48.533099999999997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1432.53</v>
      </c>
      <c r="E39" s="527"/>
    </row>
    <row r="40" spans="1:5" x14ac:dyDescent="0.25">
      <c r="A40" s="543"/>
      <c r="B40" s="543"/>
      <c r="C40" s="544"/>
      <c r="D40" s="545"/>
      <c r="E40" s="554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64.98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362.98</v>
      </c>
      <c r="E49" s="554"/>
    </row>
    <row r="50" spans="1:5" ht="13.5" customHeight="1" x14ac:dyDescent="0.25">
      <c r="A50" s="552"/>
      <c r="B50" s="543"/>
      <c r="C50" s="544"/>
      <c r="D50" s="545"/>
      <c r="E50" s="554"/>
    </row>
    <row r="51" spans="1:5" ht="13.5" customHeight="1" x14ac:dyDescent="0.2">
      <c r="A51" s="773" t="s">
        <v>66</v>
      </c>
      <c r="B51" s="774"/>
      <c r="C51" s="774"/>
      <c r="D51" s="775"/>
      <c r="E51" s="554"/>
    </row>
    <row r="52" spans="1:5" ht="13.5" customHeight="1" x14ac:dyDescent="0.2">
      <c r="A52" s="530">
        <v>3</v>
      </c>
      <c r="B52" s="546" t="s">
        <v>67</v>
      </c>
      <c r="C52" s="532" t="s">
        <v>68</v>
      </c>
      <c r="D52" s="533" t="s">
        <v>40</v>
      </c>
      <c r="E52" s="554"/>
    </row>
    <row r="53" spans="1:5" x14ac:dyDescent="0.25">
      <c r="A53" s="43" t="s">
        <v>13</v>
      </c>
      <c r="B53" s="526" t="s">
        <v>69</v>
      </c>
      <c r="C53" s="561">
        <f>'Uniforme 1'!D23</f>
        <v>51.875</v>
      </c>
      <c r="D53" s="535">
        <f>ROUND(C53*$C$29,2)</f>
        <v>51.88</v>
      </c>
      <c r="E53" s="554"/>
    </row>
    <row r="54" spans="1:5" x14ac:dyDescent="0.25">
      <c r="A54" s="43" t="s">
        <v>15</v>
      </c>
      <c r="B54" s="541" t="s">
        <v>70</v>
      </c>
      <c r="C54" s="562">
        <v>0</v>
      </c>
      <c r="D54" s="535">
        <v>0</v>
      </c>
      <c r="E54" s="550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/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286.51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21.49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14.33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2.87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35.81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114.6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42.98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8.6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527.19000000000005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119.33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39.78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159.11000000000001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58.55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217.66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1.43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0.11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11.46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27.79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10.23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63.32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114.34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119.33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3.44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0.28999999999999998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2.0099999999999998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0.56999999999999995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0.28999999999999998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125.92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46.34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172.26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217.66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527.16999999999996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114.34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172.26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1031.43</v>
      </c>
    </row>
    <row r="106" spans="1:5" x14ac:dyDescent="0.25">
      <c r="D106" s="42">
        <f>ROUND(D105+D57+D49+D39,2)</f>
        <v>2878.82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28.79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54.95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253.09</v>
      </c>
      <c r="F113" s="61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99.9</v>
      </c>
      <c r="F114" s="62">
        <f>ROUND(D115+D108+D106,2)</f>
        <v>2922.15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14.54</v>
      </c>
      <c r="F115" s="63">
        <f>ROUND(F114/(1-F113),2)</f>
        <v>3330.09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451.27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1432.53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362.98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1031.43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2878.82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451.27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3330.09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3330.09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3330.09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3330.09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3330.09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3330.09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39961.08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6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493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f>'REPACTUAÇÃO SIEMACO 2013'!J6</f>
        <v>1337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2013'!J6</f>
        <v>1337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f>'REPACTUAÇÃO SIEMACO 2013'!J35</f>
        <v>47</v>
      </c>
      <c r="E36" s="527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48.533099999999997</v>
      </c>
      <c r="E38" s="527"/>
    </row>
    <row r="39" spans="1:5" x14ac:dyDescent="0.25">
      <c r="A39" s="744" t="s">
        <v>55</v>
      </c>
      <c r="B39" s="745"/>
      <c r="C39" s="17"/>
      <c r="D39" s="23">
        <f>ROUND(SUM(D29:D38),2)</f>
        <v>1432.53</v>
      </c>
      <c r="E39" s="1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64.98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362.98</v>
      </c>
      <c r="E49" s="554"/>
    </row>
    <row r="50" spans="1:5" ht="13.5" customHeight="1" x14ac:dyDescent="0.25">
      <c r="A50" s="552"/>
      <c r="B50" s="543"/>
      <c r="C50" s="544"/>
      <c r="D50" s="545"/>
      <c r="E50" s="554"/>
    </row>
    <row r="51" spans="1:5" ht="13.5" customHeight="1" x14ac:dyDescent="0.2">
      <c r="A51" s="773" t="s">
        <v>66</v>
      </c>
      <c r="B51" s="774"/>
      <c r="C51" s="774"/>
      <c r="D51" s="775"/>
      <c r="E51" s="554"/>
    </row>
    <row r="52" spans="1:5" ht="13.5" customHeight="1" x14ac:dyDescent="0.2">
      <c r="A52" s="530">
        <v>3</v>
      </c>
      <c r="B52" s="546" t="s">
        <v>67</v>
      </c>
      <c r="C52" s="532" t="s">
        <v>68</v>
      </c>
      <c r="D52" s="533" t="s">
        <v>40</v>
      </c>
      <c r="E52" s="554"/>
    </row>
    <row r="53" spans="1:5" x14ac:dyDescent="0.25">
      <c r="A53" s="43" t="s">
        <v>13</v>
      </c>
      <c r="B53" s="526" t="s">
        <v>69</v>
      </c>
      <c r="C53" s="561">
        <f>'Uniforme 1'!D23</f>
        <v>51.875</v>
      </c>
      <c r="D53" s="535">
        <f>ROUND(C53*$C$29,2)</f>
        <v>51.88</v>
      </c>
      <c r="E53" s="554"/>
    </row>
    <row r="54" spans="1:5" x14ac:dyDescent="0.25">
      <c r="A54" s="43" t="s">
        <v>15</v>
      </c>
      <c r="B54" s="541" t="s">
        <v>70</v>
      </c>
      <c r="C54" s="562">
        <v>0</v>
      </c>
      <c r="D54" s="535">
        <v>0</v>
      </c>
      <c r="E54" s="550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0</v>
      </c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286.51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21.49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14.33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2.87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35.81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114.6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42.98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8.6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527.19000000000005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119.33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39.78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159.11000000000001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58.55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217.66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1.43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0.11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11.46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27.79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10.23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63.32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114.34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119.33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3.44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0.28999999999999998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2.0099999999999998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0.56999999999999995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0.28999999999999998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125.92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46.34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172.26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217.66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527.16999999999996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114.34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172.26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1031.43</v>
      </c>
    </row>
    <row r="106" spans="1:5" x14ac:dyDescent="0.25">
      <c r="D106" s="42">
        <f>ROUND(D105+D57+D49+D39,2)</f>
        <v>2878.82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28.79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55.58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256</v>
      </c>
      <c r="F113" s="61">
        <f>SUM(C110:C114)</f>
        <v>0.13250000000000001</v>
      </c>
    </row>
    <row r="114" spans="1:9" x14ac:dyDescent="0.25">
      <c r="A114" s="43" t="s">
        <v>130</v>
      </c>
      <c r="B114" s="8" t="s">
        <v>131</v>
      </c>
      <c r="C114" s="45">
        <v>0.04</v>
      </c>
      <c r="D114" s="18">
        <f>ROUND($F$115*C114,2)</f>
        <v>134.74</v>
      </c>
      <c r="F114" s="62">
        <f>ROUND(D115+D108+D106,2)</f>
        <v>2922.15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14.54</v>
      </c>
      <c r="F115" s="63">
        <f>ROUND(F114/(1-F113),2)</f>
        <v>3368.47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489.65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1432.53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362.98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1031.43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2878.82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489.65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3368.47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3368.47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3368.47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3368.47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3368.47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3368.47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40421.64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6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582" t="s">
        <v>13</v>
      </c>
      <c r="B8" s="8" t="s">
        <v>14</v>
      </c>
      <c r="C8" s="728">
        <v>41094</v>
      </c>
      <c r="D8" s="725"/>
    </row>
    <row r="9" spans="1:4" ht="12.75" x14ac:dyDescent="0.2">
      <c r="A9" s="582" t="s">
        <v>15</v>
      </c>
      <c r="B9" s="8" t="s">
        <v>16</v>
      </c>
      <c r="C9" s="729" t="s">
        <v>17</v>
      </c>
      <c r="D9" s="729"/>
    </row>
    <row r="10" spans="1:4" ht="12.75" x14ac:dyDescent="0.2">
      <c r="A10" s="582" t="s">
        <v>18</v>
      </c>
      <c r="B10" s="8" t="s">
        <v>19</v>
      </c>
      <c r="C10" s="783">
        <v>2012</v>
      </c>
      <c r="D10" s="783"/>
    </row>
    <row r="11" spans="1:4" ht="12.75" x14ac:dyDescent="0.2">
      <c r="A11" s="582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493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577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582">
        <v>1</v>
      </c>
      <c r="B22" s="8" t="s">
        <v>32</v>
      </c>
      <c r="C22" s="724" t="s">
        <v>489</v>
      </c>
      <c r="D22" s="725"/>
    </row>
    <row r="23" spans="1:5" x14ac:dyDescent="0.25">
      <c r="A23" s="585">
        <v>2</v>
      </c>
      <c r="B23" s="526" t="s">
        <v>33</v>
      </c>
      <c r="C23" s="769">
        <f>'REPACTUAÇÃO SIEMACO 2013'!J6</f>
        <v>1337</v>
      </c>
      <c r="D23" s="769"/>
      <c r="E23" s="527"/>
    </row>
    <row r="24" spans="1:5" ht="12.75" x14ac:dyDescent="0.2">
      <c r="A24" s="585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585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83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585" t="s">
        <v>13</v>
      </c>
      <c r="B29" s="526" t="s">
        <v>41</v>
      </c>
      <c r="C29" s="534">
        <v>1</v>
      </c>
      <c r="D29" s="535">
        <f>'REPACTUAÇÃO SIEMACO 2013'!J6</f>
        <v>1337</v>
      </c>
      <c r="E29" s="536"/>
    </row>
    <row r="30" spans="1:5" x14ac:dyDescent="0.25">
      <c r="A30" s="585" t="s">
        <v>15</v>
      </c>
      <c r="B30" s="526" t="s">
        <v>42</v>
      </c>
      <c r="C30" s="537"/>
      <c r="D30" s="535"/>
      <c r="E30" s="554"/>
    </row>
    <row r="31" spans="1:5" x14ac:dyDescent="0.25">
      <c r="A31" s="585" t="s">
        <v>18</v>
      </c>
      <c r="B31" s="526" t="s">
        <v>43</v>
      </c>
      <c r="C31" s="537"/>
      <c r="D31" s="535"/>
      <c r="E31" s="555"/>
    </row>
    <row r="32" spans="1:5" x14ac:dyDescent="0.25">
      <c r="A32" s="585" t="s">
        <v>20</v>
      </c>
      <c r="B32" s="526" t="s">
        <v>44</v>
      </c>
      <c r="C32" s="539"/>
      <c r="D32" s="535"/>
      <c r="E32" s="556"/>
    </row>
    <row r="33" spans="1:5" x14ac:dyDescent="0.25">
      <c r="A33" s="585" t="s">
        <v>45</v>
      </c>
      <c r="B33" s="526" t="s">
        <v>46</v>
      </c>
      <c r="C33" s="539"/>
      <c r="D33" s="535"/>
      <c r="E33" s="556"/>
    </row>
    <row r="34" spans="1:5" x14ac:dyDescent="0.25">
      <c r="A34" s="585" t="s">
        <v>47</v>
      </c>
      <c r="B34" s="526" t="s">
        <v>48</v>
      </c>
      <c r="C34" s="534"/>
      <c r="D34" s="535"/>
      <c r="E34" s="555"/>
    </row>
    <row r="35" spans="1:5" x14ac:dyDescent="0.25">
      <c r="A35" s="585" t="s">
        <v>49</v>
      </c>
      <c r="B35" s="526" t="s">
        <v>50</v>
      </c>
      <c r="C35" s="539"/>
      <c r="D35" s="535"/>
      <c r="E35" s="556"/>
    </row>
    <row r="36" spans="1:5" x14ac:dyDescent="0.25">
      <c r="A36" s="585" t="s">
        <v>51</v>
      </c>
      <c r="B36" s="526" t="s">
        <v>52</v>
      </c>
      <c r="C36" s="534"/>
      <c r="D36" s="535">
        <v>42.8</v>
      </c>
      <c r="E36" s="527"/>
    </row>
    <row r="37" spans="1:5" x14ac:dyDescent="0.25">
      <c r="A37" s="585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84" t="s">
        <v>632</v>
      </c>
      <c r="B38" s="541" t="s">
        <v>633</v>
      </c>
      <c r="C38" s="534"/>
      <c r="D38" s="535">
        <f>D29*0.05</f>
        <v>66.850000000000009</v>
      </c>
      <c r="E38" s="527"/>
    </row>
    <row r="39" spans="1:5" x14ac:dyDescent="0.25">
      <c r="A39" s="744" t="s">
        <v>55</v>
      </c>
      <c r="B39" s="745"/>
      <c r="C39" s="17"/>
      <c r="D39" s="23">
        <f>ROUND(SUM(D29:D38),2)</f>
        <v>1446.65</v>
      </c>
      <c r="E39" s="1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83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585" t="s">
        <v>13</v>
      </c>
      <c r="B43" s="547" t="s">
        <v>59</v>
      </c>
      <c r="C43" s="535">
        <v>3.3</v>
      </c>
      <c r="D43" s="535">
        <f>ROUND((C43*44)-(D29*6%),2)</f>
        <v>64.98</v>
      </c>
      <c r="E43" s="557"/>
    </row>
    <row r="44" spans="1:5" ht="13.5" customHeight="1" x14ac:dyDescent="0.25">
      <c r="A44" s="585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585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585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585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585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362.98</v>
      </c>
      <c r="E49" s="554"/>
    </row>
    <row r="50" spans="1:5" ht="13.5" customHeight="1" x14ac:dyDescent="0.25">
      <c r="A50" s="552"/>
      <c r="B50" s="543"/>
      <c r="C50" s="544"/>
      <c r="D50" s="545"/>
      <c r="E50" s="554"/>
    </row>
    <row r="51" spans="1:5" ht="13.5" customHeight="1" x14ac:dyDescent="0.2">
      <c r="A51" s="773" t="s">
        <v>66</v>
      </c>
      <c r="B51" s="774"/>
      <c r="C51" s="774"/>
      <c r="D51" s="775"/>
      <c r="E51" s="554"/>
    </row>
    <row r="52" spans="1:5" ht="13.5" customHeight="1" x14ac:dyDescent="0.2">
      <c r="A52" s="583">
        <v>3</v>
      </c>
      <c r="B52" s="546" t="s">
        <v>67</v>
      </c>
      <c r="C52" s="532" t="s">
        <v>68</v>
      </c>
      <c r="D52" s="533" t="s">
        <v>40</v>
      </c>
      <c r="E52" s="554"/>
    </row>
    <row r="53" spans="1:5" x14ac:dyDescent="0.25">
      <c r="A53" s="585" t="s">
        <v>13</v>
      </c>
      <c r="B53" s="526" t="s">
        <v>69</v>
      </c>
      <c r="C53" s="561">
        <f>'Uniforme 1'!D23</f>
        <v>51.875</v>
      </c>
      <c r="D53" s="535">
        <f>ROUND(C53*$C$29,2)</f>
        <v>51.88</v>
      </c>
      <c r="E53" s="554"/>
    </row>
    <row r="54" spans="1:5" x14ac:dyDescent="0.25">
      <c r="A54" s="585" t="s">
        <v>15</v>
      </c>
      <c r="B54" s="541" t="s">
        <v>70</v>
      </c>
      <c r="C54" s="562">
        <v>0</v>
      </c>
      <c r="D54" s="535">
        <v>0</v>
      </c>
      <c r="E54" s="550"/>
    </row>
    <row r="55" spans="1:5" x14ac:dyDescent="0.25">
      <c r="A55" s="582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582" t="s">
        <v>20</v>
      </c>
      <c r="B56" s="32" t="s">
        <v>72</v>
      </c>
      <c r="C56" s="18">
        <v>0</v>
      </c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581" t="s">
        <v>13</v>
      </c>
      <c r="B61" s="32" t="s">
        <v>76</v>
      </c>
      <c r="C61" s="29">
        <v>0.2</v>
      </c>
      <c r="D61" s="18">
        <f>ROUND($D$39*C61,2)</f>
        <v>289.33</v>
      </c>
    </row>
    <row r="62" spans="1:5" x14ac:dyDescent="0.25">
      <c r="A62" s="581" t="s">
        <v>15</v>
      </c>
      <c r="B62" s="32" t="s">
        <v>77</v>
      </c>
      <c r="C62" s="29">
        <v>1.4999999999999999E-2</v>
      </c>
      <c r="D62" s="18">
        <f>ROUND($D$39*C62,2)</f>
        <v>21.7</v>
      </c>
    </row>
    <row r="63" spans="1:5" x14ac:dyDescent="0.25">
      <c r="A63" s="581" t="s">
        <v>18</v>
      </c>
      <c r="B63" s="32" t="s">
        <v>78</v>
      </c>
      <c r="C63" s="29">
        <v>0.01</v>
      </c>
      <c r="D63" s="18">
        <f t="shared" ref="D63:D68" si="0">ROUND($D$39*C63,2)</f>
        <v>14.47</v>
      </c>
    </row>
    <row r="64" spans="1:5" x14ac:dyDescent="0.25">
      <c r="A64" s="581" t="s">
        <v>20</v>
      </c>
      <c r="B64" s="32" t="s">
        <v>79</v>
      </c>
      <c r="C64" s="29">
        <v>2E-3</v>
      </c>
      <c r="D64" s="18">
        <f t="shared" si="0"/>
        <v>2.89</v>
      </c>
    </row>
    <row r="65" spans="1:6" x14ac:dyDescent="0.25">
      <c r="A65" s="581" t="s">
        <v>45</v>
      </c>
      <c r="B65" s="32" t="s">
        <v>80</v>
      </c>
      <c r="C65" s="29">
        <v>2.5000000000000001E-2</v>
      </c>
      <c r="D65" s="18">
        <f t="shared" si="0"/>
        <v>36.17</v>
      </c>
    </row>
    <row r="66" spans="1:6" x14ac:dyDescent="0.25">
      <c r="A66" s="581" t="s">
        <v>47</v>
      </c>
      <c r="B66" s="32" t="s">
        <v>81</v>
      </c>
      <c r="C66" s="29">
        <v>0.08</v>
      </c>
      <c r="D66" s="18">
        <f t="shared" si="0"/>
        <v>115.73</v>
      </c>
    </row>
    <row r="67" spans="1:6" x14ac:dyDescent="0.25">
      <c r="A67" s="581" t="s">
        <v>49</v>
      </c>
      <c r="B67" s="32" t="s">
        <v>82</v>
      </c>
      <c r="C67" s="29">
        <f>2%*F71</f>
        <v>0.03</v>
      </c>
      <c r="D67" s="18">
        <f t="shared" si="0"/>
        <v>43.4</v>
      </c>
    </row>
    <row r="68" spans="1:6" x14ac:dyDescent="0.25">
      <c r="A68" s="581" t="s">
        <v>51</v>
      </c>
      <c r="B68" s="32" t="s">
        <v>83</v>
      </c>
      <c r="C68" s="29">
        <v>6.0000000000000001E-3</v>
      </c>
      <c r="D68" s="18">
        <f t="shared" si="0"/>
        <v>8.68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532.37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581" t="s">
        <v>13</v>
      </c>
      <c r="B72" s="32" t="s">
        <v>87</v>
      </c>
      <c r="C72" s="29">
        <v>8.3299999999999999E-2</v>
      </c>
      <c r="D72" s="18">
        <f>ROUND($D$39*C72,2)</f>
        <v>120.51</v>
      </c>
    </row>
    <row r="73" spans="1:6" x14ac:dyDescent="0.25">
      <c r="A73" s="581" t="s">
        <v>15</v>
      </c>
      <c r="B73" s="32" t="s">
        <v>88</v>
      </c>
      <c r="C73" s="29">
        <f>C88/3</f>
        <v>2.7766666666666665E-2</v>
      </c>
      <c r="D73" s="18">
        <f>ROUND($D$39*C73,2)</f>
        <v>40.17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160.68</v>
      </c>
    </row>
    <row r="75" spans="1:6" x14ac:dyDescent="0.25">
      <c r="A75" s="581" t="s">
        <v>18</v>
      </c>
      <c r="B75" s="32" t="s">
        <v>90</v>
      </c>
      <c r="C75" s="29">
        <f>C69*C74</f>
        <v>4.0872533333333343E-2</v>
      </c>
      <c r="D75" s="18">
        <f>ROUND($D$39*C75,2)</f>
        <v>59.13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219.81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581" t="s">
        <v>13</v>
      </c>
      <c r="B79" s="32" t="s">
        <v>93</v>
      </c>
      <c r="C79" s="29">
        <v>1E-3</v>
      </c>
      <c r="D79" s="18">
        <f t="shared" ref="D79:D84" si="1">ROUND($D$39*C79,2)</f>
        <v>1.45</v>
      </c>
    </row>
    <row r="80" spans="1:6" x14ac:dyDescent="0.25">
      <c r="A80" s="581" t="s">
        <v>15</v>
      </c>
      <c r="B80" s="32" t="s">
        <v>94</v>
      </c>
      <c r="C80" s="29">
        <f>C66*C79</f>
        <v>8.0000000000000007E-5</v>
      </c>
      <c r="D80" s="18">
        <f t="shared" si="1"/>
        <v>0.12</v>
      </c>
    </row>
    <row r="81" spans="1:5" x14ac:dyDescent="0.25">
      <c r="A81" s="581" t="s">
        <v>18</v>
      </c>
      <c r="B81" s="32" t="s">
        <v>95</v>
      </c>
      <c r="C81" s="29">
        <f>C66*10%</f>
        <v>8.0000000000000002E-3</v>
      </c>
      <c r="D81" s="18">
        <f t="shared" si="1"/>
        <v>11.57</v>
      </c>
    </row>
    <row r="82" spans="1:5" x14ac:dyDescent="0.25">
      <c r="A82" s="582" t="s">
        <v>20</v>
      </c>
      <c r="B82" s="8" t="s">
        <v>96</v>
      </c>
      <c r="C82" s="29">
        <v>1.9400000000000001E-2</v>
      </c>
      <c r="D82" s="18">
        <f t="shared" si="1"/>
        <v>28.07</v>
      </c>
    </row>
    <row r="83" spans="1:5" x14ac:dyDescent="0.25">
      <c r="A83" s="582" t="s">
        <v>45</v>
      </c>
      <c r="B83" s="8" t="s">
        <v>97</v>
      </c>
      <c r="C83" s="29">
        <f>C69*C82</f>
        <v>7.1392000000000027E-3</v>
      </c>
      <c r="D83" s="18">
        <f t="shared" si="1"/>
        <v>10.33</v>
      </c>
    </row>
    <row r="84" spans="1:5" x14ac:dyDescent="0.25">
      <c r="A84" s="582" t="s">
        <v>47</v>
      </c>
      <c r="B84" s="8" t="s">
        <v>98</v>
      </c>
      <c r="C84" s="29">
        <v>4.4200000000000003E-2</v>
      </c>
      <c r="D84" s="18">
        <f t="shared" si="1"/>
        <v>63.94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115.48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582" t="s">
        <v>13</v>
      </c>
      <c r="B88" s="8" t="s">
        <v>100</v>
      </c>
      <c r="C88" s="29">
        <v>8.3299999999999999E-2</v>
      </c>
      <c r="D88" s="18">
        <f t="shared" ref="D88:D95" si="2">ROUND($D$39*C88,2)</f>
        <v>120.51</v>
      </c>
      <c r="E88" s="60"/>
    </row>
    <row r="89" spans="1:5" x14ac:dyDescent="0.25">
      <c r="A89" s="582" t="s">
        <v>15</v>
      </c>
      <c r="B89" s="8" t="s">
        <v>101</v>
      </c>
      <c r="C89" s="29">
        <v>2.3999999999999998E-3</v>
      </c>
      <c r="D89" s="18">
        <f t="shared" si="2"/>
        <v>3.47</v>
      </c>
    </row>
    <row r="90" spans="1:5" x14ac:dyDescent="0.25">
      <c r="A90" s="582" t="s">
        <v>18</v>
      </c>
      <c r="B90" s="32" t="s">
        <v>102</v>
      </c>
      <c r="C90" s="29">
        <v>2.0000000000000001E-4</v>
      </c>
      <c r="D90" s="18">
        <f t="shared" si="2"/>
        <v>0.28999999999999998</v>
      </c>
    </row>
    <row r="91" spans="1:5" x14ac:dyDescent="0.25">
      <c r="A91" s="582" t="s">
        <v>20</v>
      </c>
      <c r="B91" s="8" t="s">
        <v>103</v>
      </c>
      <c r="C91" s="29">
        <v>1.4E-3</v>
      </c>
      <c r="D91" s="18">
        <f t="shared" si="2"/>
        <v>2.0299999999999998</v>
      </c>
    </row>
    <row r="92" spans="1:5" x14ac:dyDescent="0.25">
      <c r="A92" s="582" t="s">
        <v>45</v>
      </c>
      <c r="B92" s="8" t="s">
        <v>104</v>
      </c>
      <c r="C92" s="29">
        <v>4.0000000000000002E-4</v>
      </c>
      <c r="D92" s="18">
        <f t="shared" si="2"/>
        <v>0.57999999999999996</v>
      </c>
    </row>
    <row r="93" spans="1:5" x14ac:dyDescent="0.25">
      <c r="A93" s="582" t="s">
        <v>47</v>
      </c>
      <c r="B93" s="32" t="s">
        <v>105</v>
      </c>
      <c r="C93" s="29">
        <v>2.0000000000000001E-4</v>
      </c>
      <c r="D93" s="18">
        <f t="shared" si="2"/>
        <v>0.28999999999999998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127.16</v>
      </c>
    </row>
    <row r="95" spans="1:5" x14ac:dyDescent="0.25">
      <c r="A95" s="582" t="s">
        <v>49</v>
      </c>
      <c r="B95" s="8" t="s">
        <v>106</v>
      </c>
      <c r="C95" s="29">
        <f>C69*C94</f>
        <v>3.2347200000000013E-2</v>
      </c>
      <c r="D95" s="18">
        <f t="shared" si="2"/>
        <v>46.8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173.96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578">
        <v>4</v>
      </c>
      <c r="B99" s="740" t="s">
        <v>108</v>
      </c>
      <c r="C99" s="740"/>
      <c r="D99" s="16" t="s">
        <v>40</v>
      </c>
    </row>
    <row r="100" spans="1:5" x14ac:dyDescent="0.25">
      <c r="A100" s="582" t="s">
        <v>109</v>
      </c>
      <c r="B100" s="37" t="s">
        <v>110</v>
      </c>
      <c r="C100" s="38">
        <f>C76</f>
        <v>0.1519392</v>
      </c>
      <c r="D100" s="18">
        <f>ROUND($D$39*C100,2)</f>
        <v>219.8</v>
      </c>
      <c r="E100" s="60"/>
    </row>
    <row r="101" spans="1:5" x14ac:dyDescent="0.25">
      <c r="A101" s="582" t="s">
        <v>111</v>
      </c>
      <c r="B101" s="37" t="s">
        <v>112</v>
      </c>
      <c r="C101" s="38">
        <f>C69</f>
        <v>0.3680000000000001</v>
      </c>
      <c r="D101" s="18">
        <f>ROUND($D$39*C101,2)</f>
        <v>532.37</v>
      </c>
    </row>
    <row r="102" spans="1:5" x14ac:dyDescent="0.25">
      <c r="A102" s="581" t="s">
        <v>113</v>
      </c>
      <c r="B102" s="37" t="s">
        <v>114</v>
      </c>
      <c r="C102" s="38">
        <f>C85</f>
        <v>7.9819200000000007E-2</v>
      </c>
      <c r="D102" s="18">
        <f>ROUND($D$39*C102,2)</f>
        <v>115.47</v>
      </c>
    </row>
    <row r="103" spans="1:5" x14ac:dyDescent="0.25">
      <c r="A103" s="581" t="s">
        <v>115</v>
      </c>
      <c r="B103" s="37" t="s">
        <v>116</v>
      </c>
      <c r="C103" s="38">
        <f>C96</f>
        <v>0.12024720000000003</v>
      </c>
      <c r="D103" s="18">
        <f>ROUND($D$39*C103,2)</f>
        <v>173.96</v>
      </c>
    </row>
    <row r="104" spans="1:5" x14ac:dyDescent="0.25">
      <c r="A104" s="581" t="s">
        <v>117</v>
      </c>
      <c r="B104" s="37" t="s">
        <v>118</v>
      </c>
      <c r="C104" s="579"/>
      <c r="D104" s="18"/>
    </row>
    <row r="105" spans="1:5" ht="12.75" x14ac:dyDescent="0.2">
      <c r="A105" s="582"/>
      <c r="B105" s="580" t="s">
        <v>91</v>
      </c>
      <c r="C105" s="41">
        <f>SUM(C100:C104)</f>
        <v>0.72000560000000002</v>
      </c>
      <c r="D105" s="23">
        <f>ROUND($D$39*C105,2)</f>
        <v>1041.5999999999999</v>
      </c>
    </row>
    <row r="106" spans="1:5" x14ac:dyDescent="0.25">
      <c r="D106" s="42">
        <f>ROUND(D105+D57+D49+D39,2)</f>
        <v>2903.11</v>
      </c>
    </row>
    <row r="107" spans="1:5" ht="12.75" x14ac:dyDescent="0.2">
      <c r="A107" s="578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582" t="s">
        <v>13</v>
      </c>
      <c r="B108" s="8" t="s">
        <v>120</v>
      </c>
      <c r="C108" s="29">
        <v>0.01</v>
      </c>
      <c r="D108" s="18">
        <f>ROUND($D$106*C108,2)</f>
        <v>29.03</v>
      </c>
    </row>
    <row r="109" spans="1:5" x14ac:dyDescent="0.25">
      <c r="A109" s="582" t="s">
        <v>15</v>
      </c>
      <c r="B109" s="8" t="s">
        <v>121</v>
      </c>
      <c r="C109" s="29"/>
      <c r="D109" s="18"/>
      <c r="E109" s="58"/>
    </row>
    <row r="110" spans="1:5" x14ac:dyDescent="0.25">
      <c r="A110" s="585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585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585" t="s">
        <v>126</v>
      </c>
      <c r="B112" s="8" t="s">
        <v>127</v>
      </c>
      <c r="C112" s="29">
        <v>1.6500000000000001E-2</v>
      </c>
      <c r="D112" s="18">
        <f>ROUND($F$115*C112,2)</f>
        <v>56.7</v>
      </c>
    </row>
    <row r="113" spans="1:9" x14ac:dyDescent="0.25">
      <c r="A113" s="585" t="s">
        <v>128</v>
      </c>
      <c r="B113" s="8" t="s">
        <v>129</v>
      </c>
      <c r="C113" s="29">
        <v>7.5999999999999998E-2</v>
      </c>
      <c r="D113" s="18">
        <f>ROUND($F$115*C113,2)</f>
        <v>261.17</v>
      </c>
      <c r="F113" s="61">
        <f>SUM(C110:C114)</f>
        <v>0.14250000000000002</v>
      </c>
    </row>
    <row r="114" spans="1:9" x14ac:dyDescent="0.25">
      <c r="A114" s="585" t="s">
        <v>130</v>
      </c>
      <c r="B114" s="8" t="s">
        <v>131</v>
      </c>
      <c r="C114" s="45">
        <v>0.05</v>
      </c>
      <c r="D114" s="18">
        <f>ROUND($F$115*C114,2)</f>
        <v>171.83</v>
      </c>
      <c r="F114" s="62">
        <f>ROUND(D115+D108+D106,2)</f>
        <v>2946.8</v>
      </c>
    </row>
    <row r="115" spans="1:9" x14ac:dyDescent="0.25">
      <c r="A115" s="582" t="s">
        <v>18</v>
      </c>
      <c r="B115" s="8" t="s">
        <v>132</v>
      </c>
      <c r="C115" s="29">
        <v>5.0000000000000001E-3</v>
      </c>
      <c r="D115" s="18">
        <f>ROUND(($D$106+D108)*C115,2)</f>
        <v>14.66</v>
      </c>
      <c r="F115" s="63">
        <f>ROUND(F114/(1-F113),2)</f>
        <v>3436.5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533.39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582" t="s">
        <v>13</v>
      </c>
      <c r="B120" s="731" t="s">
        <v>135</v>
      </c>
      <c r="C120" s="731"/>
      <c r="D120" s="18">
        <f>D39</f>
        <v>1446.65</v>
      </c>
    </row>
    <row r="121" spans="1:9" x14ac:dyDescent="0.25">
      <c r="A121" s="582" t="s">
        <v>15</v>
      </c>
      <c r="B121" s="731" t="s">
        <v>136</v>
      </c>
      <c r="C121" s="731"/>
      <c r="D121" s="18">
        <f>D49</f>
        <v>362.98</v>
      </c>
    </row>
    <row r="122" spans="1:9" x14ac:dyDescent="0.25">
      <c r="A122" s="582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582" t="s">
        <v>20</v>
      </c>
      <c r="B123" s="731" t="s">
        <v>138</v>
      </c>
      <c r="C123" s="731"/>
      <c r="D123" s="18">
        <f>D105</f>
        <v>1041.5999999999999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2903.11</v>
      </c>
    </row>
    <row r="125" spans="1:9" ht="18.75" x14ac:dyDescent="0.3">
      <c r="A125" s="582" t="s">
        <v>45</v>
      </c>
      <c r="B125" s="751" t="s">
        <v>139</v>
      </c>
      <c r="C125" s="751"/>
      <c r="D125" s="18">
        <f>D116</f>
        <v>533.39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3436.5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3436.5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3436.5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3436.5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582" t="s">
        <v>13</v>
      </c>
      <c r="B137" s="731" t="s">
        <v>149</v>
      </c>
      <c r="C137" s="731"/>
      <c r="D137" s="18">
        <f>D130</f>
        <v>3436.5</v>
      </c>
    </row>
    <row r="138" spans="1:9" x14ac:dyDescent="0.25">
      <c r="A138" s="582" t="s">
        <v>15</v>
      </c>
      <c r="B138" s="731" t="s">
        <v>150</v>
      </c>
      <c r="C138" s="731"/>
      <c r="D138" s="18">
        <f>D134</f>
        <v>3436.5</v>
      </c>
    </row>
    <row r="139" spans="1:9" ht="12.75" x14ac:dyDescent="0.2">
      <c r="A139" s="578" t="s">
        <v>18</v>
      </c>
      <c r="B139" s="740" t="s">
        <v>151</v>
      </c>
      <c r="C139" s="740"/>
      <c r="D139" s="23">
        <f>ROUND(D138*12,2)</f>
        <v>41238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06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5" ht="12.75" x14ac:dyDescent="0.2">
      <c r="A1" s="759" t="s">
        <v>9</v>
      </c>
      <c r="B1" s="759"/>
      <c r="C1" s="759"/>
      <c r="D1" s="759"/>
      <c r="E1" s="527"/>
    </row>
    <row r="2" spans="1:5" x14ac:dyDescent="0.25">
      <c r="A2" s="543"/>
      <c r="B2" s="543"/>
      <c r="C2" s="544"/>
      <c r="D2" s="545"/>
      <c r="E2" s="527"/>
    </row>
    <row r="3" spans="1:5" x14ac:dyDescent="0.25">
      <c r="A3" s="543"/>
      <c r="B3" s="543"/>
      <c r="C3" s="544"/>
      <c r="D3" s="545"/>
      <c r="E3" s="527"/>
    </row>
    <row r="4" spans="1:5" x14ac:dyDescent="0.25">
      <c r="A4" s="527" t="s">
        <v>487</v>
      </c>
      <c r="B4" s="543"/>
      <c r="C4" s="544"/>
      <c r="D4" s="545"/>
      <c r="E4" s="527"/>
    </row>
    <row r="5" spans="1:5" x14ac:dyDescent="0.25">
      <c r="A5" s="527" t="s">
        <v>488</v>
      </c>
      <c r="B5" s="543"/>
      <c r="C5" s="544"/>
      <c r="D5" s="545"/>
      <c r="E5" s="527"/>
    </row>
    <row r="6" spans="1:5" x14ac:dyDescent="0.25">
      <c r="A6" s="543"/>
      <c r="B6" s="543"/>
      <c r="C6" s="558" t="s">
        <v>10</v>
      </c>
      <c r="D6" s="559" t="s">
        <v>11</v>
      </c>
      <c r="E6" s="527"/>
    </row>
    <row r="7" spans="1:5" ht="12.75" x14ac:dyDescent="0.2">
      <c r="A7" s="760" t="s">
        <v>12</v>
      </c>
      <c r="B7" s="760"/>
      <c r="C7" s="760"/>
      <c r="D7" s="760"/>
      <c r="E7" s="527"/>
    </row>
    <row r="8" spans="1:5" ht="12.75" x14ac:dyDescent="0.2">
      <c r="A8" s="43" t="s">
        <v>13</v>
      </c>
      <c r="B8" s="526" t="s">
        <v>14</v>
      </c>
      <c r="C8" s="761">
        <v>41094</v>
      </c>
      <c r="D8" s="758"/>
      <c r="E8" s="527"/>
    </row>
    <row r="9" spans="1:5" ht="12.75" x14ac:dyDescent="0.2">
      <c r="A9" s="43" t="s">
        <v>15</v>
      </c>
      <c r="B9" s="526" t="s">
        <v>16</v>
      </c>
      <c r="C9" s="760" t="s">
        <v>17</v>
      </c>
      <c r="D9" s="760"/>
      <c r="E9" s="527"/>
    </row>
    <row r="10" spans="1:5" ht="12.75" x14ac:dyDescent="0.2">
      <c r="A10" s="43" t="s">
        <v>18</v>
      </c>
      <c r="B10" s="526" t="s">
        <v>19</v>
      </c>
      <c r="C10" s="782">
        <v>2012</v>
      </c>
      <c r="D10" s="782"/>
      <c r="E10" s="527"/>
    </row>
    <row r="11" spans="1:5" ht="12.75" x14ac:dyDescent="0.2">
      <c r="A11" s="43" t="s">
        <v>20</v>
      </c>
      <c r="B11" s="526" t="s">
        <v>21</v>
      </c>
      <c r="C11" s="757" t="s">
        <v>0</v>
      </c>
      <c r="D11" s="758"/>
      <c r="E11" s="527"/>
    </row>
    <row r="12" spans="1:5" x14ac:dyDescent="0.25">
      <c r="A12" s="543"/>
      <c r="B12" s="543"/>
      <c r="C12" s="544"/>
      <c r="D12" s="545"/>
      <c r="E12" s="527"/>
    </row>
    <row r="13" spans="1:5" ht="12.75" x14ac:dyDescent="0.2">
      <c r="A13" s="760" t="s">
        <v>22</v>
      </c>
      <c r="B13" s="760"/>
      <c r="C13" s="760"/>
      <c r="D13" s="760"/>
      <c r="E13" s="527"/>
    </row>
    <row r="14" spans="1:5" ht="12.75" x14ac:dyDescent="0.2">
      <c r="A14" s="762" t="s">
        <v>23</v>
      </c>
      <c r="B14" s="762"/>
      <c r="C14" s="757" t="s">
        <v>494</v>
      </c>
      <c r="D14" s="758"/>
      <c r="E14" s="527"/>
    </row>
    <row r="15" spans="1:5" ht="12.75" x14ac:dyDescent="0.2">
      <c r="A15" s="762" t="s">
        <v>24</v>
      </c>
      <c r="B15" s="762"/>
      <c r="C15" s="757" t="s">
        <v>25</v>
      </c>
      <c r="D15" s="758"/>
      <c r="E15" s="527"/>
    </row>
    <row r="16" spans="1:5" ht="12.75" x14ac:dyDescent="0.2">
      <c r="A16" s="762" t="s">
        <v>26</v>
      </c>
      <c r="B16" s="762"/>
      <c r="C16" s="758">
        <v>1</v>
      </c>
      <c r="D16" s="758"/>
      <c r="E16" s="527"/>
    </row>
    <row r="17" spans="1:5" ht="12.75" x14ac:dyDescent="0.2">
      <c r="A17" s="763" t="s">
        <v>27</v>
      </c>
      <c r="B17" s="764"/>
      <c r="C17" s="758" t="s">
        <v>28</v>
      </c>
      <c r="D17" s="758"/>
      <c r="E17" s="527"/>
    </row>
    <row r="18" spans="1:5" x14ac:dyDescent="0.25">
      <c r="A18" s="560"/>
      <c r="B18" s="543"/>
      <c r="C18" s="544"/>
      <c r="D18" s="545"/>
      <c r="E18" s="527"/>
    </row>
    <row r="19" spans="1:5" ht="12.75" x14ac:dyDescent="0.2">
      <c r="A19" s="759" t="s">
        <v>29</v>
      </c>
      <c r="B19" s="759"/>
      <c r="C19" s="759"/>
      <c r="D19" s="759"/>
      <c r="E19" s="527"/>
    </row>
    <row r="20" spans="1:5" ht="12.75" x14ac:dyDescent="0.2">
      <c r="A20" s="759" t="s">
        <v>30</v>
      </c>
      <c r="B20" s="759"/>
      <c r="C20" s="759"/>
      <c r="D20" s="759"/>
      <c r="E20" s="527"/>
    </row>
    <row r="21" spans="1:5" ht="12.75" x14ac:dyDescent="0.2">
      <c r="A21" s="765" t="s">
        <v>31</v>
      </c>
      <c r="B21" s="766"/>
      <c r="C21" s="766"/>
      <c r="D21" s="767"/>
      <c r="E21" s="527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27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2013'!J7</f>
        <v>875.73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43.786500000000004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919.52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92.66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390.66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7" t="s">
        <v>13</v>
      </c>
      <c r="B53" s="8" t="s">
        <v>69</v>
      </c>
      <c r="C53" s="31">
        <v>34.5</v>
      </c>
      <c r="D53" s="18">
        <f>ROUND(C53*$C$29,2)</f>
        <v>34.5</v>
      </c>
    </row>
    <row r="54" spans="1:5" x14ac:dyDescent="0.25">
      <c r="A54" s="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7" t="s">
        <v>20</v>
      </c>
      <c r="B56" s="32" t="s">
        <v>72</v>
      </c>
      <c r="C56" s="18">
        <v>5</v>
      </c>
      <c r="D56" s="18"/>
      <c r="E56" s="28"/>
    </row>
    <row r="57" spans="1:5" x14ac:dyDescent="0.25">
      <c r="A57" s="744" t="s">
        <v>73</v>
      </c>
      <c r="B57" s="745"/>
      <c r="C57" s="29"/>
      <c r="D57" s="23">
        <f>ROUND(SUM(D53:D56),2)</f>
        <v>34.5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183.9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13.79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9.1999999999999993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1.84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22.99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73.56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27.59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5.52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338.39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76.599999999999994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25.53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102.13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37.58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139.71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0.92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7.36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17.84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6.56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40.64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73.39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76.599999999999994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2.21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0.18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1.29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0.18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80.83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29.74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110.57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139.71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338.38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73.400000000000006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110.57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662.06</v>
      </c>
    </row>
    <row r="106" spans="1:5" x14ac:dyDescent="0.25">
      <c r="D106" s="42">
        <f>ROUND(D105+D57+D49+D39,2)</f>
        <v>2006.74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20.07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37.869999999999997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174.43</v>
      </c>
      <c r="F113" s="44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45.9</v>
      </c>
      <c r="F114" s="46">
        <f>ROUND(D115+D108+D106,2)</f>
        <v>2036.94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10.130000000000001</v>
      </c>
      <c r="F115" s="47">
        <f>ROUND(F114/(1-F113),2)</f>
        <v>2295.14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288.39999999999998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919.52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390.66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34.5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662.06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2006.74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288.39999999999998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2295.14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2295.14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2295.14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f>C16</f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2295.14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7" t="s">
        <v>13</v>
      </c>
      <c r="B137" s="731" t="s">
        <v>149</v>
      </c>
      <c r="C137" s="731"/>
      <c r="D137" s="18">
        <f>D130</f>
        <v>2295.14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2295.14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27541.68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07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494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2013'!J7</f>
        <v>875.73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43.786500000000004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919.52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92.66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390.66</v>
      </c>
      <c r="E49" s="527"/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31">
        <v>34.5</v>
      </c>
      <c r="D53" s="18">
        <f>ROUND(C53*$C$29,2)</f>
        <v>34.5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5</v>
      </c>
      <c r="D56" s="18"/>
      <c r="E56" s="28"/>
    </row>
    <row r="57" spans="1:5" x14ac:dyDescent="0.25">
      <c r="A57" s="744" t="s">
        <v>73</v>
      </c>
      <c r="B57" s="745"/>
      <c r="C57" s="29"/>
      <c r="D57" s="23">
        <f>ROUND(SUM(D53:D56),2)</f>
        <v>34.5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183.9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13.79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9.1999999999999993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1.84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22.99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73.56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27.59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5.52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338.39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76.599999999999994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25.53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102.13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37.58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139.71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0.92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7.36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17.84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6.56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40.64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73.39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76.599999999999994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2.21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0.18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1.29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0.18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80.83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29.74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110.57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139.71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338.38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73.400000000000006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110.57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662.06</v>
      </c>
    </row>
    <row r="106" spans="1:5" x14ac:dyDescent="0.25">
      <c r="D106" s="42">
        <f>ROUND(D105+D57+D49+D39,2)</f>
        <v>2006.74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20.07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38.299999999999997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176.42</v>
      </c>
      <c r="F113" s="44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69.64</v>
      </c>
      <c r="F114" s="46">
        <f>ROUND(D115+D108+D106,2)</f>
        <v>2036.94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10.130000000000001</v>
      </c>
      <c r="F115" s="47">
        <f>ROUND(F114/(1-F113),2)</f>
        <v>2321.3000000000002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314.56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919.52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390.66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34.5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662.06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2006.74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314.56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2321.3000000000002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2321.3000000000002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2321.3000000000002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f>C16</f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2321.3000000000002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2321.3000000000002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2321.3000000000002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27855.599999999999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0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494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2013'!J7</f>
        <v>875.73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43.786500000000004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919.52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92.66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390.66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31">
        <v>34.5</v>
      </c>
      <c r="D53" s="18">
        <f>ROUND(C53*$C$29,2)</f>
        <v>34.5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5</v>
      </c>
      <c r="D56" s="18"/>
      <c r="E56" s="28"/>
    </row>
    <row r="57" spans="1:5" x14ac:dyDescent="0.25">
      <c r="A57" s="744" t="s">
        <v>73</v>
      </c>
      <c r="B57" s="745"/>
      <c r="C57" s="29"/>
      <c r="D57" s="23">
        <f>ROUND(SUM(D53:D56),2)</f>
        <v>34.5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183.9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13.79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9.1999999999999993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1.84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22.99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73.56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27.59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5.52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338.39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76.599999999999994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25.53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102.13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37.58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139.71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0.92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7.36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17.84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6.56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40.64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73.39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76.599999999999994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2.21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0.18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1.29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0.18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80.83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29.74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110.57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139.71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338.38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73.400000000000006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110.57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662.06</v>
      </c>
    </row>
    <row r="106" spans="1:5" x14ac:dyDescent="0.25">
      <c r="D106" s="42">
        <f>ROUND(D105+D57+D49+D39,2)</f>
        <v>2006.74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20.07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38.74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178.45</v>
      </c>
      <c r="F113" s="44">
        <f>SUM(C110:C114)</f>
        <v>0.13250000000000001</v>
      </c>
    </row>
    <row r="114" spans="1:9" x14ac:dyDescent="0.25">
      <c r="A114" s="43" t="s">
        <v>130</v>
      </c>
      <c r="B114" s="8" t="s">
        <v>131</v>
      </c>
      <c r="C114" s="45">
        <v>0.04</v>
      </c>
      <c r="D114" s="18">
        <f>ROUND($F$115*C114,2)</f>
        <v>93.92</v>
      </c>
      <c r="F114" s="46">
        <f>ROUND(D115+D108+D106,2)</f>
        <v>2036.94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10.130000000000001</v>
      </c>
      <c r="F115" s="47">
        <f>ROUND(F114/(1-F113),2)</f>
        <v>2348.06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341.31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919.52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390.66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34.5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662.06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2006.74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341.31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2348.0500000000002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2348.0500000000002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2348.0500000000002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f>C16</f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2348.0500000000002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2348.0500000000002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2348.0500000000002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28176.6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1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494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2013'!J7</f>
        <v>875.73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43.786500000000004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919.52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92.66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390.66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31">
        <v>34.5</v>
      </c>
      <c r="D53" s="18">
        <f>ROUND(C53*$C$29,2)</f>
        <v>34.5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5</v>
      </c>
      <c r="D56" s="18"/>
      <c r="E56" s="28"/>
    </row>
    <row r="57" spans="1:5" x14ac:dyDescent="0.25">
      <c r="A57" s="744" t="s">
        <v>73</v>
      </c>
      <c r="B57" s="745"/>
      <c r="C57" s="29"/>
      <c r="D57" s="23">
        <f>ROUND(SUM(D53:D56),2)</f>
        <v>34.5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183.9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13.79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9.1999999999999993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1.84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22.99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73.56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27.59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5.52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338.39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76.599999999999994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25.53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102.13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37.58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139.71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0.92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7.36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17.84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6.56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40.64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73.39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76.599999999999994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2.21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0.18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1.29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0.18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80.83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29.74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110.57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139.71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338.38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73.400000000000006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110.57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662.06</v>
      </c>
    </row>
    <row r="106" spans="1:5" x14ac:dyDescent="0.25">
      <c r="D106" s="42">
        <f>ROUND(D105+D57+D49+D39,2)</f>
        <v>2006.74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20.07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39.19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180.53</v>
      </c>
      <c r="F113" s="44">
        <f>SUM(C110:C114)</f>
        <v>0.14250000000000002</v>
      </c>
    </row>
    <row r="114" spans="1:9" x14ac:dyDescent="0.25">
      <c r="A114" s="43" t="s">
        <v>130</v>
      </c>
      <c r="B114" s="8" t="s">
        <v>131</v>
      </c>
      <c r="C114" s="45">
        <v>0.05</v>
      </c>
      <c r="D114" s="18">
        <f>ROUND($F$115*C114,2)</f>
        <v>118.77</v>
      </c>
      <c r="F114" s="46">
        <f>ROUND(D115+D108+D106,2)</f>
        <v>2036.94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10.130000000000001</v>
      </c>
      <c r="F115" s="47">
        <f>ROUND(F114/(1-F113),2)</f>
        <v>2375.44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368.69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919.52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390.66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34.5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662.06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2006.74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368.69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2375.4299999999998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2375.4299999999998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2375.4299999999998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f>C16</f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2375.4299999999998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2375.4299999999998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2375.4299999999998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28505.16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07" zoomScaleNormal="85" zoomScaleSheetLayoutView="100" workbookViewId="0">
      <selection activeCell="C43" sqref="C43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5.710937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1" t="s">
        <v>13</v>
      </c>
      <c r="B8" s="8" t="s">
        <v>14</v>
      </c>
      <c r="C8" s="728">
        <v>41094</v>
      </c>
      <c r="D8" s="725"/>
    </row>
    <row r="9" spans="1:4" ht="12.75" x14ac:dyDescent="0.2">
      <c r="A9" s="71" t="s">
        <v>15</v>
      </c>
      <c r="B9" s="8" t="s">
        <v>16</v>
      </c>
      <c r="C9" s="729" t="s">
        <v>17</v>
      </c>
      <c r="D9" s="729"/>
    </row>
    <row r="10" spans="1:4" ht="12.75" x14ac:dyDescent="0.2">
      <c r="A10" s="71" t="s">
        <v>18</v>
      </c>
      <c r="B10" s="8" t="s">
        <v>19</v>
      </c>
      <c r="C10" s="728" t="s">
        <v>490</v>
      </c>
      <c r="D10" s="725"/>
    </row>
    <row r="11" spans="1:4" ht="12.75" x14ac:dyDescent="0.2">
      <c r="A11" s="71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495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6" ht="12.75" x14ac:dyDescent="0.2">
      <c r="A17" s="732" t="s">
        <v>27</v>
      </c>
      <c r="B17" s="733"/>
      <c r="C17" s="724" t="s">
        <v>486</v>
      </c>
      <c r="D17" s="725"/>
    </row>
    <row r="18" spans="1:6" x14ac:dyDescent="0.25">
      <c r="A18" s="66"/>
    </row>
    <row r="19" spans="1:6" ht="12.75" x14ac:dyDescent="0.2">
      <c r="A19" s="726" t="s">
        <v>29</v>
      </c>
      <c r="B19" s="726"/>
      <c r="C19" s="726"/>
      <c r="D19" s="726"/>
    </row>
    <row r="20" spans="1:6" ht="12.75" x14ac:dyDescent="0.2">
      <c r="A20" s="736" t="s">
        <v>30</v>
      </c>
      <c r="B20" s="736"/>
      <c r="C20" s="736"/>
      <c r="D20" s="736"/>
    </row>
    <row r="21" spans="1:6" ht="12.75" x14ac:dyDescent="0.2">
      <c r="A21" s="737" t="s">
        <v>31</v>
      </c>
      <c r="B21" s="738"/>
      <c r="C21" s="738"/>
      <c r="D21" s="739"/>
    </row>
    <row r="22" spans="1:6" ht="12.75" x14ac:dyDescent="0.2">
      <c r="A22" s="71">
        <v>1</v>
      </c>
      <c r="B22" s="8" t="s">
        <v>32</v>
      </c>
      <c r="C22" s="724" t="s">
        <v>489</v>
      </c>
      <c r="D22" s="725"/>
    </row>
    <row r="23" spans="1:6" x14ac:dyDescent="0.25">
      <c r="A23" s="71">
        <v>2</v>
      </c>
      <c r="B23" s="8" t="s">
        <v>33</v>
      </c>
      <c r="C23" s="784">
        <f>'REPACTUAÇÃO SIEMACO 2013'!J12</f>
        <v>1334</v>
      </c>
      <c r="D23" s="784"/>
    </row>
    <row r="24" spans="1:6" ht="12.75" x14ac:dyDescent="0.2">
      <c r="A24" s="71">
        <v>3</v>
      </c>
      <c r="B24" s="8" t="s">
        <v>34</v>
      </c>
      <c r="C24" s="724" t="s">
        <v>35</v>
      </c>
      <c r="D24" s="725"/>
    </row>
    <row r="25" spans="1:6" ht="12.75" x14ac:dyDescent="0.2">
      <c r="A25" s="71">
        <v>4</v>
      </c>
      <c r="B25" s="8" t="s">
        <v>36</v>
      </c>
      <c r="C25" s="728">
        <v>40909</v>
      </c>
      <c r="D25" s="725"/>
    </row>
    <row r="26" spans="1:6" ht="12.75" x14ac:dyDescent="0.2">
      <c r="A26" s="11"/>
      <c r="B26" s="12"/>
      <c r="C26" s="743"/>
      <c r="D26" s="743"/>
    </row>
    <row r="27" spans="1:6" ht="12.75" x14ac:dyDescent="0.2">
      <c r="A27" s="736" t="s">
        <v>37</v>
      </c>
      <c r="B27" s="736"/>
      <c r="C27" s="736"/>
      <c r="D27" s="736"/>
    </row>
    <row r="28" spans="1:6" ht="12.75" x14ac:dyDescent="0.2">
      <c r="A28" s="352">
        <v>1</v>
      </c>
      <c r="B28" s="14" t="s">
        <v>38</v>
      </c>
      <c r="C28" s="15" t="s">
        <v>39</v>
      </c>
      <c r="D28" s="16" t="s">
        <v>40</v>
      </c>
    </row>
    <row r="29" spans="1:6" x14ac:dyDescent="0.25">
      <c r="A29" s="353" t="s">
        <v>13</v>
      </c>
      <c r="B29" s="8" t="s">
        <v>41</v>
      </c>
      <c r="C29" s="355">
        <v>1</v>
      </c>
      <c r="D29" s="354">
        <f>'REPACTUAÇÃO SIEMACO 2013'!J12</f>
        <v>1334</v>
      </c>
      <c r="E29" s="357"/>
      <c r="F29" s="9">
        <f>5.14*200</f>
        <v>1028</v>
      </c>
    </row>
    <row r="30" spans="1:6" x14ac:dyDescent="0.25">
      <c r="A30" s="353" t="s">
        <v>15</v>
      </c>
      <c r="B30" s="32" t="s">
        <v>507</v>
      </c>
      <c r="C30" s="20">
        <v>0.05</v>
      </c>
      <c r="D30" s="18">
        <f>C30*D29</f>
        <v>66.7</v>
      </c>
    </row>
    <row r="31" spans="1:6" x14ac:dyDescent="0.25">
      <c r="A31" s="353" t="s">
        <v>18</v>
      </c>
      <c r="B31" s="8" t="s">
        <v>43</v>
      </c>
      <c r="C31" s="20">
        <v>0.2</v>
      </c>
      <c r="D31" s="18">
        <f>C31*D29</f>
        <v>266.8</v>
      </c>
      <c r="E31" s="21"/>
    </row>
    <row r="32" spans="1:6" x14ac:dyDescent="0.25">
      <c r="A32" s="353" t="s">
        <v>20</v>
      </c>
      <c r="B32" s="8" t="s">
        <v>44</v>
      </c>
      <c r="C32" s="22"/>
      <c r="D32" s="18"/>
      <c r="E32" s="785"/>
      <c r="F32" s="359"/>
    </row>
    <row r="33" spans="1:6" x14ac:dyDescent="0.25">
      <c r="A33" s="353" t="s">
        <v>45</v>
      </c>
      <c r="B33" s="8" t="s">
        <v>46</v>
      </c>
      <c r="C33" s="22"/>
      <c r="D33" s="18"/>
      <c r="E33" s="785"/>
      <c r="F33" s="360"/>
    </row>
    <row r="34" spans="1:6" x14ac:dyDescent="0.25">
      <c r="A34" s="353" t="s">
        <v>47</v>
      </c>
      <c r="B34" s="8" t="s">
        <v>48</v>
      </c>
      <c r="C34" s="17"/>
      <c r="D34" s="18">
        <v>0</v>
      </c>
      <c r="E34" s="361"/>
      <c r="F34" s="362"/>
    </row>
    <row r="35" spans="1:6" x14ac:dyDescent="0.25">
      <c r="A35" s="353" t="s">
        <v>49</v>
      </c>
      <c r="B35" s="8" t="s">
        <v>50</v>
      </c>
      <c r="C35" s="22"/>
      <c r="D35" s="18"/>
      <c r="E35" s="361"/>
      <c r="F35" s="362"/>
    </row>
    <row r="36" spans="1:6" x14ac:dyDescent="0.25">
      <c r="A36" s="353" t="s">
        <v>51</v>
      </c>
      <c r="B36" s="8" t="s">
        <v>52</v>
      </c>
      <c r="C36" s="17"/>
      <c r="D36" s="18">
        <v>0</v>
      </c>
      <c r="E36" s="361"/>
      <c r="F36" s="362"/>
    </row>
    <row r="37" spans="1:6" x14ac:dyDescent="0.25">
      <c r="A37" s="353" t="s">
        <v>53</v>
      </c>
      <c r="B37" s="8" t="s">
        <v>54</v>
      </c>
      <c r="C37" s="17"/>
      <c r="D37" s="18">
        <f>ROUND(SUM(D32:D35)/23*7,2)</f>
        <v>0</v>
      </c>
      <c r="E37" s="361"/>
      <c r="F37" s="362"/>
    </row>
    <row r="38" spans="1:6" x14ac:dyDescent="0.25">
      <c r="A38" s="729" t="s">
        <v>55</v>
      </c>
      <c r="B38" s="729"/>
      <c r="C38" s="17"/>
      <c r="D38" s="23">
        <f>ROUND(SUM(D29:D37),2)</f>
        <v>1667.5</v>
      </c>
      <c r="E38" s="361"/>
      <c r="F38" s="362"/>
    </row>
    <row r="40" spans="1:6" ht="12.75" x14ac:dyDescent="0.2">
      <c r="A40" s="746" t="s">
        <v>56</v>
      </c>
      <c r="B40" s="747"/>
      <c r="C40" s="747"/>
      <c r="D40" s="748"/>
    </row>
    <row r="41" spans="1:6" ht="12.75" x14ac:dyDescent="0.2">
      <c r="A41" s="67">
        <v>2</v>
      </c>
      <c r="B41" s="24" t="s">
        <v>57</v>
      </c>
      <c r="C41" s="15" t="s">
        <v>58</v>
      </c>
      <c r="D41" s="16" t="s">
        <v>40</v>
      </c>
    </row>
    <row r="42" spans="1:6" ht="13.5" customHeight="1" x14ac:dyDescent="0.25">
      <c r="A42" s="71" t="s">
        <v>13</v>
      </c>
      <c r="B42" s="25" t="s">
        <v>59</v>
      </c>
      <c r="C42" s="18">
        <v>3.3</v>
      </c>
      <c r="D42" s="18">
        <f>ROUND((C42*44)-(D29*6%),2)</f>
        <v>65.16</v>
      </c>
      <c r="E42" s="26"/>
    </row>
    <row r="43" spans="1:6" ht="13.5" customHeight="1" x14ac:dyDescent="0.25">
      <c r="A43" s="71" t="s">
        <v>15</v>
      </c>
      <c r="B43" s="27" t="s">
        <v>60</v>
      </c>
      <c r="C43" s="354">
        <v>235</v>
      </c>
      <c r="D43" s="354">
        <f>'REPACTUAÇÃO SIEMACO 2013'!K33</f>
        <v>326</v>
      </c>
      <c r="E43" s="356" t="s">
        <v>564</v>
      </c>
    </row>
    <row r="44" spans="1:6" ht="13.5" customHeight="1" x14ac:dyDescent="0.25">
      <c r="A44" s="71" t="s">
        <v>18</v>
      </c>
      <c r="B44" s="27" t="s">
        <v>157</v>
      </c>
      <c r="C44" s="354">
        <f>235/12</f>
        <v>19.583333333333332</v>
      </c>
      <c r="D44" s="354">
        <f>'REPACTUAÇÃO SIEMACO 2013'!K42</f>
        <v>27.17</v>
      </c>
      <c r="E44" s="356" t="s">
        <v>564</v>
      </c>
    </row>
    <row r="45" spans="1:6" ht="13.5" customHeight="1" x14ac:dyDescent="0.25">
      <c r="A45" s="71" t="s">
        <v>20</v>
      </c>
      <c r="B45" s="27" t="s">
        <v>169</v>
      </c>
      <c r="C45" s="18">
        <v>22</v>
      </c>
      <c r="D45" s="18">
        <f>'REPACTUAÇÃO SIEMACO 2013'!K45</f>
        <v>22</v>
      </c>
    </row>
    <row r="46" spans="1:6" ht="13.5" customHeight="1" x14ac:dyDescent="0.25">
      <c r="A46" s="71" t="s">
        <v>45</v>
      </c>
      <c r="B46" s="27" t="s">
        <v>170</v>
      </c>
      <c r="C46" s="18">
        <v>8</v>
      </c>
      <c r="D46" s="18">
        <f>ROUND(C46*$C$29,2)</f>
        <v>8</v>
      </c>
    </row>
    <row r="47" spans="1:6" ht="13.5" customHeight="1" x14ac:dyDescent="0.25">
      <c r="A47" s="71" t="s">
        <v>47</v>
      </c>
      <c r="B47" s="27" t="s">
        <v>64</v>
      </c>
      <c r="C47" s="18">
        <v>0</v>
      </c>
      <c r="D47" s="18">
        <f>ROUND(C47*$C$29,2)</f>
        <v>0</v>
      </c>
    </row>
    <row r="48" spans="1:6" ht="13.5" customHeight="1" x14ac:dyDescent="0.25">
      <c r="A48" s="744" t="s">
        <v>65</v>
      </c>
      <c r="B48" s="745"/>
      <c r="C48" s="29"/>
      <c r="D48" s="23">
        <f>ROUND(SUM(D42:D47),2)</f>
        <v>448.33</v>
      </c>
    </row>
    <row r="49" spans="1:5" ht="13.5" customHeight="1" x14ac:dyDescent="0.25">
      <c r="A49" s="30"/>
    </row>
    <row r="50" spans="1:5" ht="13.5" customHeight="1" x14ac:dyDescent="0.2">
      <c r="A50" s="746" t="s">
        <v>66</v>
      </c>
      <c r="B50" s="747"/>
      <c r="C50" s="747"/>
      <c r="D50" s="748"/>
    </row>
    <row r="51" spans="1:5" ht="13.5" customHeight="1" x14ac:dyDescent="0.2">
      <c r="A51" s="67">
        <v>3</v>
      </c>
      <c r="B51" s="24" t="s">
        <v>67</v>
      </c>
      <c r="C51" s="15" t="s">
        <v>68</v>
      </c>
      <c r="D51" s="16" t="s">
        <v>40</v>
      </c>
    </row>
    <row r="52" spans="1:5" x14ac:dyDescent="0.25">
      <c r="A52" s="71" t="s">
        <v>13</v>
      </c>
      <c r="B52" s="8" t="s">
        <v>69</v>
      </c>
      <c r="C52" s="91">
        <f>'Uniforme 2'!D10</f>
        <v>41.333333333333336</v>
      </c>
      <c r="D52" s="18">
        <f>ROUND(C52*$C$29,2)</f>
        <v>41.33</v>
      </c>
    </row>
    <row r="53" spans="1:5" x14ac:dyDescent="0.25">
      <c r="A53" s="71" t="s">
        <v>15</v>
      </c>
      <c r="B53" s="32" t="s">
        <v>70</v>
      </c>
      <c r="C53" s="31">
        <v>0</v>
      </c>
      <c r="D53" s="18">
        <f>ROUND(C53*$C$29,2)</f>
        <v>0</v>
      </c>
      <c r="E53" s="28"/>
    </row>
    <row r="54" spans="1:5" x14ac:dyDescent="0.25">
      <c r="A54" s="71" t="s">
        <v>18</v>
      </c>
      <c r="B54" s="8" t="s">
        <v>71</v>
      </c>
      <c r="C54" s="31">
        <v>0</v>
      </c>
      <c r="D54" s="18">
        <f>ROUND(C54*$C$29,2)</f>
        <v>0</v>
      </c>
    </row>
    <row r="55" spans="1:5" x14ac:dyDescent="0.25">
      <c r="A55" s="71" t="s">
        <v>20</v>
      </c>
      <c r="B55" s="32" t="s">
        <v>72</v>
      </c>
      <c r="C55" s="110">
        <f>Epis!D11</f>
        <v>16.010000000000002</v>
      </c>
      <c r="D55" s="18">
        <f>C55</f>
        <v>16.010000000000002</v>
      </c>
      <c r="E55" s="28"/>
    </row>
    <row r="56" spans="1:5" x14ac:dyDescent="0.25">
      <c r="A56" s="744" t="s">
        <v>73</v>
      </c>
      <c r="B56" s="745"/>
      <c r="C56" s="29"/>
      <c r="D56" s="23">
        <f>ROUND(SUM(D52:D55),2)</f>
        <v>57.34</v>
      </c>
      <c r="E56" s="28"/>
    </row>
    <row r="58" spans="1:5" ht="12.75" x14ac:dyDescent="0.2">
      <c r="A58" s="746" t="s">
        <v>74</v>
      </c>
      <c r="B58" s="747"/>
      <c r="C58" s="747"/>
      <c r="D58" s="748"/>
    </row>
    <row r="59" spans="1:5" ht="12.75" x14ac:dyDescent="0.2">
      <c r="A59" s="740" t="s">
        <v>75</v>
      </c>
      <c r="B59" s="740"/>
      <c r="C59" s="15" t="s">
        <v>68</v>
      </c>
      <c r="D59" s="16" t="s">
        <v>40</v>
      </c>
    </row>
    <row r="60" spans="1:5" x14ac:dyDescent="0.25">
      <c r="A60" s="70" t="s">
        <v>13</v>
      </c>
      <c r="B60" s="32" t="s">
        <v>76</v>
      </c>
      <c r="C60" s="29">
        <v>0.2</v>
      </c>
      <c r="D60" s="18">
        <f>ROUND($D$38*C60,2)</f>
        <v>333.5</v>
      </c>
    </row>
    <row r="61" spans="1:5" x14ac:dyDescent="0.25">
      <c r="A61" s="70" t="s">
        <v>15</v>
      </c>
      <c r="B61" s="32" t="s">
        <v>77</v>
      </c>
      <c r="C61" s="29">
        <v>1.4999999999999999E-2</v>
      </c>
      <c r="D61" s="18">
        <f>ROUND($D$38*C61,2)</f>
        <v>25.01</v>
      </c>
    </row>
    <row r="62" spans="1:5" x14ac:dyDescent="0.25">
      <c r="A62" s="70" t="s">
        <v>18</v>
      </c>
      <c r="B62" s="32" t="s">
        <v>78</v>
      </c>
      <c r="C62" s="29">
        <v>0.01</v>
      </c>
      <c r="D62" s="18">
        <f t="shared" ref="D62:D67" si="0">ROUND($D$38*C62,2)</f>
        <v>16.68</v>
      </c>
    </row>
    <row r="63" spans="1:5" x14ac:dyDescent="0.25">
      <c r="A63" s="70" t="s">
        <v>20</v>
      </c>
      <c r="B63" s="32" t="s">
        <v>79</v>
      </c>
      <c r="C63" s="29">
        <v>2E-3</v>
      </c>
      <c r="D63" s="18">
        <f t="shared" si="0"/>
        <v>3.34</v>
      </c>
    </row>
    <row r="64" spans="1:5" x14ac:dyDescent="0.25">
      <c r="A64" s="70" t="s">
        <v>45</v>
      </c>
      <c r="B64" s="32" t="s">
        <v>80</v>
      </c>
      <c r="C64" s="29">
        <v>2.5000000000000001E-2</v>
      </c>
      <c r="D64" s="18">
        <f t="shared" si="0"/>
        <v>41.69</v>
      </c>
    </row>
    <row r="65" spans="1:6" x14ac:dyDescent="0.25">
      <c r="A65" s="70" t="s">
        <v>47</v>
      </c>
      <c r="B65" s="32" t="s">
        <v>81</v>
      </c>
      <c r="C65" s="29">
        <v>0.08</v>
      </c>
      <c r="D65" s="18">
        <f t="shared" si="0"/>
        <v>133.4</v>
      </c>
    </row>
    <row r="66" spans="1:6" x14ac:dyDescent="0.25">
      <c r="A66" s="70" t="s">
        <v>49</v>
      </c>
      <c r="B66" s="32" t="s">
        <v>82</v>
      </c>
      <c r="C66" s="29">
        <f>2%*F70</f>
        <v>0.03</v>
      </c>
      <c r="D66" s="18">
        <f t="shared" si="0"/>
        <v>50.03</v>
      </c>
    </row>
    <row r="67" spans="1:6" x14ac:dyDescent="0.25">
      <c r="A67" s="70" t="s">
        <v>51</v>
      </c>
      <c r="B67" s="32" t="s">
        <v>83</v>
      </c>
      <c r="C67" s="29">
        <v>6.0000000000000001E-3</v>
      </c>
      <c r="D67" s="18">
        <f t="shared" si="0"/>
        <v>10.01</v>
      </c>
    </row>
    <row r="68" spans="1:6" ht="12.75" x14ac:dyDescent="0.2">
      <c r="A68" s="744" t="s">
        <v>84</v>
      </c>
      <c r="B68" s="750"/>
      <c r="C68" s="34">
        <f>SUM(C60:C67)</f>
        <v>0.3680000000000001</v>
      </c>
      <c r="D68" s="23">
        <f>ROUND(SUM(D60:D67),2)</f>
        <v>613.66</v>
      </c>
    </row>
    <row r="69" spans="1:6" x14ac:dyDescent="0.25">
      <c r="A69" s="1"/>
      <c r="B69" s="1"/>
    </row>
    <row r="70" spans="1:6" ht="12.75" x14ac:dyDescent="0.2">
      <c r="A70" s="740" t="s">
        <v>85</v>
      </c>
      <c r="B70" s="740"/>
      <c r="C70" s="15" t="s">
        <v>68</v>
      </c>
      <c r="D70" s="16" t="s">
        <v>40</v>
      </c>
      <c r="E70" s="1" t="s">
        <v>86</v>
      </c>
      <c r="F70" s="59">
        <v>1.5</v>
      </c>
    </row>
    <row r="71" spans="1:6" x14ac:dyDescent="0.25">
      <c r="A71" s="70" t="s">
        <v>13</v>
      </c>
      <c r="B71" s="32" t="s">
        <v>87</v>
      </c>
      <c r="C71" s="29">
        <v>8.3299999999999999E-2</v>
      </c>
      <c r="D71" s="18">
        <f>ROUND($D$38*C71,2)</f>
        <v>138.9</v>
      </c>
    </row>
    <row r="72" spans="1:6" x14ac:dyDescent="0.25">
      <c r="A72" s="70" t="s">
        <v>15</v>
      </c>
      <c r="B72" s="32" t="s">
        <v>88</v>
      </c>
      <c r="C72" s="29">
        <f>C87/3</f>
        <v>2.7766666666666665E-2</v>
      </c>
      <c r="D72" s="18">
        <f>ROUND($D$38*C72,2)</f>
        <v>46.3</v>
      </c>
    </row>
    <row r="73" spans="1:6" ht="12.75" x14ac:dyDescent="0.2">
      <c r="A73" s="729" t="s">
        <v>89</v>
      </c>
      <c r="B73" s="729"/>
      <c r="C73" s="34">
        <f>SUM(C71:C72)</f>
        <v>0.11106666666666666</v>
      </c>
      <c r="D73" s="23">
        <f>ROUND(SUM(D71:D72),2)</f>
        <v>185.2</v>
      </c>
    </row>
    <row r="74" spans="1:6" x14ac:dyDescent="0.25">
      <c r="A74" s="70" t="s">
        <v>18</v>
      </c>
      <c r="B74" s="32" t="s">
        <v>90</v>
      </c>
      <c r="C74" s="29">
        <f>C68*C73</f>
        <v>4.0872533333333343E-2</v>
      </c>
      <c r="D74" s="18">
        <f>ROUND($D$38*C74,2)</f>
        <v>68.150000000000006</v>
      </c>
    </row>
    <row r="75" spans="1:6" ht="12.75" x14ac:dyDescent="0.2">
      <c r="A75" s="729" t="s">
        <v>91</v>
      </c>
      <c r="B75" s="729"/>
      <c r="C75" s="34">
        <f>C74+C73</f>
        <v>0.1519392</v>
      </c>
      <c r="D75" s="23">
        <f>ROUND(D74+D73,2)</f>
        <v>253.35</v>
      </c>
    </row>
    <row r="76" spans="1:6" x14ac:dyDescent="0.25">
      <c r="A76" s="1"/>
      <c r="B76" s="1"/>
      <c r="E76" s="36"/>
    </row>
    <row r="77" spans="1:6" ht="12.75" x14ac:dyDescent="0.2">
      <c r="A77" s="737" t="s">
        <v>92</v>
      </c>
      <c r="B77" s="739"/>
      <c r="C77" s="15" t="s">
        <v>68</v>
      </c>
      <c r="D77" s="16" t="s">
        <v>40</v>
      </c>
    </row>
    <row r="78" spans="1:6" x14ac:dyDescent="0.25">
      <c r="A78" s="70" t="s">
        <v>13</v>
      </c>
      <c r="B78" s="32" t="s">
        <v>93</v>
      </c>
      <c r="C78" s="29">
        <v>1E-3</v>
      </c>
      <c r="D78" s="18">
        <f t="shared" ref="D78:D83" si="1">ROUND($D$38*C78,2)</f>
        <v>1.67</v>
      </c>
    </row>
    <row r="79" spans="1:6" x14ac:dyDescent="0.25">
      <c r="A79" s="70" t="s">
        <v>15</v>
      </c>
      <c r="B79" s="32" t="s">
        <v>94</v>
      </c>
      <c r="C79" s="29">
        <f>C65*C78</f>
        <v>8.0000000000000007E-5</v>
      </c>
      <c r="D79" s="18">
        <f t="shared" si="1"/>
        <v>0.13</v>
      </c>
    </row>
    <row r="80" spans="1:6" x14ac:dyDescent="0.25">
      <c r="A80" s="70" t="s">
        <v>18</v>
      </c>
      <c r="B80" s="32" t="s">
        <v>95</v>
      </c>
      <c r="C80" s="29">
        <f>C65*10%</f>
        <v>8.0000000000000002E-3</v>
      </c>
      <c r="D80" s="18">
        <f t="shared" si="1"/>
        <v>13.34</v>
      </c>
    </row>
    <row r="81" spans="1:5" x14ac:dyDescent="0.25">
      <c r="A81" s="71" t="s">
        <v>20</v>
      </c>
      <c r="B81" s="8" t="s">
        <v>96</v>
      </c>
      <c r="C81" s="29">
        <v>1.9400000000000001E-2</v>
      </c>
      <c r="D81" s="18">
        <f t="shared" si="1"/>
        <v>32.35</v>
      </c>
    </row>
    <row r="82" spans="1:5" x14ac:dyDescent="0.25">
      <c r="A82" s="71" t="s">
        <v>45</v>
      </c>
      <c r="B82" s="8" t="s">
        <v>97</v>
      </c>
      <c r="C82" s="29">
        <f>C68*C81</f>
        <v>7.1392000000000027E-3</v>
      </c>
      <c r="D82" s="18">
        <f t="shared" si="1"/>
        <v>11.9</v>
      </c>
    </row>
    <row r="83" spans="1:5" x14ac:dyDescent="0.25">
      <c r="A83" s="71" t="s">
        <v>47</v>
      </c>
      <c r="B83" s="8" t="s">
        <v>98</v>
      </c>
      <c r="C83" s="29">
        <v>4.4200000000000003E-2</v>
      </c>
      <c r="D83" s="18">
        <f t="shared" si="1"/>
        <v>73.7</v>
      </c>
    </row>
    <row r="84" spans="1:5" ht="12.75" x14ac:dyDescent="0.2">
      <c r="A84" s="729" t="s">
        <v>91</v>
      </c>
      <c r="B84" s="729"/>
      <c r="C84" s="34">
        <f>SUM(C78:C83)</f>
        <v>7.9819200000000007E-2</v>
      </c>
      <c r="D84" s="23">
        <f>ROUND(SUM(D78:D83),2)</f>
        <v>133.09</v>
      </c>
    </row>
    <row r="85" spans="1:5" x14ac:dyDescent="0.25">
      <c r="E85" s="36"/>
    </row>
    <row r="86" spans="1:5" ht="12.75" x14ac:dyDescent="0.2">
      <c r="A86" s="737" t="s">
        <v>99</v>
      </c>
      <c r="B86" s="739"/>
      <c r="C86" s="15" t="s">
        <v>68</v>
      </c>
      <c r="D86" s="16" t="s">
        <v>40</v>
      </c>
      <c r="E86" s="36"/>
    </row>
    <row r="87" spans="1:5" x14ac:dyDescent="0.25">
      <c r="A87" s="71" t="s">
        <v>13</v>
      </c>
      <c r="B87" s="8" t="s">
        <v>100</v>
      </c>
      <c r="C87" s="29">
        <v>8.3299999999999999E-2</v>
      </c>
      <c r="D87" s="18">
        <f t="shared" ref="D87:D94" si="2">ROUND($D$38*C87,2)</f>
        <v>138.9</v>
      </c>
      <c r="E87" s="36"/>
    </row>
    <row r="88" spans="1:5" x14ac:dyDescent="0.25">
      <c r="A88" s="71" t="s">
        <v>15</v>
      </c>
      <c r="B88" s="8" t="s">
        <v>101</v>
      </c>
      <c r="C88" s="29">
        <v>2.3999999999999998E-3</v>
      </c>
      <c r="D88" s="18">
        <f t="shared" si="2"/>
        <v>4</v>
      </c>
    </row>
    <row r="89" spans="1:5" x14ac:dyDescent="0.25">
      <c r="A89" s="71" t="s">
        <v>18</v>
      </c>
      <c r="B89" s="32" t="s">
        <v>102</v>
      </c>
      <c r="C89" s="29">
        <v>2.0000000000000001E-4</v>
      </c>
      <c r="D89" s="18">
        <f t="shared" si="2"/>
        <v>0.33</v>
      </c>
    </row>
    <row r="90" spans="1:5" x14ac:dyDescent="0.25">
      <c r="A90" s="71" t="s">
        <v>20</v>
      </c>
      <c r="B90" s="8" t="s">
        <v>103</v>
      </c>
      <c r="C90" s="29">
        <v>1.4E-3</v>
      </c>
      <c r="D90" s="18">
        <f t="shared" si="2"/>
        <v>2.33</v>
      </c>
    </row>
    <row r="91" spans="1:5" x14ac:dyDescent="0.25">
      <c r="A91" s="71" t="s">
        <v>45</v>
      </c>
      <c r="B91" s="8" t="s">
        <v>104</v>
      </c>
      <c r="C91" s="29">
        <v>4.0000000000000002E-4</v>
      </c>
      <c r="D91" s="18">
        <f t="shared" si="2"/>
        <v>0.67</v>
      </c>
    </row>
    <row r="92" spans="1:5" x14ac:dyDescent="0.25">
      <c r="A92" s="71" t="s">
        <v>47</v>
      </c>
      <c r="B92" s="32" t="s">
        <v>105</v>
      </c>
      <c r="C92" s="29">
        <v>2.0000000000000001E-4</v>
      </c>
      <c r="D92" s="18">
        <f t="shared" si="2"/>
        <v>0.33</v>
      </c>
    </row>
    <row r="93" spans="1:5" ht="12.75" x14ac:dyDescent="0.2">
      <c r="A93" s="729" t="s">
        <v>89</v>
      </c>
      <c r="B93" s="729"/>
      <c r="C93" s="34">
        <f>SUM(C87:C92)</f>
        <v>8.7900000000000006E-2</v>
      </c>
      <c r="D93" s="521">
        <f t="shared" si="2"/>
        <v>146.57</v>
      </c>
    </row>
    <row r="94" spans="1:5" x14ac:dyDescent="0.25">
      <c r="A94" s="71" t="s">
        <v>49</v>
      </c>
      <c r="B94" s="8" t="s">
        <v>106</v>
      </c>
      <c r="C94" s="29">
        <f>C68*C93</f>
        <v>3.2347200000000013E-2</v>
      </c>
      <c r="D94" s="18">
        <f t="shared" si="2"/>
        <v>53.94</v>
      </c>
    </row>
    <row r="95" spans="1:5" ht="12.75" x14ac:dyDescent="0.2">
      <c r="A95" s="729" t="s">
        <v>91</v>
      </c>
      <c r="B95" s="729"/>
      <c r="C95" s="34">
        <f>C94+C93</f>
        <v>0.12024720000000003</v>
      </c>
      <c r="D95" s="23">
        <f>ROUND(D94+D93,2)</f>
        <v>200.51</v>
      </c>
    </row>
    <row r="97" spans="1:6" ht="12.75" x14ac:dyDescent="0.2">
      <c r="A97" s="736" t="s">
        <v>107</v>
      </c>
      <c r="B97" s="736"/>
      <c r="C97" s="736"/>
      <c r="D97" s="736"/>
    </row>
    <row r="98" spans="1:6" ht="12.75" x14ac:dyDescent="0.2">
      <c r="A98" s="67">
        <v>4</v>
      </c>
      <c r="B98" s="740" t="s">
        <v>108</v>
      </c>
      <c r="C98" s="740"/>
      <c r="D98" s="16" t="s">
        <v>40</v>
      </c>
    </row>
    <row r="99" spans="1:6" x14ac:dyDescent="0.25">
      <c r="A99" s="71" t="s">
        <v>109</v>
      </c>
      <c r="B99" s="37" t="s">
        <v>110</v>
      </c>
      <c r="C99" s="38">
        <f>C75</f>
        <v>0.1519392</v>
      </c>
      <c r="D99" s="18">
        <f>ROUND($D$38*C99,2)</f>
        <v>253.36</v>
      </c>
      <c r="E99" s="36"/>
    </row>
    <row r="100" spans="1:6" x14ac:dyDescent="0.25">
      <c r="A100" s="71" t="s">
        <v>111</v>
      </c>
      <c r="B100" s="37" t="s">
        <v>112</v>
      </c>
      <c r="C100" s="38">
        <f>C68</f>
        <v>0.3680000000000001</v>
      </c>
      <c r="D100" s="18">
        <f>ROUND($D$38*C100,2)</f>
        <v>613.64</v>
      </c>
    </row>
    <row r="101" spans="1:6" x14ac:dyDescent="0.25">
      <c r="A101" s="70" t="s">
        <v>113</v>
      </c>
      <c r="B101" s="37" t="s">
        <v>114</v>
      </c>
      <c r="C101" s="38">
        <f>C84</f>
        <v>7.9819200000000007E-2</v>
      </c>
      <c r="D101" s="18">
        <f>ROUND($D$38*C101,2)</f>
        <v>133.1</v>
      </c>
    </row>
    <row r="102" spans="1:6" x14ac:dyDescent="0.25">
      <c r="A102" s="70" t="s">
        <v>115</v>
      </c>
      <c r="B102" s="37" t="s">
        <v>116</v>
      </c>
      <c r="C102" s="38">
        <f>C95</f>
        <v>0.12024720000000003</v>
      </c>
      <c r="D102" s="18">
        <f>ROUND($D$38*C102,2)</f>
        <v>200.51</v>
      </c>
    </row>
    <row r="103" spans="1:6" x14ac:dyDescent="0.25">
      <c r="A103" s="70" t="s">
        <v>117</v>
      </c>
      <c r="B103" s="37" t="s">
        <v>118</v>
      </c>
      <c r="C103" s="68"/>
      <c r="D103" s="18"/>
    </row>
    <row r="104" spans="1:6" ht="12.75" x14ac:dyDescent="0.2">
      <c r="A104" s="71"/>
      <c r="B104" s="69" t="s">
        <v>91</v>
      </c>
      <c r="C104" s="41">
        <f>SUM(C99:C103)</f>
        <v>0.72000560000000002</v>
      </c>
      <c r="D104" s="23">
        <f>ROUND($D$38*C104,2)</f>
        <v>1200.6099999999999</v>
      </c>
    </row>
    <row r="105" spans="1:6" x14ac:dyDescent="0.25">
      <c r="D105" s="661">
        <f>ROUND(D104+D56+D48+D38,2)</f>
        <v>3373.78</v>
      </c>
    </row>
    <row r="106" spans="1:6" ht="12.75" x14ac:dyDescent="0.2">
      <c r="A106" s="67">
        <v>5</v>
      </c>
      <c r="B106" s="24" t="s">
        <v>119</v>
      </c>
      <c r="C106" s="15" t="s">
        <v>68</v>
      </c>
      <c r="D106" s="16" t="s">
        <v>40</v>
      </c>
      <c r="E106" s="36"/>
    </row>
    <row r="107" spans="1:6" x14ac:dyDescent="0.25">
      <c r="A107" s="71" t="s">
        <v>13</v>
      </c>
      <c r="B107" s="8" t="s">
        <v>120</v>
      </c>
      <c r="C107" s="29">
        <v>0.01</v>
      </c>
      <c r="D107" s="18">
        <f>ROUND($D$105*C107,2)</f>
        <v>33.74</v>
      </c>
    </row>
    <row r="108" spans="1:6" x14ac:dyDescent="0.25">
      <c r="A108" s="71" t="s">
        <v>15</v>
      </c>
      <c r="B108" s="8" t="s">
        <v>121</v>
      </c>
      <c r="C108" s="29"/>
      <c r="D108" s="18"/>
      <c r="E108" s="28"/>
    </row>
    <row r="109" spans="1:6" x14ac:dyDescent="0.25">
      <c r="A109" s="43" t="s">
        <v>122</v>
      </c>
      <c r="B109" s="8" t="s">
        <v>123</v>
      </c>
      <c r="C109" s="29">
        <v>0</v>
      </c>
      <c r="D109" s="18">
        <v>0</v>
      </c>
    </row>
    <row r="110" spans="1:6" x14ac:dyDescent="0.25">
      <c r="A110" s="43" t="s">
        <v>124</v>
      </c>
      <c r="B110" s="8" t="s">
        <v>125</v>
      </c>
      <c r="C110" s="29">
        <v>0</v>
      </c>
      <c r="D110" s="18">
        <v>0</v>
      </c>
    </row>
    <row r="111" spans="1:6" x14ac:dyDescent="0.25">
      <c r="A111" s="43" t="s">
        <v>126</v>
      </c>
      <c r="B111" s="8" t="s">
        <v>127</v>
      </c>
      <c r="C111" s="29">
        <v>1.6500000000000001E-2</v>
      </c>
      <c r="D111" s="18">
        <f>ROUND($F$114*C111,2)</f>
        <v>64.39</v>
      </c>
    </row>
    <row r="112" spans="1:6" x14ac:dyDescent="0.25">
      <c r="A112" s="43" t="s">
        <v>128</v>
      </c>
      <c r="B112" s="8" t="s">
        <v>129</v>
      </c>
      <c r="C112" s="29">
        <v>7.5999999999999998E-2</v>
      </c>
      <c r="D112" s="18">
        <f>ROUND($F$114*C112,2)</f>
        <v>296.60000000000002</v>
      </c>
      <c r="F112" s="61">
        <f>SUM(C109:C113)</f>
        <v>0.1225</v>
      </c>
    </row>
    <row r="113" spans="1:9" x14ac:dyDescent="0.25">
      <c r="A113" s="43" t="s">
        <v>130</v>
      </c>
      <c r="B113" s="8" t="s">
        <v>131</v>
      </c>
      <c r="C113" s="45">
        <v>0.03</v>
      </c>
      <c r="D113" s="18">
        <f>ROUND($F$114*C113,2)</f>
        <v>117.08</v>
      </c>
      <c r="F113" s="62">
        <f>ROUND(D114+D107+D105,2)</f>
        <v>3424.56</v>
      </c>
    </row>
    <row r="114" spans="1:9" x14ac:dyDescent="0.25">
      <c r="A114" s="71" t="s">
        <v>18</v>
      </c>
      <c r="B114" s="8" t="s">
        <v>132</v>
      </c>
      <c r="C114" s="29">
        <v>5.0000000000000001E-3</v>
      </c>
      <c r="D114" s="18">
        <f>ROUND(($D$105+D107)*C114,2)</f>
        <v>17.04</v>
      </c>
      <c r="F114" s="63">
        <f>ROUND(F113/(1-F112),2)</f>
        <v>3902.63</v>
      </c>
    </row>
    <row r="115" spans="1:9" ht="12.75" x14ac:dyDescent="0.2">
      <c r="A115" s="744" t="s">
        <v>91</v>
      </c>
      <c r="B115" s="749"/>
      <c r="C115" s="745"/>
      <c r="D115" s="23">
        <f>ROUND(SUM(D107:D114),2)</f>
        <v>528.85</v>
      </c>
    </row>
    <row r="116" spans="1:9" x14ac:dyDescent="0.25">
      <c r="D116" s="42"/>
    </row>
    <row r="117" spans="1:9" ht="12.75" x14ac:dyDescent="0.2">
      <c r="A117" s="736" t="s">
        <v>133</v>
      </c>
      <c r="B117" s="736"/>
      <c r="C117" s="736"/>
      <c r="D117" s="736"/>
    </row>
    <row r="118" spans="1:9" ht="12.75" x14ac:dyDescent="0.2">
      <c r="A118" s="729" t="s">
        <v>134</v>
      </c>
      <c r="B118" s="729"/>
      <c r="C118" s="729"/>
      <c r="D118" s="729"/>
    </row>
    <row r="119" spans="1:9" x14ac:dyDescent="0.25">
      <c r="A119" s="71" t="s">
        <v>13</v>
      </c>
      <c r="B119" s="731" t="s">
        <v>135</v>
      </c>
      <c r="C119" s="731"/>
      <c r="D119" s="18">
        <f>D38</f>
        <v>1667.5</v>
      </c>
    </row>
    <row r="120" spans="1:9" x14ac:dyDescent="0.25">
      <c r="A120" s="71" t="s">
        <v>15</v>
      </c>
      <c r="B120" s="731" t="s">
        <v>136</v>
      </c>
      <c r="C120" s="731"/>
      <c r="D120" s="18">
        <f>D48</f>
        <v>448.33</v>
      </c>
    </row>
    <row r="121" spans="1:9" x14ac:dyDescent="0.25">
      <c r="A121" s="71" t="s">
        <v>18</v>
      </c>
      <c r="B121" s="731" t="s">
        <v>137</v>
      </c>
      <c r="C121" s="731"/>
      <c r="D121" s="18">
        <f>D56</f>
        <v>57.34</v>
      </c>
    </row>
    <row r="122" spans="1:9" x14ac:dyDescent="0.25">
      <c r="A122" s="71" t="s">
        <v>20</v>
      </c>
      <c r="B122" s="731" t="s">
        <v>138</v>
      </c>
      <c r="C122" s="731"/>
      <c r="D122" s="18">
        <f>D104</f>
        <v>1200.6099999999999</v>
      </c>
    </row>
    <row r="123" spans="1:9" ht="12.75" x14ac:dyDescent="0.2">
      <c r="A123" s="729" t="s">
        <v>89</v>
      </c>
      <c r="B123" s="729"/>
      <c r="C123" s="729"/>
      <c r="D123" s="23">
        <f>ROUND(SUM(D119:D122),2)</f>
        <v>3373.78</v>
      </c>
    </row>
    <row r="124" spans="1:9" ht="18.75" x14ac:dyDescent="0.3">
      <c r="A124" s="71" t="s">
        <v>45</v>
      </c>
      <c r="B124" s="751" t="s">
        <v>139</v>
      </c>
      <c r="C124" s="751"/>
      <c r="D124" s="18">
        <f>D115</f>
        <v>528.85</v>
      </c>
      <c r="F124" s="64"/>
      <c r="G124" s="1"/>
      <c r="H124" s="1"/>
    </row>
    <row r="125" spans="1:9" ht="18.75" x14ac:dyDescent="0.3">
      <c r="A125" s="729" t="s">
        <v>140</v>
      </c>
      <c r="B125" s="729"/>
      <c r="C125" s="729"/>
      <c r="D125" s="23">
        <f>ROUND(D124+D123,2)</f>
        <v>3902.63</v>
      </c>
      <c r="F125" s="64"/>
    </row>
    <row r="126" spans="1:9" ht="18.75" x14ac:dyDescent="0.3">
      <c r="F126" s="64"/>
    </row>
    <row r="127" spans="1:9" ht="18.75" x14ac:dyDescent="0.3">
      <c r="A127" s="727" t="s">
        <v>141</v>
      </c>
      <c r="B127" s="727"/>
      <c r="C127" s="727"/>
      <c r="D127" s="727"/>
      <c r="F127" s="64"/>
      <c r="I127" s="1"/>
    </row>
    <row r="128" spans="1:9" ht="18.75" x14ac:dyDescent="0.3">
      <c r="A128" s="731" t="s">
        <v>142</v>
      </c>
      <c r="B128" s="731"/>
      <c r="C128" s="731"/>
      <c r="D128" s="18"/>
      <c r="F128" s="64"/>
      <c r="I128" s="1"/>
    </row>
    <row r="129" spans="1:9" ht="18.75" x14ac:dyDescent="0.3">
      <c r="A129" s="731" t="s">
        <v>143</v>
      </c>
      <c r="B129" s="731"/>
      <c r="C129" s="731"/>
      <c r="D129" s="18">
        <f>D125</f>
        <v>3902.63</v>
      </c>
      <c r="E129" s="49"/>
      <c r="F129" s="64"/>
      <c r="I129" s="1"/>
    </row>
    <row r="130" spans="1:9" ht="18.75" x14ac:dyDescent="0.3">
      <c r="A130" s="731" t="s">
        <v>144</v>
      </c>
      <c r="B130" s="731"/>
      <c r="C130" s="731"/>
      <c r="D130" s="18">
        <v>1</v>
      </c>
      <c r="E130" s="49"/>
      <c r="F130" s="64"/>
      <c r="I130" s="1"/>
    </row>
    <row r="131" spans="1:9" ht="18.75" x14ac:dyDescent="0.3">
      <c r="A131" s="731" t="s">
        <v>145</v>
      </c>
      <c r="B131" s="731"/>
      <c r="C131" s="731"/>
      <c r="D131" s="18">
        <f>ROUND(D130*D129,2)</f>
        <v>3902.63</v>
      </c>
      <c r="E131" s="49"/>
      <c r="F131" s="64"/>
      <c r="I131" s="1"/>
    </row>
    <row r="132" spans="1:9" ht="18.75" x14ac:dyDescent="0.3">
      <c r="A132" s="731" t="s">
        <v>146</v>
      </c>
      <c r="B132" s="731"/>
      <c r="C132" s="731"/>
      <c r="D132" s="18">
        <v>1</v>
      </c>
      <c r="E132" s="49"/>
      <c r="F132" s="64"/>
      <c r="I132" s="1"/>
    </row>
    <row r="133" spans="1:9" ht="18.75" x14ac:dyDescent="0.3">
      <c r="A133" s="740" t="s">
        <v>147</v>
      </c>
      <c r="B133" s="740"/>
      <c r="C133" s="740"/>
      <c r="D133" s="23">
        <f>ROUND(D132*D131,2)</f>
        <v>3902.63</v>
      </c>
      <c r="E133" s="49"/>
      <c r="F133" s="64"/>
    </row>
    <row r="134" spans="1:9" ht="18.75" x14ac:dyDescent="0.3">
      <c r="E134" s="49"/>
      <c r="F134" s="64"/>
    </row>
    <row r="135" spans="1:9" ht="18.75" x14ac:dyDescent="0.3">
      <c r="A135" s="727" t="s">
        <v>148</v>
      </c>
      <c r="B135" s="727"/>
      <c r="C135" s="727"/>
      <c r="D135" s="727"/>
      <c r="F135" s="64"/>
    </row>
    <row r="136" spans="1:9" x14ac:dyDescent="0.25">
      <c r="A136" s="71" t="s">
        <v>13</v>
      </c>
      <c r="B136" s="731" t="s">
        <v>149</v>
      </c>
      <c r="C136" s="731"/>
      <c r="D136" s="18">
        <f>D129</f>
        <v>3902.63</v>
      </c>
    </row>
    <row r="137" spans="1:9" x14ac:dyDescent="0.25">
      <c r="A137" s="71" t="s">
        <v>15</v>
      </c>
      <c r="B137" s="731" t="s">
        <v>150</v>
      </c>
      <c r="C137" s="731"/>
      <c r="D137" s="18">
        <f>D133</f>
        <v>3902.63</v>
      </c>
    </row>
    <row r="138" spans="1:9" ht="12.75" x14ac:dyDescent="0.2">
      <c r="A138" s="67" t="s">
        <v>18</v>
      </c>
      <c r="B138" s="740" t="s">
        <v>151</v>
      </c>
      <c r="C138" s="740"/>
      <c r="D138" s="23">
        <f>ROUND(D137*12,2)</f>
        <v>46831.56</v>
      </c>
      <c r="F138" s="9"/>
    </row>
    <row r="139" spans="1:9" x14ac:dyDescent="0.25">
      <c r="A139" s="30"/>
      <c r="F139" s="9"/>
    </row>
    <row r="140" spans="1:9" x14ac:dyDescent="0.25">
      <c r="A140" s="30"/>
    </row>
    <row r="141" spans="1:9" x14ac:dyDescent="0.25">
      <c r="A141" s="753" t="s">
        <v>484</v>
      </c>
      <c r="B141" s="754"/>
    </row>
    <row r="142" spans="1:9" x14ac:dyDescent="0.25">
      <c r="A142" s="30"/>
      <c r="F142" s="9"/>
    </row>
    <row r="143" spans="1:9" x14ac:dyDescent="0.25">
      <c r="A143" s="30"/>
      <c r="F143" s="9"/>
      <c r="G143" s="50"/>
    </row>
    <row r="144" spans="1:9" x14ac:dyDescent="0.25">
      <c r="A144" s="755" t="s">
        <v>153</v>
      </c>
      <c r="B144" s="755"/>
      <c r="F144" s="9"/>
      <c r="G144" s="51"/>
    </row>
    <row r="145" spans="1:8" x14ac:dyDescent="0.25">
      <c r="A145" s="756" t="s">
        <v>154</v>
      </c>
      <c r="B145" s="756"/>
      <c r="F145" s="9"/>
    </row>
    <row r="146" spans="1:8" x14ac:dyDescent="0.25">
      <c r="A146" s="752" t="s">
        <v>155</v>
      </c>
      <c r="B146" s="752"/>
      <c r="F146" s="9"/>
    </row>
    <row r="147" spans="1:8" x14ac:dyDescent="0.25">
      <c r="F147" s="52"/>
      <c r="H147" s="1"/>
    </row>
    <row r="148" spans="1:8" x14ac:dyDescent="0.25">
      <c r="F148" s="9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52"/>
    </row>
    <row r="156" spans="1:8" x14ac:dyDescent="0.25">
      <c r="F156" s="9"/>
    </row>
  </sheetData>
  <mergeCells count="68">
    <mergeCell ref="E32:E33"/>
    <mergeCell ref="A146:B146"/>
    <mergeCell ref="A130:C130"/>
    <mergeCell ref="A131:C131"/>
    <mergeCell ref="A132:C132"/>
    <mergeCell ref="A133:C133"/>
    <mergeCell ref="A135:D135"/>
    <mergeCell ref="B136:C136"/>
    <mergeCell ref="B137:C137"/>
    <mergeCell ref="B138:C138"/>
    <mergeCell ref="A141:B141"/>
    <mergeCell ref="A144:B144"/>
    <mergeCell ref="A145:B145"/>
    <mergeCell ref="A129:C129"/>
    <mergeCell ref="A117:D117"/>
    <mergeCell ref="A118:D118"/>
    <mergeCell ref="B124:C124"/>
    <mergeCell ref="A125:C125"/>
    <mergeCell ref="A127:D127"/>
    <mergeCell ref="A128:C128"/>
    <mergeCell ref="A115:C115"/>
    <mergeCell ref="B119:C119"/>
    <mergeCell ref="B120:C120"/>
    <mergeCell ref="B121:C121"/>
    <mergeCell ref="B122:C122"/>
    <mergeCell ref="A123:C123"/>
    <mergeCell ref="A95:B95"/>
    <mergeCell ref="A97:D97"/>
    <mergeCell ref="A68:B68"/>
    <mergeCell ref="A70:B70"/>
    <mergeCell ref="A73:B73"/>
    <mergeCell ref="A75:B75"/>
    <mergeCell ref="A77:B77"/>
    <mergeCell ref="B98:C98"/>
    <mergeCell ref="A59:B59"/>
    <mergeCell ref="C23:D23"/>
    <mergeCell ref="C24:D24"/>
    <mergeCell ref="C25:D25"/>
    <mergeCell ref="C26:D26"/>
    <mergeCell ref="A27:D27"/>
    <mergeCell ref="A38:B38"/>
    <mergeCell ref="A40:D40"/>
    <mergeCell ref="A48:B48"/>
    <mergeCell ref="A50:D50"/>
    <mergeCell ref="A56:B56"/>
    <mergeCell ref="A58:D58"/>
    <mergeCell ref="A84:B84"/>
    <mergeCell ref="A86:B86"/>
    <mergeCell ref="A93:B93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disablePrompts="1"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E61"/>
  <sheetViews>
    <sheetView showGridLines="0" view="pageBreakPreview" zoomScaleNormal="90" zoomScaleSheetLayoutView="100" workbookViewId="0">
      <pane xSplit="13" ySplit="12" topLeftCell="N13" activePane="bottomRight" state="frozen"/>
      <selection pane="topRight" activeCell="N1" sqref="N1"/>
      <selection pane="bottomLeft" activeCell="A13" sqref="A13"/>
      <selection pane="bottomRight" activeCell="B10" sqref="B10:CD25"/>
    </sheetView>
  </sheetViews>
  <sheetFormatPr defaultRowHeight="15" x14ac:dyDescent="0.25"/>
  <cols>
    <col min="2" max="2" width="7.5703125" customWidth="1"/>
    <col min="3" max="3" width="36.140625" customWidth="1"/>
    <col min="4" max="4" width="28.5703125" customWidth="1"/>
    <col min="5" max="5" width="22.28515625" hidden="1" customWidth="1"/>
    <col min="6" max="6" width="15.42578125" hidden="1" customWidth="1"/>
    <col min="7" max="7" width="40.7109375" hidden="1" customWidth="1"/>
    <col min="8" max="9" width="14.85546875" hidden="1" customWidth="1"/>
    <col min="10" max="10" width="16.85546875" hidden="1" customWidth="1"/>
    <col min="11" max="12" width="14.85546875" hidden="1" customWidth="1"/>
    <col min="13" max="13" width="16.85546875" hidden="1" customWidth="1"/>
    <col min="14" max="14" width="32.85546875" hidden="1" customWidth="1"/>
    <col min="15" max="15" width="14.85546875" hidden="1" customWidth="1"/>
    <col min="16" max="16" width="23.85546875" hidden="1" customWidth="1"/>
    <col min="17" max="17" width="11.140625" hidden="1" customWidth="1"/>
    <col min="18" max="18" width="16.7109375" hidden="1" customWidth="1"/>
    <col min="19" max="19" width="18" hidden="1" customWidth="1"/>
    <col min="20" max="20" width="10.42578125" hidden="1" customWidth="1"/>
    <col min="21" max="21" width="15.42578125" hidden="1" customWidth="1"/>
    <col min="22" max="22" width="18" hidden="1" customWidth="1"/>
    <col min="23" max="23" width="14.42578125" hidden="1" customWidth="1"/>
    <col min="24" max="24" width="15.140625" hidden="1" customWidth="1"/>
    <col min="25" max="25" width="18" hidden="1" customWidth="1"/>
    <col min="26" max="26" width="25" hidden="1" customWidth="1"/>
    <col min="27" max="27" width="15.42578125" hidden="1" customWidth="1"/>
    <col min="28" max="28" width="18" hidden="1" customWidth="1"/>
    <col min="29" max="29" width="47" hidden="1" customWidth="1"/>
    <col min="30" max="30" width="7.42578125" hidden="1" customWidth="1"/>
    <col min="31" max="31" width="14.42578125" hidden="1" customWidth="1"/>
    <col min="32" max="32" width="16.85546875" hidden="1" customWidth="1"/>
    <col min="33" max="33" width="47" hidden="1" customWidth="1"/>
    <col min="34" max="34" width="26.140625" hidden="1" customWidth="1"/>
    <col min="35" max="35" width="15.140625" hidden="1" customWidth="1"/>
    <col min="36" max="40" width="17.7109375" hidden="1" customWidth="1"/>
    <col min="41" max="42" width="20.42578125" hidden="1" customWidth="1"/>
    <col min="43" max="43" width="17.140625" hidden="1" customWidth="1"/>
    <col min="44" max="44" width="42.85546875" hidden="1" customWidth="1"/>
    <col min="45" max="45" width="19.28515625" hidden="1" customWidth="1"/>
    <col min="46" max="46" width="42.85546875" hidden="1" customWidth="1"/>
    <col min="47" max="47" width="15.5703125" hidden="1" customWidth="1"/>
    <col min="48" max="48" width="17.28515625" hidden="1" customWidth="1"/>
    <col min="49" max="50" width="20.42578125" hidden="1" customWidth="1"/>
    <col min="51" max="51" width="17.140625" hidden="1" customWidth="1"/>
    <col min="52" max="52" width="17.28515625" hidden="1" customWidth="1"/>
    <col min="53" max="53" width="36.140625" hidden="1" customWidth="1"/>
    <col min="54" max="54" width="9.140625" hidden="1" customWidth="1"/>
    <col min="55" max="55" width="15.5703125" hidden="1" customWidth="1"/>
    <col min="56" max="57" width="17.28515625" hidden="1" customWidth="1"/>
    <col min="58" max="59" width="23.140625" hidden="1" customWidth="1"/>
    <col min="60" max="60" width="36.140625" hidden="1" customWidth="1"/>
    <col min="61" max="61" width="9.140625" style="612" hidden="1" customWidth="1"/>
    <col min="62" max="62" width="11.140625" hidden="1" customWidth="1"/>
    <col min="63" max="63" width="12.28515625" hidden="1" customWidth="1"/>
    <col min="64" max="64" width="36.140625" hidden="1" customWidth="1"/>
    <col min="65" max="65" width="9.140625" hidden="1" customWidth="1"/>
    <col min="66" max="66" width="15.5703125" hidden="1" customWidth="1"/>
    <col min="67" max="67" width="17.28515625" hidden="1" customWidth="1"/>
    <col min="68" max="68" width="36.140625" hidden="1" customWidth="1"/>
    <col min="69" max="69" width="9.140625" hidden="1" customWidth="1"/>
    <col min="70" max="70" width="11.140625" hidden="1" customWidth="1"/>
    <col min="71" max="71" width="12.28515625" hidden="1" customWidth="1"/>
    <col min="72" max="72" width="36.140625" hidden="1" customWidth="1"/>
    <col min="73" max="73" width="11.7109375" hidden="1" customWidth="1"/>
    <col min="74" max="74" width="12.28515625" hidden="1" customWidth="1"/>
    <col min="75" max="75" width="36.140625" hidden="1" customWidth="1"/>
    <col min="76" max="76" width="9.140625" style="612" hidden="1" customWidth="1"/>
    <col min="77" max="77" width="11.140625" hidden="1" customWidth="1"/>
    <col min="78" max="78" width="12.28515625" hidden="1" customWidth="1"/>
    <col min="79" max="79" width="36.140625" bestFit="1" customWidth="1"/>
    <col min="80" max="80" width="9.140625" style="612" hidden="1" customWidth="1"/>
    <col min="81" max="81" width="11.140625" customWidth="1"/>
    <col min="82" max="82" width="12.28515625" bestFit="1" customWidth="1"/>
    <col min="83" max="83" width="13.85546875" customWidth="1"/>
  </cols>
  <sheetData>
    <row r="1" spans="2:83" ht="15" hidden="1" customHeight="1" x14ac:dyDescent="0.25">
      <c r="C1" s="200"/>
    </row>
    <row r="2" spans="2:83" ht="15" hidden="1" customHeight="1" x14ac:dyDescent="0.25">
      <c r="C2" s="202"/>
    </row>
    <row r="3" spans="2:83" ht="15" hidden="1" customHeight="1" x14ac:dyDescent="0.25">
      <c r="C3" s="202"/>
    </row>
    <row r="4" spans="2:83" ht="15" hidden="1" customHeight="1" x14ac:dyDescent="0.25">
      <c r="C4" s="202"/>
    </row>
    <row r="5" spans="2:83" ht="15" hidden="1" customHeight="1" x14ac:dyDescent="0.25">
      <c r="C5" s="202"/>
    </row>
    <row r="6" spans="2:83" ht="15" hidden="1" customHeight="1" x14ac:dyDescent="0.25">
      <c r="C6" s="202"/>
    </row>
    <row r="7" spans="2:83" ht="15" hidden="1" customHeight="1" x14ac:dyDescent="0.25">
      <c r="C7" s="202"/>
    </row>
    <row r="8" spans="2:83" ht="15" hidden="1" customHeight="1" x14ac:dyDescent="0.25">
      <c r="C8" s="203"/>
    </row>
    <row r="9" spans="2:83" ht="15.75" thickBot="1" x14ac:dyDescent="0.3">
      <c r="BA9" s="709" t="s">
        <v>692</v>
      </c>
      <c r="BB9" s="709"/>
      <c r="BC9" s="709"/>
      <c r="BD9" s="709"/>
      <c r="BE9" s="602"/>
      <c r="BF9" s="602"/>
      <c r="BG9" s="602"/>
      <c r="BL9" s="709" t="s">
        <v>692</v>
      </c>
      <c r="BM9" s="709"/>
      <c r="BN9" s="709"/>
      <c r="BO9" s="709"/>
    </row>
    <row r="10" spans="2:83" ht="30.75" customHeight="1" thickBot="1" x14ac:dyDescent="0.3">
      <c r="E10" s="682" t="s">
        <v>542</v>
      </c>
      <c r="F10" s="682"/>
      <c r="G10" s="682"/>
      <c r="H10" s="682" t="s">
        <v>577</v>
      </c>
      <c r="I10" s="682"/>
      <c r="J10" s="682"/>
      <c r="K10" s="682" t="s">
        <v>656</v>
      </c>
      <c r="L10" s="682"/>
      <c r="M10" s="682"/>
      <c r="N10" s="682" t="s">
        <v>690</v>
      </c>
      <c r="O10" s="682"/>
      <c r="P10" s="682"/>
      <c r="Q10" s="683" t="s">
        <v>543</v>
      </c>
      <c r="R10" s="683"/>
      <c r="S10" s="683"/>
      <c r="T10" s="713" t="s">
        <v>559</v>
      </c>
      <c r="U10" s="713"/>
      <c r="V10" s="713"/>
      <c r="W10" s="677" t="s">
        <v>560</v>
      </c>
      <c r="X10" s="677"/>
      <c r="Y10" s="677"/>
      <c r="Z10" s="677" t="s">
        <v>579</v>
      </c>
      <c r="AA10" s="677"/>
      <c r="AB10" s="677"/>
      <c r="AC10" s="683" t="s">
        <v>573</v>
      </c>
      <c r="AD10" s="683"/>
      <c r="AE10" s="683"/>
      <c r="AF10" s="683"/>
      <c r="AG10" s="713" t="s">
        <v>574</v>
      </c>
      <c r="AH10" s="713"/>
      <c r="AI10" s="713"/>
      <c r="AJ10" s="713"/>
      <c r="AK10" s="677" t="s">
        <v>575</v>
      </c>
      <c r="AL10" s="677"/>
      <c r="AM10" s="677"/>
      <c r="AN10" s="677"/>
      <c r="AO10" s="680" t="s">
        <v>654</v>
      </c>
      <c r="AP10" s="680"/>
      <c r="AQ10" s="680"/>
      <c r="AR10" s="680"/>
      <c r="AS10" s="679" t="s">
        <v>660</v>
      </c>
      <c r="AT10" s="679"/>
      <c r="AU10" s="679"/>
      <c r="AV10" s="679"/>
      <c r="AW10" s="714" t="s">
        <v>661</v>
      </c>
      <c r="AX10" s="714"/>
      <c r="AY10" s="714"/>
      <c r="AZ10" s="714"/>
      <c r="BA10" s="710" t="s">
        <v>689</v>
      </c>
      <c r="BB10" s="711"/>
      <c r="BC10" s="711"/>
      <c r="BD10" s="712"/>
      <c r="BE10" s="699" t="s">
        <v>714</v>
      </c>
      <c r="BF10" s="700"/>
      <c r="BG10" s="701"/>
      <c r="BH10" s="706" t="s">
        <v>712</v>
      </c>
      <c r="BI10" s="707"/>
      <c r="BJ10" s="707"/>
      <c r="BK10" s="708"/>
      <c r="BL10" s="710" t="s">
        <v>689</v>
      </c>
      <c r="BM10" s="711"/>
      <c r="BN10" s="711"/>
      <c r="BO10" s="712"/>
      <c r="BP10" s="706" t="s">
        <v>717</v>
      </c>
      <c r="BQ10" s="707"/>
      <c r="BR10" s="707"/>
      <c r="BS10" s="708"/>
      <c r="BT10" s="667" t="s">
        <v>719</v>
      </c>
      <c r="BU10" s="668"/>
      <c r="BV10" s="669"/>
      <c r="BW10" s="667" t="s">
        <v>721</v>
      </c>
      <c r="BX10" s="668"/>
      <c r="BY10" s="668"/>
      <c r="BZ10" s="669"/>
      <c r="CA10" s="667" t="s">
        <v>726</v>
      </c>
      <c r="CB10" s="668"/>
      <c r="CC10" s="668"/>
      <c r="CD10" s="669"/>
    </row>
    <row r="11" spans="2:83" ht="15" customHeight="1" x14ac:dyDescent="0.25">
      <c r="B11" s="691" t="s">
        <v>159</v>
      </c>
      <c r="C11" s="678" t="s">
        <v>160</v>
      </c>
      <c r="D11" s="689" t="s">
        <v>544</v>
      </c>
      <c r="E11" s="684" t="s">
        <v>161</v>
      </c>
      <c r="F11" s="684" t="s">
        <v>167</v>
      </c>
      <c r="G11" s="684" t="s">
        <v>162</v>
      </c>
      <c r="H11" s="684" t="s">
        <v>161</v>
      </c>
      <c r="I11" s="684" t="s">
        <v>167</v>
      </c>
      <c r="J11" s="684" t="s">
        <v>162</v>
      </c>
      <c r="K11" s="684" t="s">
        <v>161</v>
      </c>
      <c r="L11" s="684" t="s">
        <v>167</v>
      </c>
      <c r="M11" s="684" t="s">
        <v>162</v>
      </c>
      <c r="N11" s="684" t="s">
        <v>161</v>
      </c>
      <c r="O11" s="684" t="s">
        <v>167</v>
      </c>
      <c r="P11" s="684" t="s">
        <v>162</v>
      </c>
      <c r="Q11" s="686" t="s">
        <v>161</v>
      </c>
      <c r="R11" s="686" t="s">
        <v>167</v>
      </c>
      <c r="S11" s="686" t="s">
        <v>162</v>
      </c>
      <c r="T11" s="681" t="s">
        <v>161</v>
      </c>
      <c r="U11" s="681" t="s">
        <v>167</v>
      </c>
      <c r="V11" s="681" t="s">
        <v>162</v>
      </c>
      <c r="W11" s="678" t="s">
        <v>161</v>
      </c>
      <c r="X11" s="678" t="s">
        <v>167</v>
      </c>
      <c r="Y11" s="678" t="s">
        <v>162</v>
      </c>
      <c r="Z11" s="678" t="s">
        <v>161</v>
      </c>
      <c r="AA11" s="678" t="s">
        <v>167</v>
      </c>
      <c r="AB11" s="678" t="s">
        <v>162</v>
      </c>
      <c r="AC11" s="686" t="s">
        <v>161</v>
      </c>
      <c r="AD11" s="375"/>
      <c r="AE11" s="686" t="s">
        <v>167</v>
      </c>
      <c r="AF11" s="686" t="s">
        <v>162</v>
      </c>
      <c r="AG11" s="681" t="s">
        <v>161</v>
      </c>
      <c r="AH11" s="374"/>
      <c r="AI11" s="681" t="s">
        <v>167</v>
      </c>
      <c r="AJ11" s="681" t="s">
        <v>162</v>
      </c>
      <c r="AK11" s="678" t="s">
        <v>161</v>
      </c>
      <c r="AL11" s="422"/>
      <c r="AM11" s="678" t="s">
        <v>167</v>
      </c>
      <c r="AN11" s="678" t="s">
        <v>162</v>
      </c>
      <c r="AO11" s="678" t="s">
        <v>161</v>
      </c>
      <c r="AP11" s="461"/>
      <c r="AQ11" s="678" t="s">
        <v>167</v>
      </c>
      <c r="AR11" s="678" t="s">
        <v>162</v>
      </c>
      <c r="AS11" s="678" t="s">
        <v>161</v>
      </c>
      <c r="AT11" s="463"/>
      <c r="AU11" s="678" t="s">
        <v>167</v>
      </c>
      <c r="AV11" s="678" t="s">
        <v>162</v>
      </c>
      <c r="AW11" s="678" t="s">
        <v>161</v>
      </c>
      <c r="AX11" s="400"/>
      <c r="AY11" s="678" t="s">
        <v>167</v>
      </c>
      <c r="AZ11" s="676" t="s">
        <v>162</v>
      </c>
      <c r="BA11" s="692" t="s">
        <v>161</v>
      </c>
      <c r="BB11" s="482"/>
      <c r="BC11" s="694" t="s">
        <v>167</v>
      </c>
      <c r="BD11" s="695" t="s">
        <v>162</v>
      </c>
      <c r="BE11" s="697" t="s">
        <v>161</v>
      </c>
      <c r="BF11" s="702" t="s">
        <v>715</v>
      </c>
      <c r="BG11" s="704" t="s">
        <v>716</v>
      </c>
      <c r="BH11" s="692" t="s">
        <v>161</v>
      </c>
      <c r="BI11" s="613"/>
      <c r="BJ11" s="694" t="s">
        <v>167</v>
      </c>
      <c r="BK11" s="695" t="s">
        <v>162</v>
      </c>
      <c r="BL11" s="692" t="s">
        <v>161</v>
      </c>
      <c r="BM11" s="611"/>
      <c r="BN11" s="694" t="s">
        <v>167</v>
      </c>
      <c r="BO11" s="695" t="s">
        <v>162</v>
      </c>
      <c r="BP11" s="692" t="s">
        <v>161</v>
      </c>
      <c r="BQ11" s="611"/>
      <c r="BR11" s="694" t="s">
        <v>167</v>
      </c>
      <c r="BS11" s="695" t="s">
        <v>162</v>
      </c>
      <c r="BT11" s="670" t="s">
        <v>161</v>
      </c>
      <c r="BU11" s="672" t="s">
        <v>167</v>
      </c>
      <c r="BV11" s="674" t="s">
        <v>162</v>
      </c>
      <c r="BW11" s="670" t="s">
        <v>161</v>
      </c>
      <c r="BX11" s="618"/>
      <c r="BY11" s="672" t="s">
        <v>167</v>
      </c>
      <c r="BZ11" s="674" t="s">
        <v>162</v>
      </c>
      <c r="CA11" s="670" t="s">
        <v>161</v>
      </c>
      <c r="CB11" s="618"/>
      <c r="CC11" s="672" t="s">
        <v>167</v>
      </c>
      <c r="CD11" s="674" t="s">
        <v>162</v>
      </c>
    </row>
    <row r="12" spans="2:83" ht="28.5" customHeight="1" x14ac:dyDescent="0.25">
      <c r="B12" s="691"/>
      <c r="C12" s="678"/>
      <c r="D12" s="690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6"/>
      <c r="R12" s="686"/>
      <c r="S12" s="686"/>
      <c r="T12" s="681"/>
      <c r="U12" s="681"/>
      <c r="V12" s="681"/>
      <c r="W12" s="678"/>
      <c r="X12" s="678"/>
      <c r="Y12" s="678"/>
      <c r="Z12" s="678"/>
      <c r="AA12" s="678"/>
      <c r="AB12" s="678"/>
      <c r="AC12" s="686"/>
      <c r="AD12" s="375"/>
      <c r="AE12" s="686"/>
      <c r="AF12" s="686"/>
      <c r="AG12" s="681"/>
      <c r="AH12" s="374"/>
      <c r="AI12" s="681"/>
      <c r="AJ12" s="681"/>
      <c r="AK12" s="678"/>
      <c r="AL12" s="422"/>
      <c r="AM12" s="678"/>
      <c r="AN12" s="678"/>
      <c r="AO12" s="678"/>
      <c r="AP12" s="461"/>
      <c r="AQ12" s="678"/>
      <c r="AR12" s="678"/>
      <c r="AS12" s="678"/>
      <c r="AT12" s="463"/>
      <c r="AU12" s="678"/>
      <c r="AV12" s="678"/>
      <c r="AW12" s="678"/>
      <c r="AX12" s="400"/>
      <c r="AY12" s="678"/>
      <c r="AZ12" s="676"/>
      <c r="BA12" s="693"/>
      <c r="BB12" s="469"/>
      <c r="BC12" s="678"/>
      <c r="BD12" s="696"/>
      <c r="BE12" s="698"/>
      <c r="BF12" s="703"/>
      <c r="BG12" s="705"/>
      <c r="BH12" s="693"/>
      <c r="BI12" s="614"/>
      <c r="BJ12" s="678"/>
      <c r="BK12" s="696"/>
      <c r="BL12" s="693"/>
      <c r="BM12" s="610"/>
      <c r="BN12" s="678"/>
      <c r="BO12" s="696"/>
      <c r="BP12" s="693"/>
      <c r="BQ12" s="610"/>
      <c r="BR12" s="678"/>
      <c r="BS12" s="696"/>
      <c r="BT12" s="671"/>
      <c r="BU12" s="673"/>
      <c r="BV12" s="675"/>
      <c r="BW12" s="671"/>
      <c r="BX12" s="619"/>
      <c r="BY12" s="673"/>
      <c r="BZ12" s="675"/>
      <c r="CA12" s="671"/>
      <c r="CB12" s="619"/>
      <c r="CC12" s="673"/>
      <c r="CD12" s="675"/>
    </row>
    <row r="13" spans="2:83" ht="26.25" customHeight="1" x14ac:dyDescent="0.25">
      <c r="B13" s="241">
        <v>1</v>
      </c>
      <c r="C13" s="242" t="s">
        <v>291</v>
      </c>
      <c r="D13" s="243">
        <v>4647.25</v>
      </c>
      <c r="E13" s="326">
        <v>1</v>
      </c>
      <c r="F13" s="327">
        <v>3436.83</v>
      </c>
      <c r="G13" s="327">
        <v>41241.96</v>
      </c>
      <c r="H13" s="326">
        <v>1</v>
      </c>
      <c r="I13" s="327">
        <v>3436.83</v>
      </c>
      <c r="J13" s="327">
        <f>I13*12</f>
        <v>41241.96</v>
      </c>
      <c r="K13" s="326">
        <v>1</v>
      </c>
      <c r="L13" s="327">
        <v>3875.84</v>
      </c>
      <c r="M13" s="327">
        <f>L13*12</f>
        <v>46510.080000000002</v>
      </c>
      <c r="N13" s="326">
        <v>1</v>
      </c>
      <c r="O13" s="327">
        <f>'Super 2'!D134</f>
        <v>4482.8100000000004</v>
      </c>
      <c r="P13" s="327">
        <f>O13*12</f>
        <v>53793.72</v>
      </c>
      <c r="Q13" s="326">
        <v>1</v>
      </c>
      <c r="R13" s="244">
        <v>3436.83</v>
      </c>
      <c r="S13" s="244">
        <v>41241.96</v>
      </c>
      <c r="T13" s="326">
        <f>E13</f>
        <v>1</v>
      </c>
      <c r="U13" s="336">
        <f>F13</f>
        <v>3436.83</v>
      </c>
      <c r="V13" s="244">
        <f>U13*12</f>
        <v>41241.96</v>
      </c>
      <c r="W13" s="326">
        <f>E13</f>
        <v>1</v>
      </c>
      <c r="X13" s="336">
        <f>R13</f>
        <v>3436.83</v>
      </c>
      <c r="Y13" s="244">
        <f>X13*12</f>
        <v>41241.96</v>
      </c>
      <c r="Z13" s="378">
        <f>W13</f>
        <v>1</v>
      </c>
      <c r="AA13" s="363">
        <f>'Resumo PARCIAL'!I11</f>
        <v>4482.8100000000004</v>
      </c>
      <c r="AB13" s="364">
        <f>AA13*12</f>
        <v>53793.72</v>
      </c>
      <c r="AC13" s="378">
        <f>'Resumo PARCIAL'!D11</f>
        <v>1</v>
      </c>
      <c r="AD13" s="378">
        <f>'Resumo PARCIAL'!E11</f>
        <v>3436.83</v>
      </c>
      <c r="AE13" s="383">
        <f>'Resumo PARCIAL'!F11</f>
        <v>3436.83</v>
      </c>
      <c r="AF13" s="383">
        <f>'Resumo PARCIAL'!G11</f>
        <v>41241.96</v>
      </c>
      <c r="AG13" s="378">
        <f>Z13</f>
        <v>1</v>
      </c>
      <c r="AH13" s="378"/>
      <c r="AI13" s="363">
        <f>AA13</f>
        <v>4482.8100000000004</v>
      </c>
      <c r="AJ13" s="364">
        <f>AB13</f>
        <v>53793.72</v>
      </c>
      <c r="AK13" s="378">
        <v>1</v>
      </c>
      <c r="AL13" s="378">
        <v>3436.83</v>
      </c>
      <c r="AM13" s="363">
        <v>3436.83</v>
      </c>
      <c r="AN13" s="363">
        <v>41241.96</v>
      </c>
      <c r="AO13" s="378">
        <v>1</v>
      </c>
      <c r="AP13" s="378">
        <v>3875.84</v>
      </c>
      <c r="AQ13" s="363">
        <v>3875.84</v>
      </c>
      <c r="AR13" s="363">
        <v>46510.080000000002</v>
      </c>
      <c r="AS13" s="378">
        <v>1</v>
      </c>
      <c r="AT13" s="378">
        <v>3875.84</v>
      </c>
      <c r="AU13" s="363">
        <v>3875.84</v>
      </c>
      <c r="AV13" s="363">
        <v>46510.080000000002</v>
      </c>
      <c r="AW13" s="378"/>
      <c r="AX13" s="378"/>
      <c r="AY13" s="363"/>
      <c r="AZ13" s="483"/>
      <c r="BA13" s="485">
        <f>K13</f>
        <v>1</v>
      </c>
      <c r="BB13" s="378">
        <f t="shared" ref="BB13:BB19" si="0">L13/K13</f>
        <v>3875.84</v>
      </c>
      <c r="BC13" s="363">
        <f>BB13*BA13</f>
        <v>3875.84</v>
      </c>
      <c r="BD13" s="486">
        <f>BC13*12</f>
        <v>46510.080000000002</v>
      </c>
      <c r="BE13" s="326">
        <v>1</v>
      </c>
      <c r="BF13" s="603">
        <f>'Super 2'!D137</f>
        <v>4482.8100000000004</v>
      </c>
      <c r="BG13" s="603">
        <f>BF13*12</f>
        <v>53793.72</v>
      </c>
      <c r="BH13" s="485">
        <v>1</v>
      </c>
      <c r="BI13" s="605">
        <v>4138.1400000000003</v>
      </c>
      <c r="BJ13" s="605">
        <v>4138.1400000000003</v>
      </c>
      <c r="BK13" s="605">
        <v>49657.680000000008</v>
      </c>
      <c r="BL13" s="485">
        <v>1</v>
      </c>
      <c r="BM13" s="378">
        <v>3875.84</v>
      </c>
      <c r="BN13" s="363">
        <v>3875.84</v>
      </c>
      <c r="BO13" s="486">
        <v>46510.080000000002</v>
      </c>
      <c r="BP13" s="485">
        <v>1</v>
      </c>
      <c r="BQ13" s="485">
        <v>3875.84</v>
      </c>
      <c r="BR13" s="624">
        <v>3875.84</v>
      </c>
      <c r="BS13" s="624">
        <v>46510.080000000002</v>
      </c>
      <c r="BT13" s="485">
        <v>1</v>
      </c>
      <c r="BU13" s="605">
        <f>'Super 2'!D137</f>
        <v>4482.8100000000004</v>
      </c>
      <c r="BV13" s="605">
        <f>BU13*12</f>
        <v>53793.72</v>
      </c>
      <c r="BW13" s="485">
        <v>1</v>
      </c>
      <c r="BX13" s="605">
        <v>4475.26</v>
      </c>
      <c r="BY13" s="605">
        <v>4475.26</v>
      </c>
      <c r="BZ13" s="605">
        <v>53703.12</v>
      </c>
      <c r="CA13" s="485">
        <f>'Resumo PARCIAL'!AX11</f>
        <v>1</v>
      </c>
      <c r="CB13" s="605">
        <f>'Resumo PARCIAL'!AU11</f>
        <v>4482.8100000000004</v>
      </c>
      <c r="CC13" s="605">
        <f>'Resumo PARCIAL'!AZ11</f>
        <v>4482.8100000000004</v>
      </c>
      <c r="CD13" s="605">
        <f>'Resumo PARCIAL'!BA11</f>
        <v>53793.72</v>
      </c>
      <c r="CE13" s="604"/>
    </row>
    <row r="14" spans="2:83" x14ac:dyDescent="0.25">
      <c r="B14" s="365">
        <v>2</v>
      </c>
      <c r="C14" s="366" t="s">
        <v>2</v>
      </c>
      <c r="D14" s="367">
        <v>2496.19</v>
      </c>
      <c r="E14" s="326">
        <v>25</v>
      </c>
      <c r="F14" s="327">
        <v>49649.600000000006</v>
      </c>
      <c r="G14" s="327">
        <v>595795.20000000007</v>
      </c>
      <c r="H14" s="326">
        <v>25</v>
      </c>
      <c r="I14" s="327">
        <v>49649.600000000006</v>
      </c>
      <c r="J14" s="327">
        <f t="shared" ref="J14:J24" si="1">I14*12</f>
        <v>595795.20000000007</v>
      </c>
      <c r="K14" s="326">
        <v>25</v>
      </c>
      <c r="L14" s="327">
        <f>60138.64-'Resumo PARCIAL'!AU12-'Resumo PARCIAL'!AU12</f>
        <v>54894.3</v>
      </c>
      <c r="M14" s="327">
        <f t="shared" ref="M14:M24" si="2">L14*12</f>
        <v>658731.60000000009</v>
      </c>
      <c r="N14" s="326">
        <v>25</v>
      </c>
      <c r="O14" s="327">
        <f>(11*'Recepção 2'!D134)+(11*'Recepção 3'!D138)+(3*'Recepção 4'!D138)</f>
        <v>66064.42</v>
      </c>
      <c r="P14" s="327">
        <f t="shared" ref="P14:P24" si="3">O14*12</f>
        <v>792773.04</v>
      </c>
      <c r="Q14" s="342">
        <v>27</v>
      </c>
      <c r="R14" s="343">
        <v>53590.900000000009</v>
      </c>
      <c r="S14" s="343">
        <v>643090.80000000005</v>
      </c>
      <c r="T14" s="326">
        <f>E14</f>
        <v>25</v>
      </c>
      <c r="U14" s="336">
        <f>F14</f>
        <v>49649.600000000006</v>
      </c>
      <c r="V14" s="244">
        <f>U14*12</f>
        <v>595795.20000000007</v>
      </c>
      <c r="W14" s="344">
        <f>Q14</f>
        <v>27</v>
      </c>
      <c r="X14" s="345">
        <f>R14</f>
        <v>53590.900000000009</v>
      </c>
      <c r="Y14" s="346">
        <f>X14*12</f>
        <v>643090.80000000005</v>
      </c>
      <c r="Z14" s="326">
        <f t="shared" ref="Z14:Z24" si="4">W14</f>
        <v>27</v>
      </c>
      <c r="AA14" s="363">
        <f>'Resumo PARCIAL'!I12+'Resumo PARCIAL'!I77+'Resumo PARCIAL'!I93+'Resumo PARCIAL'!I103+'Resumo PARCIAL'!I119+'Resumo PARCIAL'!I129+'Resumo PARCIAL'!I137+'Resumo PARCIAL'!I146+'Resumo PARCIAL'!I157+'Resumo PARCIAL'!I165</f>
        <v>68656.699999999983</v>
      </c>
      <c r="AB14" s="364">
        <f>AA14*12</f>
        <v>823880.39999999979</v>
      </c>
      <c r="AC14" s="342">
        <f>'Resumo PARCIAL'!AT12+'Resumo PARCIAL'!AT77+'Resumo PARCIAL'!AT93+'Resumo PARCIAL'!AT103+'Resumo PARCIAL'!AT119+'Resumo PARCIAL'!AT129+'Resumo PARCIAL'!AT137+'Resumo PARCIAL'!AT146+'Resumo PARCIAL'!AT157+'Resumo PARCIAL'!AT165+'Resumo PARCIAL'!AT184</f>
        <v>30</v>
      </c>
      <c r="AD14" s="342">
        <f>'Resumo PARCIAL'!AU12+'Resumo PARCIAL'!AU77+'Resumo PARCIAL'!AU93+'Resumo PARCIAL'!AU103+'Resumo PARCIAL'!AU119+'Resumo PARCIAL'!AU129+'Resumo PARCIAL'!AU137+'Resumo PARCIAL'!AU146+'Resumo PARCIAL'!AU157+'Resumo PARCIAL'!AU165+'Resumo PARCIAL'!AU184</f>
        <v>29203.910000000003</v>
      </c>
      <c r="AE14" s="384">
        <f>'Resumo PARCIAL'!AV12+'Resumo PARCIAL'!AV77+'Resumo PARCIAL'!AV93+'Resumo PARCIAL'!AV103+'Resumo PARCIAL'!AV119+'Resumo PARCIAL'!AV129+'Resumo PARCIAL'!AV137+'Resumo PARCIAL'!AV146+'Resumo PARCIAL'!AV157+'Resumo PARCIAL'!AV165+'Resumo PARCIAL'!AV184</f>
        <v>79235.049999999988</v>
      </c>
      <c r="AF14" s="384">
        <f>'Resumo PARCIAL'!AW12+'Resumo PARCIAL'!AW77+'Resumo PARCIAL'!AW93+'Resumo PARCIAL'!AW103+'Resumo PARCIAL'!AW119+'Resumo PARCIAL'!AW129+'Resumo PARCIAL'!AW137+'Resumo PARCIAL'!AW146+'Resumo PARCIAL'!AW157+'Resumo PARCIAL'!AW165+'Resumo PARCIAL'!AW184</f>
        <v>950820.59999999986</v>
      </c>
      <c r="AG14" s="391">
        <v>25</v>
      </c>
      <c r="AH14" s="378"/>
      <c r="AI14" s="363">
        <f>I14</f>
        <v>49649.600000000006</v>
      </c>
      <c r="AJ14" s="363">
        <f>J14</f>
        <v>595795.20000000007</v>
      </c>
      <c r="AK14" s="378">
        <v>27</v>
      </c>
      <c r="AL14" s="378">
        <v>21947.690000000002</v>
      </c>
      <c r="AM14" s="363">
        <v>53590.900000000009</v>
      </c>
      <c r="AN14" s="363">
        <v>643090.80000000005</v>
      </c>
      <c r="AO14" s="378">
        <v>27</v>
      </c>
      <c r="AP14" s="378">
        <v>24629.209999999995</v>
      </c>
      <c r="AQ14" s="363">
        <v>60138.64</v>
      </c>
      <c r="AR14" s="363">
        <v>721663.67999999982</v>
      </c>
      <c r="AS14" s="378">
        <v>28</v>
      </c>
      <c r="AT14" s="378">
        <v>24629.209999999995</v>
      </c>
      <c r="AU14" s="363">
        <v>62375.26</v>
      </c>
      <c r="AV14" s="363">
        <v>748503.11999999976</v>
      </c>
      <c r="AW14" s="378"/>
      <c r="AX14" s="378"/>
      <c r="AY14" s="363"/>
      <c r="AZ14" s="483"/>
      <c r="BA14" s="487">
        <f>K14+1+1+1+1</f>
        <v>29</v>
      </c>
      <c r="BB14" s="378">
        <f t="shared" si="0"/>
        <v>2195.7719999999999</v>
      </c>
      <c r="BC14" s="363">
        <f t="shared" ref="BC14:BC24" si="5">BB14*BA14</f>
        <v>63677.387999999999</v>
      </c>
      <c r="BD14" s="486">
        <f t="shared" ref="BD14:BD24" si="6">BC14*12</f>
        <v>764128.65599999996</v>
      </c>
      <c r="BE14" s="326">
        <v>25</v>
      </c>
      <c r="BF14" s="603">
        <f>(11*'Recepção 2'!D137)+('Recepção 3'!D137)+(2*'Recepção 3'!D137)+(2*'Recepção 3'!D137)+('Recepção 3'!D137)+('Recepção 3'!D137)+('Recepção 4'!D137)+(3*'Recepção 3'!D137)+(2*'Recepção 4'!D137)+('Recepção 3'!D137)</f>
        <v>66064.42</v>
      </c>
      <c r="BG14" s="603">
        <f t="shared" ref="BG14:BG24" si="7">BF14*12</f>
        <v>792773.04</v>
      </c>
      <c r="BH14" s="485">
        <v>33</v>
      </c>
      <c r="BI14" s="605">
        <v>28970.980000000007</v>
      </c>
      <c r="BJ14" s="605">
        <v>79240.56</v>
      </c>
      <c r="BK14" s="605">
        <v>950886.72000000032</v>
      </c>
      <c r="BL14" s="487">
        <v>29</v>
      </c>
      <c r="BM14" s="378">
        <v>2228.6311999999998</v>
      </c>
      <c r="BN14" s="363">
        <v>64630.304799999998</v>
      </c>
      <c r="BO14" s="486">
        <v>775563.65760000004</v>
      </c>
      <c r="BP14" s="485">
        <v>29</v>
      </c>
      <c r="BQ14" s="485">
        <v>26865.829999999994</v>
      </c>
      <c r="BR14" s="624">
        <v>64586.69000000001</v>
      </c>
      <c r="BS14" s="624">
        <v>775040.2799999998</v>
      </c>
      <c r="BT14" s="485">
        <v>33</v>
      </c>
      <c r="BU14" s="626">
        <f>BF14+(2*'Recepção 2'!D137)+'Recepção 3'!D137+'Recepção 2'!D137+'Recepção 2'!D137+'Recepção 2'!D137+(2*'Recepção 3'!D137)</f>
        <v>87131.449999999983</v>
      </c>
      <c r="BV14" s="605">
        <f t="shared" ref="BV14:BV24" si="8">BU14*12</f>
        <v>1045577.3999999998</v>
      </c>
      <c r="BW14" s="485">
        <v>32</v>
      </c>
      <c r="BX14" s="605">
        <v>31764.100000000002</v>
      </c>
      <c r="BY14" s="605">
        <v>86880.200000000012</v>
      </c>
      <c r="BZ14" s="605">
        <v>1042562.4</v>
      </c>
      <c r="CA14" s="485">
        <f>'Resumo PARCIAL'!AX25+'Resumo PARCIAL'!AX26+'Resumo PARCIAL'!AX38+'Resumo PARCIAL'!AX39+'Resumo PARCIAL'!AX46+'Resumo PARCIAL'!AX50+'Resumo PARCIAL'!AX54+'Resumo PARCIAL'!AX58+'Resumo PARCIAL'!AX62+'Resumo PARCIAL'!AX68+'Resumo PARCIAL'!AX77+'Resumo PARCIAL'!AX93+'Resumo PARCIAL'!AX94+'Resumo PARCIAL'!AX103+'Resumo PARCIAL'!AX119+'Resumo PARCIAL'!AX129+'Resumo PARCIAL'!AX137+'Resumo PARCIAL'!AX146+'Resumo PARCIAL'!AX157+'Resumo PARCIAL'!AX165+'Resumo PARCIAL'!AX184+'Resumo PARCIAL'!AX193+'Resumo PARCIAL'!AX198</f>
        <v>31</v>
      </c>
      <c r="CB14" s="605">
        <f>'Resumo PARCIAL'!AU12+'Resumo PARCIAL'!AU77+'Resumo PARCIAL'!AU93+'Resumo PARCIAL'!AU94+'Resumo PARCIAL'!AU103+'Resumo PARCIAL'!AU119+'Resumo PARCIAL'!AU129+'Resumo PARCIAL'!AU137+'Resumo PARCIAL'!AU146+'Resumo PARCIAL'!AU157+'Resumo PARCIAL'!AU165+'Resumo PARCIAL'!AU184</f>
        <v>31855.970000000005</v>
      </c>
      <c r="CC14" s="605">
        <f>'Resumo PARCIAL'!AZ25+'Resumo PARCIAL'!AZ26+'Resumo PARCIAL'!AZ38+'Resumo PARCIAL'!AZ39+'Resumo PARCIAL'!AZ46+'Resumo PARCIAL'!AZ46+'Resumo PARCIAL'!AZ50+'Resumo PARCIAL'!AZ54+'Resumo PARCIAL'!AZ58+'Resumo PARCIAL'!AZ62+'Resumo PARCIAL'!AZ68+'Resumo PARCIAL'!AZ77+'Resumo PARCIAL'!AZ93+'Resumo PARCIAL'!AZ94+'Resumo PARCIAL'!AZ103+'Resumo PARCIAL'!AZ119+'Resumo PARCIAL'!AZ129+'Resumo PARCIAL'!AZ137+'Resumo PARCIAL'!AZ146+'Resumo PARCIAL'!AZ157+'Resumo PARCIAL'!AZ165+'Resumo PARCIAL'!AZ184+'Resumo PARCIAL'!AZ193+'Resumo PARCIAL'!AZ198+'Resumo PARCIAL'!AZ213+'Resumo PARCIAL'!AY223</f>
        <v>89752.939999999973</v>
      </c>
      <c r="CD14" s="605">
        <f>'Resumo PARCIAL'!BA25+'Resumo PARCIAL'!BA26+'Resumo PARCIAL'!BA38+'Resumo PARCIAL'!BA39+'Resumo PARCIAL'!BA46+'Resumo PARCIAL'!BA46+'Resumo PARCIAL'!BA50+'Resumo PARCIAL'!BA54+'Resumo PARCIAL'!BA58+'Resumo PARCIAL'!BA62+'Resumo PARCIAL'!BA68+'Resumo PARCIAL'!BA77+'Resumo PARCIAL'!BA93+'Resumo PARCIAL'!BA94+'Resumo PARCIAL'!BA103+'Resumo PARCIAL'!BA119+'Resumo PARCIAL'!BA129+'Resumo PARCIAL'!BA137+'Resumo PARCIAL'!BA146+'Resumo PARCIAL'!BA157+'Resumo PARCIAL'!BA165+'Resumo PARCIAL'!BA184+'Resumo PARCIAL'!BA193+'Resumo PARCIAL'!BA198+'Resumo PARCIAL'!BA213</f>
        <v>1045210.5599999999</v>
      </c>
      <c r="CE14" s="604"/>
    </row>
    <row r="15" spans="2:83" x14ac:dyDescent="0.25">
      <c r="B15" s="365">
        <v>3</v>
      </c>
      <c r="C15" s="366" t="s">
        <v>163</v>
      </c>
      <c r="D15" s="367">
        <v>2194.83</v>
      </c>
      <c r="E15" s="326">
        <v>7</v>
      </c>
      <c r="F15" s="327">
        <v>9991.66</v>
      </c>
      <c r="G15" s="327">
        <v>119899.92</v>
      </c>
      <c r="H15" s="326">
        <v>7</v>
      </c>
      <c r="I15" s="327">
        <v>9991.66</v>
      </c>
      <c r="J15" s="327">
        <f t="shared" si="1"/>
        <v>119899.92</v>
      </c>
      <c r="K15" s="326">
        <v>7</v>
      </c>
      <c r="L15" s="327">
        <v>9443.43</v>
      </c>
      <c r="M15" s="327">
        <f t="shared" si="2"/>
        <v>113321.16</v>
      </c>
      <c r="N15" s="326">
        <v>7</v>
      </c>
      <c r="O15" s="327">
        <f>(5*'Copeira 2'!D134)+'Copeira 3'!D134+'Copeira 4'!D134</f>
        <v>16325.960000000003</v>
      </c>
      <c r="P15" s="327">
        <f t="shared" si="3"/>
        <v>195911.52000000002</v>
      </c>
      <c r="Q15" s="326">
        <v>7</v>
      </c>
      <c r="R15" s="244">
        <v>9991.66</v>
      </c>
      <c r="S15" s="244">
        <v>119899.92</v>
      </c>
      <c r="T15" s="339">
        <v>6</v>
      </c>
      <c r="U15" s="340">
        <v>8555.09</v>
      </c>
      <c r="V15" s="341">
        <v>102661.08</v>
      </c>
      <c r="W15" s="344">
        <f>T15</f>
        <v>6</v>
      </c>
      <c r="X15" s="345">
        <f>U15</f>
        <v>8555.09</v>
      </c>
      <c r="Y15" s="346">
        <f>X15*12</f>
        <v>102661.08</v>
      </c>
      <c r="Z15" s="326">
        <f t="shared" si="4"/>
        <v>6</v>
      </c>
      <c r="AA15" s="363">
        <f>'Resumo PARCIAL'!I13+'Resumo PARCIAL'!I158+'Resumo PARCIAL'!I166</f>
        <v>13978.660000000002</v>
      </c>
      <c r="AB15" s="364">
        <f>AA15*12</f>
        <v>167743.92000000001</v>
      </c>
      <c r="AC15" s="391">
        <v>7</v>
      </c>
      <c r="AD15" s="391">
        <f>'Resumo PARCIAL'!AU13+'Resumo PARCIAL'!AU158+'Resumo PARCIAL'!AU166</f>
        <v>7042.52</v>
      </c>
      <c r="AE15" s="392">
        <f>I15</f>
        <v>9991.66</v>
      </c>
      <c r="AF15" s="392">
        <f>J15</f>
        <v>119899.92</v>
      </c>
      <c r="AG15" s="391">
        <v>6</v>
      </c>
      <c r="AH15" s="378"/>
      <c r="AI15" s="363">
        <f>AA15</f>
        <v>13978.660000000002</v>
      </c>
      <c r="AJ15" s="363">
        <f>AB15</f>
        <v>167743.92000000001</v>
      </c>
      <c r="AK15" s="378">
        <v>6</v>
      </c>
      <c r="AL15" s="378">
        <v>4310.1000000000004</v>
      </c>
      <c r="AM15" s="363">
        <v>8555.09</v>
      </c>
      <c r="AN15" s="363">
        <v>102661.08000000002</v>
      </c>
      <c r="AO15" s="378">
        <v>6</v>
      </c>
      <c r="AP15" s="378">
        <v>4757.6499999999996</v>
      </c>
      <c r="AQ15" s="363">
        <v>9443.43</v>
      </c>
      <c r="AR15" s="363">
        <v>113321.16</v>
      </c>
      <c r="AS15" s="378">
        <v>6</v>
      </c>
      <c r="AT15" s="378">
        <v>4757.6499999999996</v>
      </c>
      <c r="AU15" s="363">
        <v>9443.43</v>
      </c>
      <c r="AV15" s="363">
        <v>113321.16</v>
      </c>
      <c r="AW15" s="378"/>
      <c r="AX15" s="378"/>
      <c r="AY15" s="363"/>
      <c r="AZ15" s="483"/>
      <c r="BA15" s="485">
        <f>E15</f>
        <v>7</v>
      </c>
      <c r="BB15" s="378">
        <f t="shared" si="0"/>
        <v>1349.0614285714287</v>
      </c>
      <c r="BC15" s="363">
        <f t="shared" si="5"/>
        <v>9443.43</v>
      </c>
      <c r="BD15" s="486">
        <f t="shared" si="6"/>
        <v>113321.16</v>
      </c>
      <c r="BE15" s="326">
        <v>7</v>
      </c>
      <c r="BF15" s="603">
        <f>(5*'Copeira 2'!D137)+('Copeira 4'!D137)+('Copeira 3'!D137)</f>
        <v>16325.960000000003</v>
      </c>
      <c r="BG15" s="603">
        <f t="shared" si="7"/>
        <v>195911.52000000002</v>
      </c>
      <c r="BH15" s="485">
        <v>7</v>
      </c>
      <c r="BI15" s="605">
        <v>5131.9400000000005</v>
      </c>
      <c r="BJ15" s="605">
        <v>11896.82</v>
      </c>
      <c r="BK15" s="605">
        <v>142761.84000000003</v>
      </c>
      <c r="BL15" s="485">
        <v>7</v>
      </c>
      <c r="BM15" s="378">
        <v>1349.0614285714287</v>
      </c>
      <c r="BN15" s="363">
        <v>9443.43</v>
      </c>
      <c r="BO15" s="486">
        <v>113321.16</v>
      </c>
      <c r="BP15" s="485">
        <v>6</v>
      </c>
      <c r="BQ15" s="485">
        <v>4757.6499999999996</v>
      </c>
      <c r="BR15" s="624">
        <v>9443.43</v>
      </c>
      <c r="BS15" s="624">
        <v>113321.16</v>
      </c>
      <c r="BT15" s="485">
        <v>7</v>
      </c>
      <c r="BU15" s="605">
        <f>BF15</f>
        <v>16325.960000000003</v>
      </c>
      <c r="BV15" s="605">
        <f t="shared" si="8"/>
        <v>195911.52000000002</v>
      </c>
      <c r="BW15" s="485">
        <v>7</v>
      </c>
      <c r="BX15" s="605">
        <v>7019.61</v>
      </c>
      <c r="BY15" s="605">
        <v>16272.849999999999</v>
      </c>
      <c r="BZ15" s="605">
        <v>195274.2</v>
      </c>
      <c r="CA15" s="485">
        <f>'Resumo PARCIAL'!AX40+'Resumo PARCIAL'!AX41+'Resumo PARCIAL'!AX69+'Resumo PARCIAL'!AX158+'Resumo PARCIAL'!AX166+'Resumo PARCIAL'!AX185</f>
        <v>7</v>
      </c>
      <c r="CB15" s="605">
        <f>'Resumo PARCIAL'!AU13+'Resumo PARCIAL'!AU158+'Resumo PARCIAL'!AU166</f>
        <v>7042.52</v>
      </c>
      <c r="CC15" s="605">
        <f>'Resumo PARCIAL'!AZ40+'Resumo PARCIAL'!AZ41+'Resumo PARCIAL'!AZ69+'Resumo PARCIAL'!AZ158+'Resumo PARCIAL'!AZ166+'Resumo PARCIAL'!AZ185</f>
        <v>16325.96</v>
      </c>
      <c r="CD15" s="605">
        <f>'Resumo PARCIAL'!BA40+'Resumo PARCIAL'!BA41+'Resumo PARCIAL'!BA69+'Resumo PARCIAL'!BA158+'Resumo PARCIAL'!BA166+'Resumo PARCIAL'!BA185+'Resumo PARCIAL'!BA223</f>
        <v>227736.24</v>
      </c>
      <c r="CE15" s="604"/>
    </row>
    <row r="16" spans="2:83" x14ac:dyDescent="0.25">
      <c r="B16" s="365">
        <v>4</v>
      </c>
      <c r="C16" s="366" t="s">
        <v>3</v>
      </c>
      <c r="D16" s="367">
        <v>3309.64</v>
      </c>
      <c r="E16" s="326">
        <v>12</v>
      </c>
      <c r="F16" s="327">
        <v>29950.969999999994</v>
      </c>
      <c r="G16" s="327">
        <v>359411.6399999999</v>
      </c>
      <c r="H16" s="326">
        <v>12</v>
      </c>
      <c r="I16" s="327">
        <v>29950.969999999994</v>
      </c>
      <c r="J16" s="327">
        <f t="shared" si="1"/>
        <v>359411.6399999999</v>
      </c>
      <c r="K16" s="326">
        <v>12</v>
      </c>
      <c r="L16" s="327">
        <f>36599.67-'Resumo PARCIAL'!AF176</f>
        <v>33782.04</v>
      </c>
      <c r="M16" s="327">
        <f t="shared" si="2"/>
        <v>405384.48</v>
      </c>
      <c r="N16" s="326">
        <v>12</v>
      </c>
      <c r="O16" s="327">
        <f>(4*'Porteiro 2'!D134)+(5*'Porteiro 3'!D134)+(3*'Porteiro 4'!D134)</f>
        <v>39926.100000000006</v>
      </c>
      <c r="P16" s="327">
        <f t="shared" si="3"/>
        <v>479113.20000000007</v>
      </c>
      <c r="Q16" s="326">
        <v>12</v>
      </c>
      <c r="R16" s="244">
        <v>29950.969999999994</v>
      </c>
      <c r="S16" s="244">
        <v>359411.6399999999</v>
      </c>
      <c r="T16" s="326">
        <v>12</v>
      </c>
      <c r="U16" s="336">
        <v>29950.969999999994</v>
      </c>
      <c r="V16" s="244">
        <v>359411.6399999999</v>
      </c>
      <c r="W16" s="326">
        <f t="shared" ref="W16:X20" si="9">E16</f>
        <v>12</v>
      </c>
      <c r="X16" s="336">
        <f t="shared" si="9"/>
        <v>29950.969999999994</v>
      </c>
      <c r="Y16" s="244">
        <f t="shared" ref="Y16:Y23" si="10">X16*12</f>
        <v>359411.6399999999</v>
      </c>
      <c r="Z16" s="326">
        <f t="shared" si="4"/>
        <v>12</v>
      </c>
      <c r="AA16" s="363">
        <f>'Resumo PARCIAL'!I14+'Resumo PARCIAL'!I78+'Resumo PARCIAL'!I85+'Resumo PARCIAL'!I95+'Resumo PARCIAL'!I104+'Resumo PARCIAL'!I120+'Resumo PARCIAL'!I138+'Resumo PARCIAL'!I147</f>
        <v>39926.100000000006</v>
      </c>
      <c r="AB16" s="364">
        <f t="shared" ref="AB16:AB23" si="11">AA16*12</f>
        <v>479113.20000000007</v>
      </c>
      <c r="AC16" s="382">
        <f>'Resumo PARCIAL'!AT14+'Resumo PARCIAL'!AT78+'Resumo PARCIAL'!AT85+'Resumo PARCIAL'!AT95+'Resumo PARCIAL'!AT104+'Resumo PARCIAL'!AT120+'Resumo PARCIAL'!AT138+'Resumo PARCIAL'!AT147+'Resumo PARCIAL'!AT176+'Resumo PARCIAL'!AT186</f>
        <v>17</v>
      </c>
      <c r="AD16" s="382">
        <f>'Resumo PARCIAL'!AU14+'Resumo PARCIAL'!AU78+'Resumo PARCIAL'!AU85+'Resumo PARCIAL'!AU95+'Resumo PARCIAL'!AU104+'Resumo PARCIAL'!AU120+'Resumo PARCIAL'!AU138+'Resumo PARCIAL'!AU147+'Resumo PARCIAL'!AU176+'Resumo PARCIAL'!AU186</f>
        <v>33340.130000000005</v>
      </c>
      <c r="AE16" s="384">
        <f>'Resumo PARCIAL'!AV14+'Resumo PARCIAL'!AV78+'Resumo PARCIAL'!AV85+'Resumo PARCIAL'!AV95+'Resumo PARCIAL'!AV104+'Resumo PARCIAL'!AV120+'Resumo PARCIAL'!AV138+'Resumo PARCIAL'!AV147+'Resumo PARCIAL'!AV176+'Resumo PARCIAL'!AV186</f>
        <v>56501.489999999983</v>
      </c>
      <c r="AF16" s="384">
        <f>'Resumo PARCIAL'!AW14+'Resumo PARCIAL'!AW78+'Resumo PARCIAL'!AW85+'Resumo PARCIAL'!AW95+'Resumo PARCIAL'!AW104+'Resumo PARCIAL'!AW120+'Resumo PARCIAL'!AW138+'Resumo PARCIAL'!AW147+'Resumo PARCIAL'!AW176+'Resumo PARCIAL'!AW186</f>
        <v>678017.88000000012</v>
      </c>
      <c r="AG16" s="378">
        <f>Z16</f>
        <v>12</v>
      </c>
      <c r="AH16" s="378"/>
      <c r="AI16" s="363">
        <f>AA16</f>
        <v>39926.100000000006</v>
      </c>
      <c r="AJ16" s="364">
        <f>AB16</f>
        <v>479113.20000000007</v>
      </c>
      <c r="AK16" s="378">
        <v>13</v>
      </c>
      <c r="AL16" s="378">
        <v>25010.429999999997</v>
      </c>
      <c r="AM16" s="363">
        <v>32449.07</v>
      </c>
      <c r="AN16" s="363">
        <v>389388.83999999997</v>
      </c>
      <c r="AO16" s="378">
        <v>13</v>
      </c>
      <c r="AP16" s="378">
        <v>28209.520000000004</v>
      </c>
      <c r="AQ16" s="363">
        <v>36599.670000000006</v>
      </c>
      <c r="AR16" s="363">
        <v>439196.04000000004</v>
      </c>
      <c r="AS16" s="378">
        <v>15</v>
      </c>
      <c r="AT16" s="378">
        <v>28209.520000000004</v>
      </c>
      <c r="AU16" s="363">
        <v>42234.930000000008</v>
      </c>
      <c r="AV16" s="363">
        <v>506819.16000000003</v>
      </c>
      <c r="AW16" s="378"/>
      <c r="AX16" s="378"/>
      <c r="AY16" s="363"/>
      <c r="AZ16" s="483"/>
      <c r="BA16" s="487">
        <f>K16+1+2+2+1</f>
        <v>18</v>
      </c>
      <c r="BB16" s="378">
        <f t="shared" si="0"/>
        <v>2815.17</v>
      </c>
      <c r="BC16" s="363">
        <f t="shared" si="5"/>
        <v>50673.06</v>
      </c>
      <c r="BD16" s="486">
        <f t="shared" si="6"/>
        <v>608076.72</v>
      </c>
      <c r="BE16" s="326">
        <v>12</v>
      </c>
      <c r="BF16" s="603">
        <f>(4*'Porteiro 2'!D137)+('Porteiro 3'!D137)+(2*'Porteiro 4'!D137)+('Porteiro 3'!D137)+('Porteiro 3'!D137)+('Porteiro 3'!D137)+('Porteiro 4'!D137)+('Porteiro 3'!D137)</f>
        <v>39926.100000000006</v>
      </c>
      <c r="BG16" s="603">
        <f t="shared" si="7"/>
        <v>479113.20000000007</v>
      </c>
      <c r="BH16" s="485">
        <v>19</v>
      </c>
      <c r="BI16" s="605">
        <v>33390.62000000001</v>
      </c>
      <c r="BJ16" s="605">
        <v>57583.590000000004</v>
      </c>
      <c r="BK16" s="605">
        <v>691003.08</v>
      </c>
      <c r="BL16" s="487">
        <v>18</v>
      </c>
      <c r="BM16" s="378">
        <v>2815.17</v>
      </c>
      <c r="BN16" s="363">
        <v>50673.06</v>
      </c>
      <c r="BO16" s="486">
        <v>608076.72</v>
      </c>
      <c r="BP16" s="485">
        <v>18</v>
      </c>
      <c r="BQ16" s="485">
        <v>31027.150000000009</v>
      </c>
      <c r="BR16" s="624">
        <v>50624.34</v>
      </c>
      <c r="BS16" s="624">
        <v>607492.08000000007</v>
      </c>
      <c r="BT16" s="485">
        <v>19</v>
      </c>
      <c r="BU16" s="605">
        <f>BF16+'Porteiro 3'!D137+(2*'Porteiro 3'!D137)+(2*'Porteiro 2'!D137)+'Porteiro 3'!D137+'Porteiro 5'!D137</f>
        <v>63268.08</v>
      </c>
      <c r="BV16" s="605">
        <f t="shared" si="8"/>
        <v>759216.96</v>
      </c>
      <c r="BW16" s="485">
        <v>16</v>
      </c>
      <c r="BX16" s="605">
        <v>36586</v>
      </c>
      <c r="BY16" s="605">
        <v>40066.999999999993</v>
      </c>
      <c r="BZ16" s="605">
        <v>480804.00000000006</v>
      </c>
      <c r="CA16" s="485">
        <f>'Resumo PARCIAL'!AX70+'Resumo PARCIAL'!AX78+'Resumo PARCIAL'!AX85+'Resumo PARCIAL'!AX95+'Resumo PARCIAL'!AX104+'Resumo PARCIAL'!AX111+'Resumo PARCIAL'!AX120+'Resumo PARCIAL'!AX138+'Resumo PARCIAL'!AX147+'Resumo PARCIAL'!AX167+'Resumo PARCIAL'!AX176+'Resumo PARCIAL'!AX186+'Resumo PARCIAL'!AX233</f>
        <v>17</v>
      </c>
      <c r="CB16" s="605">
        <f>'Resumo PARCIAL'!AU14+'Resumo PARCIAL'!AU78+'Resumo PARCIAL'!AU85+'Resumo PARCIAL'!AU95+'Resumo PARCIAL'!AU104+'Resumo PARCIAL'!AU120+'Resumo PARCIAL'!AU138+'Resumo PARCIAL'!AU147+'Resumo PARCIAL'!AU176+'Resumo PARCIAL'!AU186+'Resumo PARCIAL'!AU167</f>
        <v>36670.22</v>
      </c>
      <c r="CC16" s="605">
        <f>'Resumo PARCIAL'!AZ78+'Resumo PARCIAL'!AZ85+'Resumo PARCIAL'!AZ95+'Resumo PARCIAL'!AZ104+'Resumo PARCIAL'!AZ111+'Resumo PARCIAL'!AZ120+'Resumo PARCIAL'!AZ138+'Resumo PARCIAL'!AZ147+'Resumo PARCIAL'!AZ167+'Resumo PARCIAL'!AZ176+'Resumo PARCIAL'!AZ186+'Resumo PARCIAL'!AY233</f>
        <v>43475.189999999995</v>
      </c>
      <c r="CD16" s="605">
        <f>'Resumo PARCIAL'!BA78+'Resumo PARCIAL'!BA85+'Resumo PARCIAL'!BA95+'Resumo PARCIAL'!BA104+'Resumo PARCIAL'!BA111+'Resumo PARCIAL'!BA120+'Resumo PARCIAL'!BA138+'Resumo PARCIAL'!BA147+'Resumo PARCIAL'!BA167+'Resumo PARCIAL'!BA176+'Resumo PARCIAL'!BA186+'Resumo PARCIAL'!BA233</f>
        <v>521702.28</v>
      </c>
      <c r="CE16" s="604"/>
    </row>
    <row r="17" spans="2:83" x14ac:dyDescent="0.25">
      <c r="B17" s="365">
        <v>5</v>
      </c>
      <c r="C17" s="366" t="s">
        <v>164</v>
      </c>
      <c r="D17" s="367">
        <v>2681.5</v>
      </c>
      <c r="E17" s="326">
        <v>19</v>
      </c>
      <c r="F17" s="327">
        <v>32863.490000000005</v>
      </c>
      <c r="G17" s="327">
        <v>394361.88000000006</v>
      </c>
      <c r="H17" s="326">
        <v>19</v>
      </c>
      <c r="I17" s="327">
        <v>32863.490000000005</v>
      </c>
      <c r="J17" s="327">
        <f t="shared" si="1"/>
        <v>394361.88000000006</v>
      </c>
      <c r="K17" s="326">
        <v>19</v>
      </c>
      <c r="L17" s="327">
        <v>36683.47</v>
      </c>
      <c r="M17" s="327">
        <f t="shared" si="2"/>
        <v>440201.64</v>
      </c>
      <c r="N17" s="326">
        <v>19</v>
      </c>
      <c r="O17" s="327">
        <f>(7*'ASG 2'!D134)+(10*'ASG 3'!D134)+('ASG 5'!D134)+('ASG 4'!D134)</f>
        <v>44002.46</v>
      </c>
      <c r="P17" s="327">
        <f t="shared" si="3"/>
        <v>528029.52</v>
      </c>
      <c r="Q17" s="326">
        <v>19</v>
      </c>
      <c r="R17" s="244">
        <v>32863.490000000005</v>
      </c>
      <c r="S17" s="244">
        <v>394361.88000000006</v>
      </c>
      <c r="T17" s="326">
        <v>19</v>
      </c>
      <c r="U17" s="336">
        <v>32863.490000000005</v>
      </c>
      <c r="V17" s="244">
        <v>394361.88000000006</v>
      </c>
      <c r="W17" s="326">
        <f t="shared" si="9"/>
        <v>19</v>
      </c>
      <c r="X17" s="336">
        <f t="shared" si="9"/>
        <v>32863.490000000005</v>
      </c>
      <c r="Y17" s="244">
        <f t="shared" si="10"/>
        <v>394361.88000000006</v>
      </c>
      <c r="Z17" s="326">
        <f t="shared" si="4"/>
        <v>19</v>
      </c>
      <c r="AA17" s="363">
        <f>'Resumo PARCIAL'!I15+'Resumo PARCIAL'!I96+'Resumo PARCIAL'!I105+'Resumo PARCIAL'!I112+'Resumo PARCIAL'!I121+'Resumo PARCIAL'!I148+'Resumo PARCIAL'!I159+'Resumo PARCIAL'!I168+'Resumo PARCIAL'!I177</f>
        <v>44002.460000000006</v>
      </c>
      <c r="AB17" s="364">
        <f t="shared" si="11"/>
        <v>528029.52</v>
      </c>
      <c r="AC17" s="382">
        <f>'Resumo PARCIAL'!AT15+'Resumo PARCIAL'!AT96+'Resumo PARCIAL'!AT105+'Resumo PARCIAL'!AT112+'Resumo PARCIAL'!AT121+'Resumo PARCIAL'!AT139+'Resumo PARCIAL'!AT148+'Resumo PARCIAL'!AT159+'Resumo PARCIAL'!AT168+'Resumo PARCIAL'!D177</f>
        <v>15</v>
      </c>
      <c r="AD17" s="382">
        <f>'Resumo PARCIAL'!AU15+'Resumo PARCIAL'!AU96+'Resumo PARCIAL'!AU105+'Resumo PARCIAL'!AU112+'Resumo PARCIAL'!AU121+'Resumo PARCIAL'!AU139+'Resumo PARCIAL'!AU148+'Resumo PARCIAL'!AU159+'Resumo PARCIAL'!AU168+'Resumo PARCIAL'!E177</f>
        <v>22706.85</v>
      </c>
      <c r="AE17" s="384">
        <f>'Resumo PARCIAL'!AV15+'Resumo PARCIAL'!AV96+'Resumo PARCIAL'!AV105+'Resumo PARCIAL'!AV112+'Resumo PARCIAL'!AV121+'Resumo PARCIAL'!AV139+'Resumo PARCIAL'!AV148+'Resumo PARCIAL'!AV159+'Resumo PARCIAL'!AV168+'Resumo PARCIAL'!F177</f>
        <v>34182.549999999996</v>
      </c>
      <c r="AF17" s="384">
        <f>'Resumo PARCIAL'!AW15+'Resumo PARCIAL'!AW96+'Resumo PARCIAL'!AW105+'Resumo PARCIAL'!AW112+'Resumo PARCIAL'!AW121+'Resumo PARCIAL'!AW139+'Resumo PARCIAL'!AW148+'Resumo PARCIAL'!AW159+'Resumo PARCIAL'!AW168+'Resumo PARCIAL'!G177</f>
        <v>410190.59999999992</v>
      </c>
      <c r="AG17" s="387">
        <f>'Resumo PARCIAL'!AT15+'Resumo PARCIAL'!AT96+'Resumo PARCIAL'!AT105+'Resumo PARCIAL'!AT112+'Resumo PARCIAL'!AT121+'Resumo PARCIAL'!AT148+'Resumo PARCIAL'!AT159+'Resumo PARCIAL'!AT168+'Resumo PARCIAL'!AT177</f>
        <v>13</v>
      </c>
      <c r="AH17" s="387">
        <f>'Resumo PARCIAL'!AU15+'Resumo PARCIAL'!AU96+'Resumo PARCIAL'!AU105+'Resumo PARCIAL'!AU112+'Resumo PARCIAL'!AU121+'Resumo PARCIAL'!AU148+'Resumo PARCIAL'!AU159+'Resumo PARCIAL'!AU168+'Resumo PARCIAL'!AU177</f>
        <v>18625.12</v>
      </c>
      <c r="AI17" s="388">
        <f>'Resumo PARCIAL'!AV15+'Resumo PARCIAL'!AV96+'Resumo PARCIAL'!AV105+'Resumo PARCIAL'!AV112+'Resumo PARCIAL'!AV121+'Resumo PARCIAL'!AV148+'Resumo PARCIAL'!AV159+'Resumo PARCIAL'!AV168+'Resumo PARCIAL'!AV177</f>
        <v>30100.82</v>
      </c>
      <c r="AJ17" s="388">
        <f>'Resumo PARCIAL'!AW15+'Resumo PARCIAL'!AW96+'Resumo PARCIAL'!AW105+'Resumo PARCIAL'!AW112+'Resumo PARCIAL'!AW121+'Resumo PARCIAL'!AW148+'Resumo PARCIAL'!AW159+'Resumo PARCIAL'!AW168+'Resumo PARCIAL'!AW177</f>
        <v>361209.83999999997</v>
      </c>
      <c r="AK17" s="378">
        <v>19</v>
      </c>
      <c r="AL17" s="378">
        <v>17397.66</v>
      </c>
      <c r="AM17" s="363">
        <v>32883.480000000003</v>
      </c>
      <c r="AN17" s="363">
        <v>394601.75999999995</v>
      </c>
      <c r="AO17" s="378">
        <v>19</v>
      </c>
      <c r="AP17" s="378">
        <v>19408.09</v>
      </c>
      <c r="AQ17" s="363">
        <v>36683.47</v>
      </c>
      <c r="AR17" s="363">
        <v>440201.6399999999</v>
      </c>
      <c r="AS17" s="378">
        <v>20</v>
      </c>
      <c r="AT17" s="378">
        <v>17474.07</v>
      </c>
      <c r="AU17" s="363">
        <v>38595.689999999995</v>
      </c>
      <c r="AV17" s="363">
        <v>463148.27999999991</v>
      </c>
      <c r="AW17" s="378"/>
      <c r="AX17" s="378"/>
      <c r="AY17" s="363"/>
      <c r="AZ17" s="483"/>
      <c r="BA17" s="487">
        <f>E17+2+1</f>
        <v>22</v>
      </c>
      <c r="BB17" s="378">
        <f t="shared" si="0"/>
        <v>1930.7089473684211</v>
      </c>
      <c r="BC17" s="363">
        <f t="shared" si="5"/>
        <v>42475.596842105268</v>
      </c>
      <c r="BD17" s="486">
        <f t="shared" si="6"/>
        <v>509707.16210526321</v>
      </c>
      <c r="BE17" s="326">
        <v>19</v>
      </c>
      <c r="BF17" s="603">
        <f>(7*'ASG 2'!D137)+(2*'ASG 3'!D137)+('ASG 3'!D137)+('ASG 5'!D137)+('ASG 3'!D137)+(4*'ASG 3'!D137)+('ASG 4'!D137)+('ASG 3'!D137)+('ASG 3'!D137)</f>
        <v>44002.460000000006</v>
      </c>
      <c r="BG17" s="603">
        <f t="shared" si="7"/>
        <v>528029.52</v>
      </c>
      <c r="BH17" s="485">
        <v>15</v>
      </c>
      <c r="BI17" s="605">
        <v>18814.439999999995</v>
      </c>
      <c r="BJ17" s="605">
        <v>31215.35999999999</v>
      </c>
      <c r="BK17" s="605">
        <v>374584.32000000001</v>
      </c>
      <c r="BL17" s="487">
        <v>22</v>
      </c>
      <c r="BM17" s="378">
        <v>1930.7089473684211</v>
      </c>
      <c r="BN17" s="363">
        <v>42475.596842105268</v>
      </c>
      <c r="BO17" s="486">
        <v>509707.16210526321</v>
      </c>
      <c r="BP17" s="485">
        <v>18</v>
      </c>
      <c r="BQ17" s="485">
        <v>17474.07</v>
      </c>
      <c r="BR17" s="624">
        <v>34793.54</v>
      </c>
      <c r="BS17" s="624">
        <v>417522.48</v>
      </c>
      <c r="BT17" s="485">
        <v>23</v>
      </c>
      <c r="BU17" s="605">
        <f>BF17+'ASG 4'!D137+'ASG 2'!D137+'ASG 4'!D137+'ASG 3'!D137+'ASG 3'!D137+'ASG 3'!D138</f>
        <v>57957.60000000002</v>
      </c>
      <c r="BV17" s="605">
        <f t="shared" si="8"/>
        <v>695491.20000000019</v>
      </c>
      <c r="BW17" s="485">
        <v>17</v>
      </c>
      <c r="BX17" s="605">
        <v>20697.260000000002</v>
      </c>
      <c r="BY17" s="605">
        <v>38946.500000000007</v>
      </c>
      <c r="BZ17" s="605">
        <v>467357.99999999988</v>
      </c>
      <c r="CA17" s="485">
        <f>'Resumo PARCIAL'!AX27+'Resumo PARCIAL'!AX28+'Resumo PARCIAL'!AX63+'Resumo PARCIAL'!AX71+'Resumo PARCIAL'!AX86+'Resumo PARCIAL'!AX96+'Resumo PARCIAL'!AX105+'Resumo PARCIAL'!AX112+'Resumo PARCIAL'!AX121+'Resumo PARCIAL'!AX130+'Resumo PARCIAL'!AX139+'Resumo PARCIAL'!AX148+'Resumo PARCIAL'!AX159+'Resumo PARCIAL'!AX168+'Resumo PARCIAL'!AX177+'Resumo PARCIAL'!AX203+'Resumo PARCIAL'!AX208</f>
        <v>15</v>
      </c>
      <c r="CB17" s="605">
        <f>'Resumo PARCIAL'!AU15+'Resumo PARCIAL'!AU96+'Resumo PARCIAL'!AU105+'Resumo PARCIAL'!AU112+'Resumo PARCIAL'!AU121+'Resumo PARCIAL'!AU139+'Resumo PARCIAL'!AU148+'Resumo PARCIAL'!AU159+'Resumo PARCIAL'!AU168+'Resumo PARCIAL'!AU177</f>
        <v>20973.17</v>
      </c>
      <c r="CC17" s="605">
        <f>'Resumo PARCIAL'!AZ27+'Resumo PARCIAL'!AZ28+'Resumo PARCIAL'!AZ63+'Resumo PARCIAL'!AZ71+'Resumo PARCIAL'!AZ86+'Resumo PARCIAL'!AZ96+'Resumo PARCIAL'!AZ105+'Resumo PARCIAL'!AZ112+'Resumo PARCIAL'!AZ121+'Resumo PARCIAL'!AZ130+'Resumo PARCIAL'!AZ139+'Resumo PARCIAL'!AZ148+'Resumo PARCIAL'!AZ159+'Resumo PARCIAL'!AZ168+'Resumo PARCIAL'!AZ177+'Resumo PARCIAL'!AZ203+'Resumo PARCIAL'!AZ208+'Resumo PARCIAL'!AY228+'Resumo PARCIAL'!AY199</f>
        <v>39519.81</v>
      </c>
      <c r="CD17" s="605">
        <f>'Resumo PARCIAL'!BA27+'Resumo PARCIAL'!BA28+'Resumo PARCIAL'!BA63+'Resumo PARCIAL'!BA71+'Resumo PARCIAL'!BA86+'Resumo PARCIAL'!BA96+'Resumo PARCIAL'!BA105+'Resumo PARCIAL'!BA112+'Resumo PARCIAL'!BA121+'Resumo PARCIAL'!BA130+'Resumo PARCIAL'!BA139+'Resumo PARCIAL'!BA148+'Resumo PARCIAL'!BA159+'Resumo PARCIAL'!BA168+'Resumo PARCIAL'!BA177+'Resumo PARCIAL'!BA203+'Resumo PARCIAL'!BA208+'Resumo PARCIAL'!BA228+'Resumo PARCIAL'!BA199</f>
        <v>474237.71999999986</v>
      </c>
      <c r="CE17" s="604"/>
    </row>
    <row r="18" spans="2:83" x14ac:dyDescent="0.25">
      <c r="B18" s="365">
        <v>6</v>
      </c>
      <c r="C18" s="366" t="s">
        <v>6</v>
      </c>
      <c r="D18" s="367">
        <v>3954.01</v>
      </c>
      <c r="E18" s="326">
        <v>1</v>
      </c>
      <c r="F18" s="327">
        <v>2981.85</v>
      </c>
      <c r="G18" s="327">
        <v>35782.199999999997</v>
      </c>
      <c r="H18" s="387">
        <v>1</v>
      </c>
      <c r="I18" s="388">
        <f>AA18</f>
        <v>3902.63</v>
      </c>
      <c r="J18" s="327">
        <f t="shared" si="1"/>
        <v>46831.56</v>
      </c>
      <c r="K18" s="387">
        <v>1</v>
      </c>
      <c r="L18" s="388">
        <v>3274.27</v>
      </c>
      <c r="M18" s="327">
        <f t="shared" si="2"/>
        <v>39291.24</v>
      </c>
      <c r="N18" s="378">
        <v>1</v>
      </c>
      <c r="O18" s="383">
        <f>'Caldereiro 3'!D133</f>
        <v>3902.63</v>
      </c>
      <c r="P18" s="327">
        <f t="shared" si="3"/>
        <v>46831.56</v>
      </c>
      <c r="Q18" s="326">
        <v>1</v>
      </c>
      <c r="R18" s="244">
        <v>2981.85</v>
      </c>
      <c r="S18" s="244">
        <v>35782.199999999997</v>
      </c>
      <c r="T18" s="326">
        <v>1</v>
      </c>
      <c r="U18" s="336">
        <v>2981.85</v>
      </c>
      <c r="V18" s="244">
        <v>35782.199999999997</v>
      </c>
      <c r="W18" s="326">
        <f t="shared" si="9"/>
        <v>1</v>
      </c>
      <c r="X18" s="336">
        <f t="shared" si="9"/>
        <v>2981.85</v>
      </c>
      <c r="Y18" s="244">
        <f t="shared" si="10"/>
        <v>35782.199999999997</v>
      </c>
      <c r="Z18" s="344">
        <f t="shared" si="4"/>
        <v>1</v>
      </c>
      <c r="AA18" s="345">
        <f>'Resumo PARCIAL'!I149</f>
        <v>3902.63</v>
      </c>
      <c r="AB18" s="346">
        <f t="shared" si="11"/>
        <v>46831.56</v>
      </c>
      <c r="AC18" s="378">
        <f>'Resumo PARCIAL'!AT149</f>
        <v>1</v>
      </c>
      <c r="AD18" s="378">
        <f>'Resumo PARCIAL'!AU149</f>
        <v>3902.63</v>
      </c>
      <c r="AE18" s="383">
        <f>'Resumo PARCIAL'!AV149</f>
        <v>3902.63</v>
      </c>
      <c r="AF18" s="383">
        <f>'Resumo PARCIAL'!AW149</f>
        <v>46831.56</v>
      </c>
      <c r="AG18" s="378">
        <f>'Resumo PARCIAL'!AT149</f>
        <v>1</v>
      </c>
      <c r="AH18" s="378"/>
      <c r="AI18" s="363">
        <f>AA18</f>
        <v>3902.63</v>
      </c>
      <c r="AJ18" s="364">
        <f>AB18</f>
        <v>46831.56</v>
      </c>
      <c r="AK18" s="378">
        <v>1</v>
      </c>
      <c r="AL18" s="378">
        <v>3274.27</v>
      </c>
      <c r="AM18" s="363">
        <v>3274.27</v>
      </c>
      <c r="AN18" s="363">
        <v>39291.24</v>
      </c>
      <c r="AO18" s="378">
        <v>1</v>
      </c>
      <c r="AP18" s="378">
        <v>3274.27</v>
      </c>
      <c r="AQ18" s="363">
        <v>3274.27</v>
      </c>
      <c r="AR18" s="363">
        <v>39291.24</v>
      </c>
      <c r="AS18" s="378">
        <v>1</v>
      </c>
      <c r="AT18" s="378">
        <v>3274.27</v>
      </c>
      <c r="AU18" s="363">
        <v>3274.27</v>
      </c>
      <c r="AV18" s="363">
        <v>39291.24</v>
      </c>
      <c r="AW18" s="378"/>
      <c r="AX18" s="378"/>
      <c r="AY18" s="363"/>
      <c r="AZ18" s="483"/>
      <c r="BA18" s="485">
        <f>E18</f>
        <v>1</v>
      </c>
      <c r="BB18" s="378">
        <f t="shared" si="0"/>
        <v>3274.27</v>
      </c>
      <c r="BC18" s="363">
        <f t="shared" si="5"/>
        <v>3274.27</v>
      </c>
      <c r="BD18" s="486">
        <f t="shared" si="6"/>
        <v>39291.24</v>
      </c>
      <c r="BE18" s="326">
        <v>1</v>
      </c>
      <c r="BF18" s="603">
        <f>'Caldereiro 3'!D136</f>
        <v>3902.63</v>
      </c>
      <c r="BG18" s="603">
        <f t="shared" si="7"/>
        <v>46831.56</v>
      </c>
      <c r="BH18" s="485">
        <v>1</v>
      </c>
      <c r="BI18" s="605">
        <v>3608.25</v>
      </c>
      <c r="BJ18" s="605">
        <v>3608.25</v>
      </c>
      <c r="BK18" s="605">
        <v>43299</v>
      </c>
      <c r="BL18" s="485">
        <v>1</v>
      </c>
      <c r="BM18" s="378">
        <v>3274.27</v>
      </c>
      <c r="BN18" s="363">
        <v>3274.27</v>
      </c>
      <c r="BO18" s="486">
        <v>39291.24</v>
      </c>
      <c r="BP18" s="485">
        <v>1</v>
      </c>
      <c r="BQ18" s="485">
        <v>3274.27</v>
      </c>
      <c r="BR18" s="624">
        <v>3274.27</v>
      </c>
      <c r="BS18" s="624">
        <v>39291.24</v>
      </c>
      <c r="BT18" s="485">
        <v>1</v>
      </c>
      <c r="BU18" s="605">
        <f>'Caldereiro 3'!D136</f>
        <v>3902.63</v>
      </c>
      <c r="BV18" s="605">
        <f t="shared" si="8"/>
        <v>46831.56</v>
      </c>
      <c r="BW18" s="485">
        <v>1</v>
      </c>
      <c r="BX18" s="605">
        <v>3879.73</v>
      </c>
      <c r="BY18" s="605">
        <v>3879.73</v>
      </c>
      <c r="BZ18" s="605">
        <v>46556.76</v>
      </c>
      <c r="CA18" s="485">
        <f>'Resumo PARCIAL'!AT149</f>
        <v>1</v>
      </c>
      <c r="CB18" s="605">
        <f>'Resumo PARCIAL'!AU149</f>
        <v>3902.63</v>
      </c>
      <c r="CC18" s="605">
        <f>'Resumo PARCIAL'!AZ149</f>
        <v>3902.63</v>
      </c>
      <c r="CD18" s="605">
        <f>'Resumo PARCIAL'!BA149</f>
        <v>46831.56</v>
      </c>
      <c r="CE18" s="604"/>
    </row>
    <row r="19" spans="2:83" x14ac:dyDescent="0.25">
      <c r="B19" s="365">
        <v>7</v>
      </c>
      <c r="C19" s="366" t="s">
        <v>165</v>
      </c>
      <c r="D19" s="367">
        <v>3070.86</v>
      </c>
      <c r="E19" s="326">
        <v>1</v>
      </c>
      <c r="F19" s="327">
        <v>2466.3000000000002</v>
      </c>
      <c r="G19" s="327">
        <v>29595.600000000002</v>
      </c>
      <c r="H19" s="387">
        <v>1</v>
      </c>
      <c r="I19" s="388">
        <f>AA19</f>
        <v>3331.13</v>
      </c>
      <c r="J19" s="327">
        <f t="shared" si="1"/>
        <v>39973.56</v>
      </c>
      <c r="K19" s="387">
        <v>1</v>
      </c>
      <c r="L19" s="388">
        <v>2814.05</v>
      </c>
      <c r="M19" s="327">
        <f t="shared" si="2"/>
        <v>33768.600000000006</v>
      </c>
      <c r="N19" s="378">
        <v>1</v>
      </c>
      <c r="O19" s="383">
        <f>'Almoxarife 2'!D134</f>
        <v>3331.13</v>
      </c>
      <c r="P19" s="327">
        <f t="shared" si="3"/>
        <v>39973.56</v>
      </c>
      <c r="Q19" s="326">
        <v>1</v>
      </c>
      <c r="R19" s="244">
        <v>2466.3000000000002</v>
      </c>
      <c r="S19" s="244">
        <v>29595.600000000002</v>
      </c>
      <c r="T19" s="326">
        <v>1</v>
      </c>
      <c r="U19" s="336">
        <v>2466.3000000000002</v>
      </c>
      <c r="V19" s="244">
        <v>29595.600000000002</v>
      </c>
      <c r="W19" s="326">
        <f t="shared" si="9"/>
        <v>1</v>
      </c>
      <c r="X19" s="336">
        <f t="shared" si="9"/>
        <v>2466.3000000000002</v>
      </c>
      <c r="Y19" s="244">
        <f t="shared" si="10"/>
        <v>29595.600000000002</v>
      </c>
      <c r="Z19" s="344">
        <f t="shared" si="4"/>
        <v>1</v>
      </c>
      <c r="AA19" s="345">
        <f>'Resumo PARCIAL'!I16</f>
        <v>3331.13</v>
      </c>
      <c r="AB19" s="346">
        <f t="shared" si="11"/>
        <v>39973.56</v>
      </c>
      <c r="AC19" s="378">
        <f>'Resumo PARCIAL'!AT16</f>
        <v>1</v>
      </c>
      <c r="AD19" s="378">
        <f>'Resumo PARCIAL'!AU16</f>
        <v>3331.13</v>
      </c>
      <c r="AE19" s="383">
        <f>'Resumo PARCIAL'!AV16</f>
        <v>3331.13</v>
      </c>
      <c r="AF19" s="383">
        <f>'Resumo PARCIAL'!AW16</f>
        <v>39973.56</v>
      </c>
      <c r="AG19" s="378">
        <f>Z18</f>
        <v>1</v>
      </c>
      <c r="AH19" s="378"/>
      <c r="AI19" s="363">
        <f>AA19</f>
        <v>3331.13</v>
      </c>
      <c r="AJ19" s="364">
        <f>AB19</f>
        <v>39973.56</v>
      </c>
      <c r="AK19" s="378">
        <v>1</v>
      </c>
      <c r="AL19" s="378">
        <v>2814.05</v>
      </c>
      <c r="AM19" s="363">
        <v>2814.05</v>
      </c>
      <c r="AN19" s="363">
        <v>33768.600000000006</v>
      </c>
      <c r="AO19" s="378">
        <v>1</v>
      </c>
      <c r="AP19" s="378">
        <v>2814.05</v>
      </c>
      <c r="AQ19" s="363">
        <v>2814.05</v>
      </c>
      <c r="AR19" s="363">
        <v>33768.600000000006</v>
      </c>
      <c r="AS19" s="378">
        <v>1</v>
      </c>
      <c r="AT19" s="378">
        <v>2814.05</v>
      </c>
      <c r="AU19" s="363">
        <v>2814.05</v>
      </c>
      <c r="AV19" s="363">
        <v>33768.600000000006</v>
      </c>
      <c r="AW19" s="378"/>
      <c r="AX19" s="378"/>
      <c r="AY19" s="363"/>
      <c r="AZ19" s="483"/>
      <c r="BA19" s="485">
        <f>E19</f>
        <v>1</v>
      </c>
      <c r="BB19" s="378">
        <f t="shared" si="0"/>
        <v>2814.05</v>
      </c>
      <c r="BC19" s="363">
        <f t="shared" si="5"/>
        <v>2814.05</v>
      </c>
      <c r="BD19" s="486">
        <f t="shared" si="6"/>
        <v>33768.600000000006</v>
      </c>
      <c r="BE19" s="326">
        <v>1</v>
      </c>
      <c r="BF19" s="603">
        <f>'Almoxarife 2'!D137</f>
        <v>3331.13</v>
      </c>
      <c r="BG19" s="603">
        <f t="shared" si="7"/>
        <v>39973.56</v>
      </c>
      <c r="BH19" s="485">
        <v>1</v>
      </c>
      <c r="BI19" s="605">
        <v>3075.78</v>
      </c>
      <c r="BJ19" s="605">
        <v>3075.78</v>
      </c>
      <c r="BK19" s="605">
        <v>36909.360000000001</v>
      </c>
      <c r="BL19" s="485">
        <v>1</v>
      </c>
      <c r="BM19" s="378">
        <v>2814.05</v>
      </c>
      <c r="BN19" s="363">
        <v>2814.05</v>
      </c>
      <c r="BO19" s="486">
        <v>33768.600000000006</v>
      </c>
      <c r="BP19" s="485">
        <v>1</v>
      </c>
      <c r="BQ19" s="485">
        <v>2814.05</v>
      </c>
      <c r="BR19" s="624">
        <v>2814.05</v>
      </c>
      <c r="BS19" s="624">
        <v>33768.600000000006</v>
      </c>
      <c r="BT19" s="485">
        <v>1</v>
      </c>
      <c r="BU19" s="605">
        <f>'Almoxarife 2'!D137</f>
        <v>3331.13</v>
      </c>
      <c r="BV19" s="605">
        <f t="shared" si="8"/>
        <v>39973.56</v>
      </c>
      <c r="BW19" s="485">
        <v>1</v>
      </c>
      <c r="BX19" s="605">
        <v>3308.48</v>
      </c>
      <c r="BY19" s="605">
        <v>3308.48</v>
      </c>
      <c r="BZ19" s="605">
        <v>39701.760000000002</v>
      </c>
      <c r="CA19" s="485">
        <f>'Resumo PARCIAL'!AT16</f>
        <v>1</v>
      </c>
      <c r="CB19" s="605">
        <f>'Resumo PARCIAL'!AU16</f>
        <v>3331.13</v>
      </c>
      <c r="CC19" s="605">
        <f>'Resumo PARCIAL'!AZ16</f>
        <v>3331.13</v>
      </c>
      <c r="CD19" s="605">
        <f>'Resumo PARCIAL'!BA16</f>
        <v>39973.56</v>
      </c>
      <c r="CE19" s="604"/>
    </row>
    <row r="20" spans="2:83" x14ac:dyDescent="0.25">
      <c r="B20" s="365">
        <v>8</v>
      </c>
      <c r="C20" s="366" t="s">
        <v>7</v>
      </c>
      <c r="D20" s="367">
        <v>3468.56</v>
      </c>
      <c r="E20" s="326">
        <v>17</v>
      </c>
      <c r="F20" s="327">
        <v>50692.53</v>
      </c>
      <c r="G20" s="327">
        <v>608310.36</v>
      </c>
      <c r="H20" s="387">
        <v>17</v>
      </c>
      <c r="I20" s="388">
        <f>AA20</f>
        <v>59685.069999999992</v>
      </c>
      <c r="J20" s="327">
        <f t="shared" si="1"/>
        <v>716220.83999999985</v>
      </c>
      <c r="K20" s="387">
        <v>17</v>
      </c>
      <c r="L20" s="388">
        <v>54969.880000000005</v>
      </c>
      <c r="M20" s="327">
        <f t="shared" si="2"/>
        <v>659638.56000000006</v>
      </c>
      <c r="N20" s="492">
        <v>17</v>
      </c>
      <c r="O20" s="493">
        <f>(5*'Oficial 2'!D133)+(8*'Oficial 3'!D133)+('Oficial 4'!D133*3)+('Oficial 5'!D133)</f>
        <v>59685.069999999992</v>
      </c>
      <c r="P20" s="494">
        <f t="shared" si="3"/>
        <v>716220.83999999985</v>
      </c>
      <c r="Q20" s="326">
        <v>17</v>
      </c>
      <c r="R20" s="244">
        <v>50692.53</v>
      </c>
      <c r="S20" s="244">
        <v>608310.36</v>
      </c>
      <c r="T20" s="326">
        <v>17</v>
      </c>
      <c r="U20" s="336">
        <v>50692.53</v>
      </c>
      <c r="V20" s="244">
        <v>608310.36</v>
      </c>
      <c r="W20" s="326">
        <f t="shared" si="9"/>
        <v>17</v>
      </c>
      <c r="X20" s="336">
        <f t="shared" si="9"/>
        <v>50692.53</v>
      </c>
      <c r="Y20" s="244">
        <f t="shared" si="10"/>
        <v>608310.36</v>
      </c>
      <c r="Z20" s="344">
        <f t="shared" si="4"/>
        <v>17</v>
      </c>
      <c r="AA20" s="345">
        <f>'Resumo PARCIAL'!I17+'Resumo PARCIAL'!I79+'Resumo PARCIAL'!I87+'Resumo PARCIAL'!I97+'Resumo PARCIAL'!I106+'Resumo PARCIAL'!I113+'Resumo PARCIAL'!I122+'Resumo PARCIAL'!I131+'Resumo PARCIAL'!I140+'Resumo PARCIAL'!I150+'Resumo PARCIAL'!I160+'Resumo PARCIAL'!I169+'Resumo PARCIAL'!I178</f>
        <v>59685.069999999992</v>
      </c>
      <c r="AB20" s="346">
        <f t="shared" si="11"/>
        <v>716220.83999999985</v>
      </c>
      <c r="AC20" s="378">
        <f>'Resumo PARCIAL'!AT17+'Resumo PARCIAL'!AT79+'Resumo PARCIAL'!AT87+'Resumo PARCIAL'!AT97+'Resumo PARCIAL'!AT106+'Resumo PARCIAL'!AT113+'Resumo PARCIAL'!AT122+'Resumo PARCIAL'!AT131+'Resumo PARCIAL'!AT140+'Resumo PARCIAL'!AT150+'Resumo PARCIAL'!AT160+'Resumo PARCIAL'!AT169+'Resumo PARCIAL'!AT178</f>
        <v>18</v>
      </c>
      <c r="AD20" s="378">
        <f>'Resumo PARCIAL'!AU17+'Resumo PARCIAL'!AU79+'Resumo PARCIAL'!AU87+'Resumo PARCIAL'!AU97+'Resumo PARCIAL'!AU106+'Resumo PARCIAL'!AU113+'Resumo PARCIAL'!AU122+'Resumo PARCIAL'!AU131+'Resumo PARCIAL'!AU140+'Resumo PARCIAL'!AU150+'Resumo PARCIAL'!AU160+'Resumo PARCIAL'!AU169+'Resumo PARCIAL'!AU178</f>
        <v>45801.03</v>
      </c>
      <c r="AE20" s="383">
        <f>'Resumo PARCIAL'!AV17+'Resumo PARCIAL'!AV79+'Resumo PARCIAL'!AV87+'Resumo PARCIAL'!AV97+'Resumo PARCIAL'!AV106+'Resumo PARCIAL'!AV113+'Resumo PARCIAL'!AV122+'Resumo PARCIAL'!AV131+'Resumo PARCIAL'!AV140+'Resumo PARCIAL'!AV150+'Resumo PARCIAL'!AV160+'Resumo PARCIAL'!AV169+'Resumo PARCIAL'!AV178</f>
        <v>63235.179999999993</v>
      </c>
      <c r="AF20" s="383">
        <f>'Resumo PARCIAL'!AW17+'Resumo PARCIAL'!AW79+'Resumo PARCIAL'!AW87+'Resumo PARCIAL'!AW97+'Resumo PARCIAL'!AW106+'Resumo PARCIAL'!AW113+'Resumo PARCIAL'!AW122+'Resumo PARCIAL'!AW131+'Resumo PARCIAL'!AW140+'Resumo PARCIAL'!AW150+'Resumo PARCIAL'!AW160+'Resumo PARCIAL'!AW169+'Resumo PARCIAL'!AW178</f>
        <v>758822.1599999998</v>
      </c>
      <c r="AG20" s="387">
        <f>'Resumo PARCIAL'!AT17+'Resumo PARCIAL'!AT79+'Resumo PARCIAL'!AT87+'Resumo PARCIAL'!AT97+'Resumo PARCIAL'!AT106+'Resumo PARCIAL'!AT113+'Resumo PARCIAL'!AT122+'Resumo PARCIAL'!AT140+'Resumo PARCIAL'!AT150+'Resumo PARCIAL'!AT160+'Resumo PARCIAL'!AT169+'Resumo PARCIAL'!AT178</f>
        <v>17</v>
      </c>
      <c r="AH20" s="387">
        <f>'Resumo PARCIAL'!AU17+'Resumo PARCIAL'!AU79+'Resumo PARCIAL'!AU87+'Resumo PARCIAL'!AU97+'Resumo PARCIAL'!AU106+'Resumo PARCIAL'!AU113+'Resumo PARCIAL'!AU122+'Resumo PARCIAL'!AU140+'Resumo PARCIAL'!AU150+'Resumo PARCIAL'!AU160+'Resumo PARCIAL'!AU169+'Resumo PARCIAL'!AU178</f>
        <v>42290.47</v>
      </c>
      <c r="AI20" s="388">
        <f>'Resumo PARCIAL'!AV17+'Resumo PARCIAL'!AV79+'Resumo PARCIAL'!AV87+'Resumo PARCIAL'!AV97+'Resumo PARCIAL'!AV106+'Resumo PARCIAL'!AV113+'Resumo PARCIAL'!AV122+'Resumo PARCIAL'!AV140+'Resumo PARCIAL'!AV150+'Resumo PARCIAL'!AV160+'Resumo PARCIAL'!AV169+'Resumo PARCIAL'!AV178</f>
        <v>59724.619999999995</v>
      </c>
      <c r="AJ20" s="388">
        <f>'Resumo PARCIAL'!AW17+'Resumo PARCIAL'!AW79+'Resumo PARCIAL'!AW87+'Resumo PARCIAL'!AW97+'Resumo PARCIAL'!AW106+'Resumo PARCIAL'!AW113+'Resumo PARCIAL'!AW122+'Resumo PARCIAL'!AW140+'Resumo PARCIAL'!AW150+'Resumo PARCIAL'!AW160+'Resumo PARCIAL'!AW169+'Resumo PARCIAL'!AW178</f>
        <v>716695.43999999983</v>
      </c>
      <c r="AK20" s="378">
        <v>17</v>
      </c>
      <c r="AL20" s="378">
        <v>42154.760000000009</v>
      </c>
      <c r="AM20" s="363">
        <v>54969.880000000005</v>
      </c>
      <c r="AN20" s="363">
        <v>659638.55999999994</v>
      </c>
      <c r="AO20" s="378">
        <v>17</v>
      </c>
      <c r="AP20" s="378">
        <v>42154.760000000009</v>
      </c>
      <c r="AQ20" s="363">
        <v>54969.880000000005</v>
      </c>
      <c r="AR20" s="363">
        <v>659638.55999999994</v>
      </c>
      <c r="AS20" s="378">
        <v>17</v>
      </c>
      <c r="AT20" s="378">
        <v>42154.760000000009</v>
      </c>
      <c r="AU20" s="363">
        <v>58200.960000000006</v>
      </c>
      <c r="AV20" s="363">
        <v>698411.5199999999</v>
      </c>
      <c r="AW20" s="378"/>
      <c r="AX20" s="378"/>
      <c r="AY20" s="363"/>
      <c r="AZ20" s="483"/>
      <c r="BA20" s="487">
        <f>E20+2+1</f>
        <v>20</v>
      </c>
      <c r="BB20" s="378">
        <f>(2953.93+3022.02+2987.6+3057.26)/4</f>
        <v>3005.2024999999999</v>
      </c>
      <c r="BC20" s="363">
        <f t="shared" si="5"/>
        <v>60104.049999999996</v>
      </c>
      <c r="BD20" s="486">
        <f t="shared" si="6"/>
        <v>721248.6</v>
      </c>
      <c r="BE20" s="326">
        <v>17</v>
      </c>
      <c r="BF20" s="603">
        <f>(5*'Oficial 2'!D136)+('Oficial 3'!D136)+('Oficial 4'!D136)+('Oficial 3'!D136)+('Oficial 3'!D136)+('Oficial 5'!D136)+('Oficial 3'!D136)+('Oficial 3'!D136)+('Oficial 4'!D136)+('Oficial 3'!D136)+('Oficial 4'!D136)+('Oficial 3'!D136)+('Oficial 3'!D136)</f>
        <v>59685.069999999992</v>
      </c>
      <c r="BG20" s="603">
        <f t="shared" si="7"/>
        <v>716220.83999999985</v>
      </c>
      <c r="BH20" s="485">
        <v>19</v>
      </c>
      <c r="BI20" s="605">
        <v>45683.979999999996</v>
      </c>
      <c r="BJ20" s="605">
        <v>61835.579999999994</v>
      </c>
      <c r="BK20" s="605">
        <v>742026.95999999973</v>
      </c>
      <c r="BL20" s="487">
        <v>20</v>
      </c>
      <c r="BM20" s="378">
        <v>3005.2024999999999</v>
      </c>
      <c r="BN20" s="363">
        <v>60104.049999999996</v>
      </c>
      <c r="BO20" s="486">
        <v>721248.6</v>
      </c>
      <c r="BP20" s="485">
        <v>19</v>
      </c>
      <c r="BQ20" s="485">
        <v>41965.649999999994</v>
      </c>
      <c r="BR20" s="624">
        <v>56802.639999999985</v>
      </c>
      <c r="BS20" s="624">
        <v>681631.67999999982</v>
      </c>
      <c r="BT20" s="485">
        <v>20</v>
      </c>
      <c r="BU20" s="605">
        <f>BF20+'Oficial 3'!D136+'Oficial 3'!D136+'Oficial 3'!D136</f>
        <v>70216.749999999985</v>
      </c>
      <c r="BV20" s="605">
        <f t="shared" si="8"/>
        <v>842600.99999999977</v>
      </c>
      <c r="BW20" s="485">
        <v>20</v>
      </c>
      <c r="BX20" s="605">
        <v>48912.670000000006</v>
      </c>
      <c r="BY20" s="605">
        <v>69765.73</v>
      </c>
      <c r="BZ20" s="605">
        <v>837188.76</v>
      </c>
      <c r="CA20" s="485">
        <f>'Resumo PARCIAL'!AX30+'Resumo PARCIAL'!AX64+'Resumo PARCIAL'!AX218+'Resumo PARCIAL'!AX73+'Resumo PARCIAL'!AX79+'Resumo PARCIAL'!AX87+'Resumo PARCIAL'!AX97+'Resumo PARCIAL'!AX106+'Resumo PARCIAL'!AX113+'Resumo PARCIAL'!AX122+'Resumo PARCIAL'!AX131+'Resumo PARCIAL'!AX140+'Resumo PARCIAL'!AX150+'Resumo PARCIAL'!AX160+'Resumo PARCIAL'!AX169+'Resumo PARCIAL'!AX178+'Resumo PARCIAL'!AX187+'Resumo PARCIAL'!AX204</f>
        <v>20</v>
      </c>
      <c r="CB20" s="605">
        <f>'Resumo PARCIAL'!AU17+'Resumo PARCIAL'!AU79+'Resumo PARCIAL'!AU87+'Resumo PARCIAL'!AU97+'Resumo PARCIAL'!AU106+'Resumo PARCIAL'!AU113+'Resumo PARCIAL'!AU122+'Resumo PARCIAL'!AU131+'Resumo PARCIAL'!AU140+'Resumo PARCIAL'!AU150+'Resumo PARCIAL'!AU160+'Resumo PARCIAL'!AU169+'Resumo PARCIAL'!AU178+'Resumo PARCIAL'!AU187</f>
        <v>49311.59</v>
      </c>
      <c r="CC20" s="605">
        <f>'Resumo PARCIAL'!AZ30+'Resumo PARCIAL'!AZ64+'Resumo PARCIAL'!AZ218+'Resumo PARCIAL'!AZ73+'Resumo PARCIAL'!AZ79+'Resumo PARCIAL'!AZ87+'Resumo PARCIAL'!AZ97+'Resumo PARCIAL'!AZ106+'Resumo PARCIAL'!AZ113+'Resumo PARCIAL'!AZ122+'Resumo PARCIAL'!AZ131+'Resumo PARCIAL'!AZ140+'Resumo PARCIAL'!AZ150+'Resumo PARCIAL'!AZ160+'Resumo PARCIAL'!AZ169+'Resumo PARCIAL'!AZ178+'Resumo PARCIAL'!AZ187+'Resumo PARCIAL'!AZ204+'Resumo PARCIAL'!AY218</f>
        <v>73727.309999999983</v>
      </c>
      <c r="CD20" s="605">
        <f>'Resumo PARCIAL'!BA30+'Resumo PARCIAL'!BA64+'Resumo PARCIAL'!BA218+'Resumo PARCIAL'!BA73+'Resumo PARCIAL'!BA79+'Resumo PARCIAL'!BA87+'Resumo PARCIAL'!BA97+'Resumo PARCIAL'!BA106+'Resumo PARCIAL'!BA113+'Resumo PARCIAL'!BA122+'Resumo PARCIAL'!BA131+'Resumo PARCIAL'!BA140+'Resumo PARCIAL'!BA150+'Resumo PARCIAL'!BA160+'Resumo PARCIAL'!BA169+'Resumo PARCIAL'!BA178+'Resumo PARCIAL'!BA187+'Resumo PARCIAL'!BA204+'Resumo PARCIAL'!BA218</f>
        <v>884727.71999999974</v>
      </c>
      <c r="CE20" s="604"/>
    </row>
    <row r="21" spans="2:83" x14ac:dyDescent="0.25">
      <c r="B21" s="365">
        <v>9</v>
      </c>
      <c r="C21" s="366" t="s">
        <v>166</v>
      </c>
      <c r="D21" s="367">
        <v>3270.48</v>
      </c>
      <c r="E21" s="326">
        <v>11</v>
      </c>
      <c r="F21" s="327">
        <v>25611.670000000002</v>
      </c>
      <c r="G21" s="327">
        <v>307340.04000000004</v>
      </c>
      <c r="H21" s="326">
        <v>11</v>
      </c>
      <c r="I21" s="327">
        <v>25611.670000000002</v>
      </c>
      <c r="J21" s="327">
        <f t="shared" si="1"/>
        <v>307340.04000000004</v>
      </c>
      <c r="K21" s="326">
        <v>11</v>
      </c>
      <c r="L21" s="327">
        <f>33750.49-'Resumo PARCIAL'!AF18-'Resumo PARCIAL'!AF123</f>
        <v>28601.269999999997</v>
      </c>
      <c r="M21" s="327">
        <f t="shared" si="2"/>
        <v>343215.24</v>
      </c>
      <c r="N21" s="326">
        <v>11</v>
      </c>
      <c r="O21" s="327">
        <f>(8*'Op.de maq. 3'!D134)+(2*'Op.de maq. 4'!D126)+'Op.de maq. 5'!D134</f>
        <v>33847.869999999995</v>
      </c>
      <c r="P21" s="327">
        <f t="shared" si="3"/>
        <v>406174.43999999994</v>
      </c>
      <c r="Q21" s="342">
        <v>12</v>
      </c>
      <c r="R21" s="343">
        <v>27930.230000000003</v>
      </c>
      <c r="S21" s="343">
        <v>335162.76</v>
      </c>
      <c r="T21" s="326">
        <v>11</v>
      </c>
      <c r="U21" s="336">
        <v>25611.670000000002</v>
      </c>
      <c r="V21" s="244">
        <v>307340.04000000004</v>
      </c>
      <c r="W21" s="344">
        <f>Q21</f>
        <v>12</v>
      </c>
      <c r="X21" s="345">
        <f>R21</f>
        <v>27930.230000000003</v>
      </c>
      <c r="Y21" s="346">
        <f t="shared" si="10"/>
        <v>335162.76</v>
      </c>
      <c r="Z21" s="326">
        <f t="shared" si="4"/>
        <v>12</v>
      </c>
      <c r="AA21" s="363">
        <f>'Resumo PARCIAL'!I80+'Resumo PARCIAL'!I88+'Resumo PARCIAL'!I98+'Resumo PARCIAL'!I114+'Resumo PARCIAL'!I123+'Resumo PARCIAL'!I132+'Resumo PARCIAL'!I141+'Resumo PARCIAL'!I151+'Resumo PARCIAL'!I170+'Resumo PARCIAL'!I179</f>
        <v>36166.430000000008</v>
      </c>
      <c r="AB21" s="364">
        <f t="shared" si="11"/>
        <v>433997.16000000009</v>
      </c>
      <c r="AC21" s="342">
        <v>13</v>
      </c>
      <c r="AD21" s="342">
        <f>'Resumo PARCIAL'!AU80+'Resumo PARCIAL'!AU88+'Resumo PARCIAL'!AU98+'Resumo PARCIAL'!AU114+'Resumo PARCIAL'!AU123+'Resumo PARCIAL'!AU132+'Resumo PARCIAL'!AU141+'Resumo PARCIAL'!AU151+'Resumo PARCIAL'!AU170+'Resumo PARCIAL'!AU179</f>
        <v>30783.71</v>
      </c>
      <c r="AE21" s="384">
        <f>'Resumo PARCIAL'!AV80+'Resumo PARCIAL'!AV88+'Resumo PARCIAL'!AV98+'Resumo PARCIAL'!AV114+'Resumo PARCIAL'!AV123+'Resumo PARCIAL'!AV132+'Resumo PARCIAL'!AV141+'Resumo PARCIAL'!AV151+'Resumo PARCIAL'!AV170+'Resumo PARCIAL'!AV179+'Resumo PARCIAL'!AV18</f>
        <v>27684.23</v>
      </c>
      <c r="AF21" s="384">
        <f>'Resumo PARCIAL'!AW80+'Resumo PARCIAL'!AW88+'Resumo PARCIAL'!AW98+'Resumo PARCIAL'!AW114+'Resumo PARCIAL'!AW123+'Resumo PARCIAL'!AW132+'Resumo PARCIAL'!AW141+'Resumo PARCIAL'!AW151+'Resumo PARCIAL'!AW170+'Resumo PARCIAL'!AW179+'Resumo PARCIAL'!AW18</f>
        <v>332210.76</v>
      </c>
      <c r="AG21" s="391">
        <v>11</v>
      </c>
      <c r="AH21" s="378"/>
      <c r="AI21" s="363">
        <f>I21</f>
        <v>25611.670000000002</v>
      </c>
      <c r="AJ21" s="363">
        <f>J21</f>
        <v>307340.04000000004</v>
      </c>
      <c r="AK21" s="378">
        <v>13</v>
      </c>
      <c r="AL21" s="378">
        <v>25585.54</v>
      </c>
      <c r="AM21" s="363">
        <v>30222.66</v>
      </c>
      <c r="AN21" s="363">
        <v>362671.91999999993</v>
      </c>
      <c r="AO21" s="378">
        <v>13</v>
      </c>
      <c r="AP21" s="378">
        <v>28572.090000000004</v>
      </c>
      <c r="AQ21" s="363">
        <v>33750.49</v>
      </c>
      <c r="AR21" s="363">
        <v>405005.88</v>
      </c>
      <c r="AS21" s="378">
        <v>13</v>
      </c>
      <c r="AT21" s="378">
        <v>28572.090000000004</v>
      </c>
      <c r="AU21" s="363">
        <v>33750.49</v>
      </c>
      <c r="AV21" s="363">
        <v>405005.88</v>
      </c>
      <c r="AW21" s="378"/>
      <c r="AX21" s="378"/>
      <c r="AY21" s="363"/>
      <c r="AZ21" s="483"/>
      <c r="BA21" s="485">
        <f>E21+1+1</f>
        <v>13</v>
      </c>
      <c r="BB21" s="378">
        <f>L21/K21</f>
        <v>2600.1154545454542</v>
      </c>
      <c r="BC21" s="363">
        <f t="shared" si="5"/>
        <v>33801.500909090908</v>
      </c>
      <c r="BD21" s="486">
        <f t="shared" si="6"/>
        <v>405618.01090909087</v>
      </c>
      <c r="BE21" s="326">
        <v>11</v>
      </c>
      <c r="BF21" s="603">
        <f>('Op.de maq. 3'!D137)+('Op.de maq. 4'!D137)+('Op.de maq. 3'!D137)+('Op.de maq. 5'!D137)+('Op.de maq. 3'!D137)+('Op.de maq. 4'!D137)+(3*'Op.de maq. 3'!D137)+('Op.de maq. 3'!D137)+('Op.de maq. 3'!D137)</f>
        <v>33847.869999999995</v>
      </c>
      <c r="BG21" s="603">
        <f t="shared" si="7"/>
        <v>406174.43999999994</v>
      </c>
      <c r="BH21" s="485">
        <v>9</v>
      </c>
      <c r="BI21" s="605">
        <v>30566.160000000003</v>
      </c>
      <c r="BJ21" s="605">
        <v>27795.540000000005</v>
      </c>
      <c r="BK21" s="605">
        <v>333546.48</v>
      </c>
      <c r="BL21" s="485">
        <v>13</v>
      </c>
      <c r="BM21" s="378">
        <v>2600.1154545454542</v>
      </c>
      <c r="BN21" s="363">
        <v>33801.500909090908</v>
      </c>
      <c r="BO21" s="486">
        <v>405618.01090909087</v>
      </c>
      <c r="BP21" s="485">
        <v>11</v>
      </c>
      <c r="BQ21" s="485">
        <v>28572.090000000004</v>
      </c>
      <c r="BR21" s="624">
        <v>28571.43</v>
      </c>
      <c r="BS21" s="624">
        <v>342857.16000000003</v>
      </c>
      <c r="BT21" s="485">
        <v>13</v>
      </c>
      <c r="BU21" s="605">
        <f>BF21+'Op.de maq. 3'!D137+'Op. de maq. 2'!D137</f>
        <v>39941.659999999996</v>
      </c>
      <c r="BV21" s="605">
        <f t="shared" si="8"/>
        <v>479299.91999999993</v>
      </c>
      <c r="BW21" s="485">
        <v>0</v>
      </c>
      <c r="BX21" s="605">
        <v>33420.159999999996</v>
      </c>
      <c r="BY21" s="605">
        <v>0</v>
      </c>
      <c r="BZ21" s="605">
        <v>0</v>
      </c>
      <c r="CA21" s="485">
        <f>'Resumo PARCIAL'!AX65+'Resumo PARCIAL'!AX80+'Resumo PARCIAL'!AX88+'Resumo PARCIAL'!AX98+'Resumo PARCIAL'!AX114+'Resumo PARCIAL'!AX123+'Resumo PARCIAL'!AX132+'Resumo PARCIAL'!AX141+'Resumo PARCIAL'!AX151+'Resumo PARCIAL'!AX170+'Resumo PARCIAL'!AX179+'Resumo PARCIAL'!AX188</f>
        <v>0</v>
      </c>
      <c r="CB21" s="605">
        <f>'Resumo PARCIAL'!AU18+'Resumo PARCIAL'!AU80+'Resumo PARCIAL'!AU88+'Resumo PARCIAL'!AU98+'Resumo PARCIAL'!AU114+'Resumo PARCIAL'!AU123+'Resumo PARCIAL'!AU132+'Resumo PARCIAL'!AU141+'Resumo PARCIAL'!AU151+'Resumo PARCIAL'!AU170+'Resumo PARCIAL'!AU179</f>
        <v>33813.339999999997</v>
      </c>
      <c r="CC21" s="605">
        <f>'Resumo PARCIAL'!AZ65+'Resumo PARCIAL'!AZ80+'Resumo PARCIAL'!AZ88+'Resumo PARCIAL'!AZ98+'Resumo PARCIAL'!AZ114+'Resumo PARCIAL'!AZ123+'Resumo PARCIAL'!AZ132+'Resumo PARCIAL'!AZ141+'Resumo PARCIAL'!AZ151+'Resumo PARCIAL'!AZ170+'Resumo PARCIAL'!AZ179+'Resumo PARCIAL'!AZ188</f>
        <v>0</v>
      </c>
      <c r="CD21" s="605">
        <f>'Resumo PARCIAL'!BA65+'Resumo PARCIAL'!BA80+'Resumo PARCIAL'!BA88+'Resumo PARCIAL'!BA98+'Resumo PARCIAL'!BA114+'Resumo PARCIAL'!BA123+'Resumo PARCIAL'!BA132+'Resumo PARCIAL'!BA141+'Resumo PARCIAL'!BA151+'Resumo PARCIAL'!BA170+'Resumo PARCIAL'!BA179+'Resumo PARCIAL'!BA188</f>
        <v>0</v>
      </c>
      <c r="CE21" s="604"/>
    </row>
    <row r="22" spans="2:83" x14ac:dyDescent="0.25">
      <c r="B22" s="365">
        <v>10</v>
      </c>
      <c r="C22" s="366" t="s">
        <v>4</v>
      </c>
      <c r="D22" s="367">
        <v>2570.3200000000002</v>
      </c>
      <c r="E22" s="326">
        <v>3</v>
      </c>
      <c r="F22" s="327">
        <v>5854.08</v>
      </c>
      <c r="G22" s="327">
        <v>70248.959999999992</v>
      </c>
      <c r="H22" s="326">
        <v>3</v>
      </c>
      <c r="I22" s="327">
        <v>5854.08</v>
      </c>
      <c r="J22" s="327">
        <f t="shared" si="1"/>
        <v>70248.959999999992</v>
      </c>
      <c r="K22" s="326">
        <v>3</v>
      </c>
      <c r="L22" s="327">
        <f>4352.7+'Resumo PARCIAL'!AG171</f>
        <v>6529.0499999999993</v>
      </c>
      <c r="M22" s="327">
        <f t="shared" si="2"/>
        <v>78348.599999999991</v>
      </c>
      <c r="N22" s="326">
        <v>3</v>
      </c>
      <c r="O22" s="327">
        <f>(3*'Jardineiro 3'!D134)</f>
        <v>7512.63</v>
      </c>
      <c r="P22" s="327">
        <f t="shared" si="3"/>
        <v>90151.56</v>
      </c>
      <c r="Q22" s="326">
        <v>3</v>
      </c>
      <c r="R22" s="244">
        <v>5854.08</v>
      </c>
      <c r="S22" s="244">
        <v>70248.959999999992</v>
      </c>
      <c r="T22" s="339">
        <v>2</v>
      </c>
      <c r="U22" s="340">
        <v>3902.72</v>
      </c>
      <c r="V22" s="341">
        <v>46832.639999999999</v>
      </c>
      <c r="W22" s="344">
        <f>T22</f>
        <v>2</v>
      </c>
      <c r="X22" s="345">
        <f>U22</f>
        <v>3902.72</v>
      </c>
      <c r="Y22" s="346">
        <f t="shared" si="10"/>
        <v>46832.639999999999</v>
      </c>
      <c r="Z22" s="326">
        <f t="shared" si="4"/>
        <v>2</v>
      </c>
      <c r="AA22" s="363">
        <f>'Resumo PARCIAL'!I124+'Resumo PARCIAL'!I152+'Resumo PARCIAL'!I171</f>
        <v>5008.42</v>
      </c>
      <c r="AB22" s="364">
        <f t="shared" si="11"/>
        <v>60101.04</v>
      </c>
      <c r="AC22" s="391">
        <v>3</v>
      </c>
      <c r="AD22" s="391">
        <f>'Resumo PARCIAL'!AU124+'Resumo PARCIAL'!AU152+'Resumo PARCIAL'!AU171</f>
        <v>5008.42</v>
      </c>
      <c r="AE22" s="392">
        <f>I22</f>
        <v>5854.08</v>
      </c>
      <c r="AF22" s="392">
        <f>J22</f>
        <v>70248.959999999992</v>
      </c>
      <c r="AG22" s="391">
        <v>2</v>
      </c>
      <c r="AH22" s="378"/>
      <c r="AI22" s="363">
        <f>X22</f>
        <v>3902.72</v>
      </c>
      <c r="AJ22" s="363">
        <f>Y22</f>
        <v>46832.639999999999</v>
      </c>
      <c r="AK22" s="378">
        <v>2</v>
      </c>
      <c r="AL22" s="378">
        <v>5854.08</v>
      </c>
      <c r="AM22" s="363">
        <v>3902.72</v>
      </c>
      <c r="AN22" s="363">
        <v>46832.639999999999</v>
      </c>
      <c r="AO22" s="378">
        <v>2</v>
      </c>
      <c r="AP22" s="378">
        <v>6529.0499999999993</v>
      </c>
      <c r="AQ22" s="363">
        <v>4352.7</v>
      </c>
      <c r="AR22" s="363">
        <v>52232.399999999994</v>
      </c>
      <c r="AS22" s="378">
        <v>2</v>
      </c>
      <c r="AT22" s="378">
        <v>4352.7</v>
      </c>
      <c r="AU22" s="363">
        <v>4352.7</v>
      </c>
      <c r="AV22" s="363">
        <v>52232.399999999994</v>
      </c>
      <c r="AW22" s="378"/>
      <c r="AX22" s="378"/>
      <c r="AY22" s="363"/>
      <c r="AZ22" s="483"/>
      <c r="BA22" s="485">
        <f>E22</f>
        <v>3</v>
      </c>
      <c r="BB22" s="378">
        <f>L22/K22</f>
        <v>2176.35</v>
      </c>
      <c r="BC22" s="363">
        <f t="shared" si="5"/>
        <v>6529.0499999999993</v>
      </c>
      <c r="BD22" s="486">
        <f t="shared" si="6"/>
        <v>78348.599999999991</v>
      </c>
      <c r="BE22" s="326">
        <v>3</v>
      </c>
      <c r="BF22" s="603">
        <f>'Jardineiro 3'!D137+'Jardineiro 3'!D137+'Jardineiro 3'!D137</f>
        <v>7512.63</v>
      </c>
      <c r="BG22" s="603">
        <f t="shared" si="7"/>
        <v>90151.56</v>
      </c>
      <c r="BH22" s="485">
        <v>1</v>
      </c>
      <c r="BI22" s="605">
        <v>4500.38</v>
      </c>
      <c r="BJ22" s="605">
        <v>2250.19</v>
      </c>
      <c r="BK22" s="605">
        <v>27002.28</v>
      </c>
      <c r="BL22" s="485">
        <v>3</v>
      </c>
      <c r="BM22" s="378">
        <v>2176.35</v>
      </c>
      <c r="BN22" s="363">
        <v>6529.0499999999993</v>
      </c>
      <c r="BO22" s="486">
        <v>78348.599999999991</v>
      </c>
      <c r="BP22" s="485">
        <v>1</v>
      </c>
      <c r="BQ22" s="485">
        <v>4352.7</v>
      </c>
      <c r="BR22" s="624">
        <v>2176.35</v>
      </c>
      <c r="BS22" s="624">
        <v>26116.199999999997</v>
      </c>
      <c r="BT22" s="485">
        <v>3</v>
      </c>
      <c r="BU22" s="605">
        <f>'Jardineiro 3'!D137+'Jardineiro 3'!D137+'Jardineiro 3'!D137</f>
        <v>7512.63</v>
      </c>
      <c r="BV22" s="605">
        <f t="shared" si="8"/>
        <v>90151.56</v>
      </c>
      <c r="BW22" s="485">
        <v>1</v>
      </c>
      <c r="BX22" s="605">
        <v>4947.34</v>
      </c>
      <c r="BY22" s="605">
        <v>2473.67</v>
      </c>
      <c r="BZ22" s="605">
        <v>29684.04</v>
      </c>
      <c r="CA22" s="485">
        <f>'Resumo PARCIAL'!AX124+'Resumo PARCIAL'!AX152+'Resumo PARCIAL'!AX171</f>
        <v>1</v>
      </c>
      <c r="CB22" s="605">
        <f>'Resumo PARCIAL'!AU124+'Resumo PARCIAL'!AU152+'Resumo PARCIAL'!AU171</f>
        <v>5008.42</v>
      </c>
      <c r="CC22" s="605">
        <f>'Resumo PARCIAL'!AZ124+'Resumo PARCIAL'!AZ152+'Resumo PARCIAL'!AZ171</f>
        <v>2504.21</v>
      </c>
      <c r="CD22" s="605">
        <f>'Resumo PARCIAL'!BA124+'Resumo PARCIAL'!BA152+'Resumo PARCIAL'!BA171</f>
        <v>30050.52</v>
      </c>
      <c r="CE22" s="604"/>
    </row>
    <row r="23" spans="2:83" x14ac:dyDescent="0.25">
      <c r="B23" s="365">
        <v>11</v>
      </c>
      <c r="C23" s="366" t="s">
        <v>8</v>
      </c>
      <c r="D23" s="367">
        <v>3815.55</v>
      </c>
      <c r="E23" s="326">
        <v>14</v>
      </c>
      <c r="F23" s="327">
        <v>40941.74</v>
      </c>
      <c r="G23" s="327">
        <v>491300.88</v>
      </c>
      <c r="H23" s="326">
        <v>14</v>
      </c>
      <c r="I23" s="327">
        <v>40941.74</v>
      </c>
      <c r="J23" s="327">
        <f t="shared" si="1"/>
        <v>491300.88</v>
      </c>
      <c r="K23" s="326">
        <v>14</v>
      </c>
      <c r="L23" s="327">
        <f>53496.8-'Resumo PARCIAL'!AF19-'Resumo PARCIAL'!AF19</f>
        <v>46809.7</v>
      </c>
      <c r="M23" s="327">
        <f t="shared" si="2"/>
        <v>561716.39999999991</v>
      </c>
      <c r="N23" s="326">
        <v>14</v>
      </c>
      <c r="O23" s="327">
        <f>(14*'Orçam 2'!D134)</f>
        <v>58084.18</v>
      </c>
      <c r="P23" s="327">
        <f t="shared" si="3"/>
        <v>697010.16</v>
      </c>
      <c r="Q23" s="342">
        <v>16</v>
      </c>
      <c r="R23" s="343">
        <v>46790.559999999998</v>
      </c>
      <c r="S23" s="343">
        <v>561486.72</v>
      </c>
      <c r="T23" s="326">
        <v>14</v>
      </c>
      <c r="U23" s="336">
        <v>40941.74</v>
      </c>
      <c r="V23" s="244">
        <v>491300.88</v>
      </c>
      <c r="W23" s="344">
        <f>Q23</f>
        <v>16</v>
      </c>
      <c r="X23" s="345">
        <f>R23</f>
        <v>46790.559999999998</v>
      </c>
      <c r="Y23" s="346">
        <f t="shared" si="10"/>
        <v>561486.72</v>
      </c>
      <c r="Z23" s="326">
        <f t="shared" si="4"/>
        <v>16</v>
      </c>
      <c r="AA23" s="363">
        <f>'Resumo PARCIAL'!I19</f>
        <v>66381.919999999998</v>
      </c>
      <c r="AB23" s="364">
        <f t="shared" si="11"/>
        <v>796583.04</v>
      </c>
      <c r="AC23" s="381">
        <f>'Resumo PARCIAL'!AT19</f>
        <v>16</v>
      </c>
      <c r="AD23" s="381">
        <f>'Resumo PARCIAL'!AU19</f>
        <v>4148.87</v>
      </c>
      <c r="AE23" s="383">
        <f>'Resumo PARCIAL'!AV19</f>
        <v>66381.919999999998</v>
      </c>
      <c r="AF23" s="383">
        <f>'Resumo PARCIAL'!AW19</f>
        <v>796583.04</v>
      </c>
      <c r="AG23" s="391">
        <v>14</v>
      </c>
      <c r="AH23" s="378"/>
      <c r="AI23" s="363">
        <f>I23</f>
        <v>40941.74</v>
      </c>
      <c r="AJ23" s="363">
        <f>J23</f>
        <v>491300.88</v>
      </c>
      <c r="AK23" s="378">
        <v>16</v>
      </c>
      <c r="AL23" s="378">
        <v>2924.41</v>
      </c>
      <c r="AM23" s="363">
        <v>46790.559999999998</v>
      </c>
      <c r="AN23" s="363">
        <v>561486.72</v>
      </c>
      <c r="AO23" s="378">
        <v>16</v>
      </c>
      <c r="AP23" s="378">
        <v>3343.55</v>
      </c>
      <c r="AQ23" s="363">
        <v>53496.800000000003</v>
      </c>
      <c r="AR23" s="363">
        <v>641961.60000000009</v>
      </c>
      <c r="AS23" s="378">
        <v>16</v>
      </c>
      <c r="AT23" s="378">
        <v>3343.55</v>
      </c>
      <c r="AU23" s="363">
        <v>53496.800000000003</v>
      </c>
      <c r="AV23" s="363">
        <v>641961.60000000009</v>
      </c>
      <c r="AW23" s="378"/>
      <c r="AX23" s="378"/>
      <c r="AY23" s="363"/>
      <c r="AZ23" s="483"/>
      <c r="BA23" s="485">
        <f>E23+2</f>
        <v>16</v>
      </c>
      <c r="BB23" s="378">
        <f>L23/K23</f>
        <v>3343.5499999999997</v>
      </c>
      <c r="BC23" s="363">
        <f t="shared" si="5"/>
        <v>53496.799999999996</v>
      </c>
      <c r="BD23" s="486">
        <f t="shared" si="6"/>
        <v>641961.6</v>
      </c>
      <c r="BE23" s="326">
        <v>14</v>
      </c>
      <c r="BF23" s="603">
        <f>'Orçam 2'!D137*14</f>
        <v>58084.18</v>
      </c>
      <c r="BG23" s="603">
        <f t="shared" si="7"/>
        <v>697010.16</v>
      </c>
      <c r="BH23" s="485">
        <v>16</v>
      </c>
      <c r="BI23" s="605">
        <v>3598.01</v>
      </c>
      <c r="BJ23" s="605">
        <v>57568.160000000003</v>
      </c>
      <c r="BK23" s="605">
        <v>690817.92</v>
      </c>
      <c r="BL23" s="485">
        <v>16</v>
      </c>
      <c r="BM23" s="378">
        <v>3343.5499999999997</v>
      </c>
      <c r="BN23" s="363">
        <v>53496.799999999996</v>
      </c>
      <c r="BO23" s="486">
        <v>641961.6</v>
      </c>
      <c r="BP23" s="485">
        <v>16</v>
      </c>
      <c r="BQ23" s="485">
        <v>3343.55</v>
      </c>
      <c r="BR23" s="624">
        <v>53496.800000000003</v>
      </c>
      <c r="BS23" s="624">
        <v>641961.60000000009</v>
      </c>
      <c r="BT23" s="485">
        <v>16</v>
      </c>
      <c r="BU23" s="605">
        <f>BF23+(2*'Orçam 2'!D137)</f>
        <v>66381.919999999998</v>
      </c>
      <c r="BV23" s="605">
        <f t="shared" si="8"/>
        <v>796583.04</v>
      </c>
      <c r="BW23" s="485">
        <v>13</v>
      </c>
      <c r="BX23" s="605">
        <v>4118.67</v>
      </c>
      <c r="BY23" s="605">
        <v>53542.71</v>
      </c>
      <c r="BZ23" s="605">
        <v>642512.52</v>
      </c>
      <c r="CA23" s="485">
        <f>'Resumo PARCIAL'!AX31+'Resumo PARCIAL'!AX32+'Resumo PARCIAL'!AX33+'Resumo PARCIAL'!AX34+'Resumo PARCIAL'!AX35+'Resumo PARCIAL'!AX42+'Resumo PARCIAL'!AX47+'Resumo PARCIAL'!AX51+'Resumo PARCIAL'!AX55+'Resumo PARCIAL'!AX59</f>
        <v>4</v>
      </c>
      <c r="CB23" s="605">
        <f>'Resumo PARCIAL'!AU19</f>
        <v>4148.87</v>
      </c>
      <c r="CC23" s="605">
        <f>'Resumo PARCIAL'!AZ19</f>
        <v>16595.48</v>
      </c>
      <c r="CD23" s="605">
        <f>'Resumo PARCIAL'!BA19</f>
        <v>199145.76</v>
      </c>
      <c r="CE23" s="604"/>
    </row>
    <row r="24" spans="2:83" x14ac:dyDescent="0.25">
      <c r="B24" s="365">
        <v>12</v>
      </c>
      <c r="C24" s="366" t="s">
        <v>5</v>
      </c>
      <c r="D24" s="367">
        <v>3903.09</v>
      </c>
      <c r="E24" s="326">
        <v>2</v>
      </c>
      <c r="F24" s="327">
        <v>7044.52</v>
      </c>
      <c r="G24" s="327">
        <v>84534.24</v>
      </c>
      <c r="H24" s="326">
        <v>2</v>
      </c>
      <c r="I24" s="327">
        <v>7044.52</v>
      </c>
      <c r="J24" s="327">
        <f t="shared" si="1"/>
        <v>84534.24</v>
      </c>
      <c r="K24" s="326">
        <v>2</v>
      </c>
      <c r="L24" s="327">
        <v>7911.28</v>
      </c>
      <c r="M24" s="327">
        <f t="shared" si="2"/>
        <v>94935.360000000001</v>
      </c>
      <c r="N24" s="326">
        <v>2</v>
      </c>
      <c r="O24" s="327">
        <f>(2*'Cerim. 2'!D134)</f>
        <v>8360.7999999999993</v>
      </c>
      <c r="P24" s="327">
        <f t="shared" si="3"/>
        <v>100329.59999999999</v>
      </c>
      <c r="Q24" s="326">
        <v>2</v>
      </c>
      <c r="R24" s="244">
        <v>7044.52</v>
      </c>
      <c r="S24" s="244">
        <v>84534.24</v>
      </c>
      <c r="T24" s="326">
        <v>2</v>
      </c>
      <c r="U24" s="336">
        <v>7044.52</v>
      </c>
      <c r="V24" s="244">
        <v>84534.24</v>
      </c>
      <c r="W24" s="344">
        <f>Q24</f>
        <v>2</v>
      </c>
      <c r="X24" s="345">
        <f>F24</f>
        <v>7044.52</v>
      </c>
      <c r="Y24" s="346">
        <f>X24*12</f>
        <v>84534.24</v>
      </c>
      <c r="Z24" s="326">
        <f t="shared" si="4"/>
        <v>2</v>
      </c>
      <c r="AA24" s="363">
        <f>'Resumo PARCIAL'!I43</f>
        <v>9400.8000000000011</v>
      </c>
      <c r="AB24" s="364">
        <f>AA24*12</f>
        <v>112809.60000000001</v>
      </c>
      <c r="AC24" s="378">
        <f>'Resumo PARCIAL'!AT20</f>
        <v>2</v>
      </c>
      <c r="AD24" s="378">
        <f>'Resumo PARCIAL'!AU20</f>
        <v>4700.4000000000005</v>
      </c>
      <c r="AE24" s="383">
        <f>'Resumo PARCIAL'!AV20</f>
        <v>9400.8000000000011</v>
      </c>
      <c r="AF24" s="383">
        <f>'Resumo PARCIAL'!AW20</f>
        <v>112809.60000000001</v>
      </c>
      <c r="AG24" s="378">
        <f>Z24</f>
        <v>2</v>
      </c>
      <c r="AH24" s="378"/>
      <c r="AI24" s="363">
        <f>AA24</f>
        <v>9400.8000000000011</v>
      </c>
      <c r="AJ24" s="364">
        <f>AB24</f>
        <v>112809.60000000001</v>
      </c>
      <c r="AK24" s="378">
        <v>2</v>
      </c>
      <c r="AL24" s="378">
        <v>3522.26</v>
      </c>
      <c r="AM24" s="363">
        <v>7044.52</v>
      </c>
      <c r="AN24" s="363">
        <v>84534.24</v>
      </c>
      <c r="AO24" s="378">
        <v>2</v>
      </c>
      <c r="AP24" s="378">
        <v>3955.64</v>
      </c>
      <c r="AQ24" s="363">
        <v>7911.28</v>
      </c>
      <c r="AR24" s="363">
        <v>94935.360000000001</v>
      </c>
      <c r="AS24" s="378">
        <v>2</v>
      </c>
      <c r="AT24" s="378">
        <v>3955.64</v>
      </c>
      <c r="AU24" s="363">
        <v>7911.28</v>
      </c>
      <c r="AV24" s="363">
        <v>94935.360000000001</v>
      </c>
      <c r="AW24" s="378"/>
      <c r="AX24" s="378"/>
      <c r="AY24" s="363"/>
      <c r="AZ24" s="483"/>
      <c r="BA24" s="485">
        <f>E24</f>
        <v>2</v>
      </c>
      <c r="BB24" s="378">
        <f>L24/K24</f>
        <v>3955.64</v>
      </c>
      <c r="BC24" s="363">
        <f t="shared" si="5"/>
        <v>7911.28</v>
      </c>
      <c r="BD24" s="486">
        <f t="shared" si="6"/>
        <v>94935.360000000001</v>
      </c>
      <c r="BE24" s="326">
        <v>2</v>
      </c>
      <c r="BF24" s="603">
        <f>'Cerim. 2'!D144*2</f>
        <v>8360.7999999999993</v>
      </c>
      <c r="BG24" s="603">
        <f t="shared" si="7"/>
        <v>100329.59999999999</v>
      </c>
      <c r="BH24" s="485">
        <v>2</v>
      </c>
      <c r="BI24" s="605">
        <v>4216.6099999999997</v>
      </c>
      <c r="BJ24" s="605">
        <v>8433.2199999999993</v>
      </c>
      <c r="BK24" s="605">
        <v>101198.63999999998</v>
      </c>
      <c r="BL24" s="485">
        <v>2</v>
      </c>
      <c r="BM24" s="378">
        <v>3955.64</v>
      </c>
      <c r="BN24" s="363">
        <v>7911.28</v>
      </c>
      <c r="BO24" s="486">
        <v>94935.360000000001</v>
      </c>
      <c r="BP24" s="485">
        <v>2</v>
      </c>
      <c r="BQ24" s="485">
        <v>3955.64</v>
      </c>
      <c r="BR24" s="624">
        <v>7911.28</v>
      </c>
      <c r="BS24" s="624">
        <v>94935.360000000001</v>
      </c>
      <c r="BT24" s="485">
        <v>2</v>
      </c>
      <c r="BU24" s="605">
        <f>'Cerim. 2'!D144*2</f>
        <v>8360.7999999999993</v>
      </c>
      <c r="BV24" s="605">
        <f t="shared" si="8"/>
        <v>100329.59999999999</v>
      </c>
      <c r="BW24" s="485">
        <v>1</v>
      </c>
      <c r="BX24" s="605">
        <v>4670.2</v>
      </c>
      <c r="BY24" s="605">
        <v>4670.2</v>
      </c>
      <c r="BZ24" s="605">
        <v>56042.399999999994</v>
      </c>
      <c r="CA24" s="485">
        <f>'Resumo PARCIAL'!AX20</f>
        <v>1</v>
      </c>
      <c r="CB24" s="605">
        <f>'Resumo PARCIAL'!AU20</f>
        <v>4700.4000000000005</v>
      </c>
      <c r="CC24" s="605">
        <f>'Resumo PARCIAL'!AZ20</f>
        <v>4700.4000000000005</v>
      </c>
      <c r="CD24" s="605">
        <f>'Resumo PARCIAL'!BA20</f>
        <v>56404.800000000003</v>
      </c>
      <c r="CE24" s="604"/>
    </row>
    <row r="25" spans="2:83" ht="15.75" thickBot="1" x14ac:dyDescent="0.3">
      <c r="B25" s="687" t="s">
        <v>514</v>
      </c>
      <c r="C25" s="688"/>
      <c r="D25" s="350"/>
      <c r="E25" s="328">
        <v>113</v>
      </c>
      <c r="F25" s="329">
        <v>261485.24</v>
      </c>
      <c r="G25" s="329">
        <f>SUM(G13:G24)</f>
        <v>3137822.8800000004</v>
      </c>
      <c r="H25" s="328">
        <v>113</v>
      </c>
      <c r="I25" s="329">
        <f>SUM(I13:I24)</f>
        <v>272263.39</v>
      </c>
      <c r="J25" s="329">
        <f>I25*12</f>
        <v>3267160.68</v>
      </c>
      <c r="K25" s="328">
        <f t="shared" ref="K25:P25" si="12">SUM(K13:K24)</f>
        <v>113</v>
      </c>
      <c r="L25" s="466">
        <f t="shared" si="12"/>
        <v>289588.58</v>
      </c>
      <c r="M25" s="466">
        <f t="shared" si="12"/>
        <v>3475062.9600000004</v>
      </c>
      <c r="N25" s="328">
        <f t="shared" si="12"/>
        <v>113</v>
      </c>
      <c r="O25" s="466">
        <f t="shared" si="12"/>
        <v>345526.06</v>
      </c>
      <c r="P25" s="466">
        <f t="shared" si="12"/>
        <v>4146312.72</v>
      </c>
      <c r="Q25" s="337">
        <f t="shared" ref="Q25:AC25" si="13">SUM(Q13:Q24)</f>
        <v>118</v>
      </c>
      <c r="R25" s="330">
        <f t="shared" si="13"/>
        <v>273593.92000000004</v>
      </c>
      <c r="S25" s="330">
        <f t="shared" si="13"/>
        <v>3283127.04</v>
      </c>
      <c r="T25" s="335">
        <f t="shared" si="13"/>
        <v>111</v>
      </c>
      <c r="U25" s="338">
        <f t="shared" si="13"/>
        <v>258097.31</v>
      </c>
      <c r="V25" s="334">
        <f t="shared" si="13"/>
        <v>3097167.72</v>
      </c>
      <c r="W25" s="347">
        <f t="shared" si="13"/>
        <v>116</v>
      </c>
      <c r="X25" s="348">
        <f t="shared" si="13"/>
        <v>270205.99</v>
      </c>
      <c r="Y25" s="349">
        <f t="shared" si="13"/>
        <v>3242471.8800000008</v>
      </c>
      <c r="Z25" s="347">
        <f t="shared" si="13"/>
        <v>116</v>
      </c>
      <c r="AA25" s="348">
        <f t="shared" si="13"/>
        <v>354923.12999999995</v>
      </c>
      <c r="AB25" s="349">
        <f t="shared" si="13"/>
        <v>4259077.5599999996</v>
      </c>
      <c r="AC25" s="337">
        <f t="shared" si="13"/>
        <v>124</v>
      </c>
      <c r="AD25" s="337"/>
      <c r="AE25" s="385">
        <f>SUM(AE13:AE24)</f>
        <v>363137.54999999993</v>
      </c>
      <c r="AF25" s="385">
        <f>SUM(AF13:AF24)</f>
        <v>4357650.5999999996</v>
      </c>
      <c r="AG25" s="335">
        <f>SUM(AG13:AG24)</f>
        <v>105</v>
      </c>
      <c r="AH25" s="335"/>
      <c r="AI25" s="338">
        <f>SUM(AI13:AI24)</f>
        <v>284953.30000000005</v>
      </c>
      <c r="AJ25" s="334">
        <f>SUM(AJ13:AJ24)</f>
        <v>3419439.6</v>
      </c>
      <c r="AK25" s="347">
        <v>118</v>
      </c>
      <c r="AL25" s="347"/>
      <c r="AM25" s="348">
        <v>279934.03000000003</v>
      </c>
      <c r="AN25" s="348">
        <v>3359208.3600000003</v>
      </c>
      <c r="AO25" s="347">
        <v>118</v>
      </c>
      <c r="AP25" s="347"/>
      <c r="AQ25" s="348">
        <v>307310.52</v>
      </c>
      <c r="AR25" s="348">
        <v>3687726.2399999998</v>
      </c>
      <c r="AS25" s="347">
        <v>122</v>
      </c>
      <c r="AT25" s="347"/>
      <c r="AU25" s="348">
        <f>SUM(AU13:AU24)</f>
        <v>320325.7</v>
      </c>
      <c r="AV25" s="348">
        <f>SUM(AV13:AV24)</f>
        <v>3843908.3999999994</v>
      </c>
      <c r="AW25" s="347"/>
      <c r="AX25" s="347"/>
      <c r="AY25" s="348"/>
      <c r="AZ25" s="484"/>
      <c r="BA25" s="488">
        <f>SUM(BA13:BA24)</f>
        <v>133</v>
      </c>
      <c r="BB25" s="489"/>
      <c r="BC25" s="490">
        <f>SUM(BC13:BC24)</f>
        <v>338076.31575119612</v>
      </c>
      <c r="BD25" s="491">
        <f>SUM(BD13:BD24)</f>
        <v>4056915.7890143539</v>
      </c>
      <c r="BE25" s="616">
        <v>113</v>
      </c>
      <c r="BF25" s="617">
        <f>SUM(BF13:BF24)</f>
        <v>345526.06</v>
      </c>
      <c r="BG25" s="617">
        <f>SUM(BG13:BG24)</f>
        <v>4146312.72</v>
      </c>
      <c r="BH25" s="488">
        <v>124</v>
      </c>
      <c r="BI25" s="615"/>
      <c r="BJ25" s="606">
        <v>348641.18999999994</v>
      </c>
      <c r="BK25" s="607">
        <v>4183694.28</v>
      </c>
      <c r="BL25" s="488">
        <v>133</v>
      </c>
      <c r="BM25" s="489"/>
      <c r="BN25" s="490">
        <v>339029.23255119612</v>
      </c>
      <c r="BO25" s="491">
        <v>4068350.790614354</v>
      </c>
      <c r="BP25" s="488">
        <v>123</v>
      </c>
      <c r="BQ25" s="489"/>
      <c r="BR25" s="625">
        <v>318370.66000000003</v>
      </c>
      <c r="BS25" s="491">
        <v>3820447.92</v>
      </c>
      <c r="BT25" s="620">
        <f>SUM(BT13:BT24)</f>
        <v>139</v>
      </c>
      <c r="BU25" s="622">
        <v>348641.18999999994</v>
      </c>
      <c r="BV25" s="623">
        <f>SUM(BV13:BV24)</f>
        <v>5145761.0399999991</v>
      </c>
      <c r="BW25" s="620">
        <v>110</v>
      </c>
      <c r="BX25" s="621"/>
      <c r="BY25" s="622">
        <v>324282.33</v>
      </c>
      <c r="BZ25" s="623">
        <v>3891387.959999999</v>
      </c>
      <c r="CA25" s="620">
        <f>SUM(CA13:CA24)</f>
        <v>99</v>
      </c>
      <c r="CB25" s="621"/>
      <c r="CC25" s="622">
        <f>SUM(CC13:CC24)</f>
        <v>298317.87</v>
      </c>
      <c r="CD25" s="623">
        <f>SUM(CD13:CD24)</f>
        <v>3579814.4399999995</v>
      </c>
      <c r="CE25" s="604"/>
    </row>
    <row r="26" spans="2:83" x14ac:dyDescent="0.25">
      <c r="B26" t="s">
        <v>545</v>
      </c>
      <c r="R26" s="123"/>
      <c r="S26" s="123">
        <f>S25-G25</f>
        <v>145304.15999999968</v>
      </c>
      <c r="U26" s="123"/>
      <c r="V26" s="332">
        <f>V25-G25</f>
        <v>-40655.160000000149</v>
      </c>
      <c r="Y26" s="332"/>
      <c r="AC26" s="386" t="s">
        <v>576</v>
      </c>
      <c r="AE26" s="332">
        <f>I25</f>
        <v>272263.39</v>
      </c>
      <c r="AF26" s="332">
        <f>J25</f>
        <v>3267160.68</v>
      </c>
      <c r="AG26" s="386" t="s">
        <v>576</v>
      </c>
      <c r="AI26" s="332">
        <f>AE26</f>
        <v>272263.39</v>
      </c>
      <c r="AJ26" s="332">
        <f>AF26</f>
        <v>3267160.68</v>
      </c>
      <c r="AK26" s="332"/>
      <c r="AL26" s="332"/>
      <c r="AM26" s="332"/>
      <c r="AN26" s="332"/>
      <c r="AV26" s="332">
        <f>AV25-M25</f>
        <v>368845.43999999901</v>
      </c>
      <c r="AZ26" s="332"/>
      <c r="BC26" s="332">
        <f>BC25-O25</f>
        <v>-7449.7442488038796</v>
      </c>
      <c r="BD26" s="332">
        <f>BD25-P25</f>
        <v>-89396.930985646322</v>
      </c>
      <c r="BE26" s="332"/>
      <c r="BF26" s="332"/>
      <c r="BG26" s="332"/>
      <c r="BJ26" s="604"/>
      <c r="BN26" s="332">
        <v>52500.610051196127</v>
      </c>
      <c r="BO26" s="332">
        <v>630007.32061435375</v>
      </c>
      <c r="BU26" s="604"/>
      <c r="BV26" s="612">
        <f>BV25-P25</f>
        <v>999448.3199999989</v>
      </c>
      <c r="BY26" s="604"/>
      <c r="BZ26" s="612"/>
      <c r="CC26" s="604"/>
      <c r="CD26" s="612"/>
    </row>
    <row r="27" spans="2:83" x14ac:dyDescent="0.25">
      <c r="B27" t="s">
        <v>68</v>
      </c>
      <c r="S27" s="331">
        <f>S26/G25</f>
        <v>4.630731738433868E-2</v>
      </c>
      <c r="U27" s="332"/>
      <c r="V27" s="331">
        <f>V26/G25</f>
        <v>-1.295648656880217E-2</v>
      </c>
      <c r="W27" s="332"/>
      <c r="X27" s="332"/>
      <c r="AC27" s="386" t="s">
        <v>578</v>
      </c>
      <c r="AE27" s="332">
        <f>R25-F25</f>
        <v>12108.680000000051</v>
      </c>
      <c r="AF27" s="332">
        <f>S25-G25</f>
        <v>145304.15999999968</v>
      </c>
      <c r="AG27" s="386" t="s">
        <v>582</v>
      </c>
      <c r="AI27" s="332">
        <f>F25-U25</f>
        <v>3387.929999999993</v>
      </c>
      <c r="AJ27" s="332">
        <f>G25-V25</f>
        <v>40655.160000000149</v>
      </c>
      <c r="AK27" s="332"/>
      <c r="AL27" s="332"/>
      <c r="AM27" s="332"/>
      <c r="AN27" s="332"/>
      <c r="AV27" s="331">
        <f>AV26/M25</f>
        <v>0.10614064960710783</v>
      </c>
      <c r="AZ27" s="331"/>
      <c r="BC27" s="331">
        <f>BC26/O25</f>
        <v>-2.1560585759591851E-2</v>
      </c>
      <c r="BD27" t="s">
        <v>691</v>
      </c>
      <c r="BN27" s="331">
        <v>0.18322989721976599</v>
      </c>
      <c r="BO27" t="s">
        <v>691</v>
      </c>
      <c r="BV27" s="331">
        <f>BV26/P25</f>
        <v>0.24104508933421664</v>
      </c>
      <c r="BZ27" s="331"/>
      <c r="CD27" s="331"/>
    </row>
    <row r="28" spans="2:83" x14ac:dyDescent="0.25">
      <c r="S28" s="331"/>
      <c r="U28" s="332"/>
      <c r="V28" s="331"/>
      <c r="W28" s="332"/>
      <c r="X28" s="332"/>
      <c r="AC28" s="386" t="s">
        <v>68</v>
      </c>
      <c r="AE28" s="331">
        <f>AE27/F25</f>
        <v>4.6307317384338985E-2</v>
      </c>
      <c r="AF28" s="331">
        <f>AF27/G25</f>
        <v>4.630731738433868E-2</v>
      </c>
      <c r="AG28" s="386" t="s">
        <v>68</v>
      </c>
      <c r="AI28" s="331">
        <f>AI27/F25</f>
        <v>1.2956486568802099E-2</v>
      </c>
      <c r="AJ28" s="331">
        <f>AJ27/G25</f>
        <v>1.295648656880217E-2</v>
      </c>
      <c r="AK28" s="331"/>
      <c r="AL28" s="331"/>
      <c r="AM28" s="331"/>
      <c r="AN28" s="331"/>
    </row>
    <row r="29" spans="2:83" ht="15" hidden="1" customHeight="1" x14ac:dyDescent="0.25">
      <c r="B29" s="472" t="s">
        <v>677</v>
      </c>
      <c r="C29" s="472" t="s">
        <v>678</v>
      </c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W29" s="332"/>
    </row>
    <row r="30" spans="2:83" ht="15" hidden="1" customHeight="1" x14ac:dyDescent="0.25">
      <c r="B30" s="472" t="s">
        <v>670</v>
      </c>
      <c r="C30" s="472" t="s">
        <v>679</v>
      </c>
      <c r="D30" s="689" t="s">
        <v>546</v>
      </c>
      <c r="E30" s="684" t="s">
        <v>161</v>
      </c>
      <c r="F30" s="684" t="s">
        <v>167</v>
      </c>
      <c r="G30" s="684" t="s">
        <v>547</v>
      </c>
      <c r="H30" s="389"/>
      <c r="I30" s="389"/>
      <c r="J30" s="389"/>
      <c r="K30" s="389"/>
      <c r="L30" s="389"/>
      <c r="M30" s="389"/>
      <c r="N30" s="389"/>
      <c r="O30" s="389"/>
      <c r="P30" s="389"/>
      <c r="AE30" s="332"/>
    </row>
    <row r="31" spans="2:83" ht="38.25" hidden="1" customHeight="1" x14ac:dyDescent="0.25">
      <c r="B31" s="472" t="s">
        <v>672</v>
      </c>
      <c r="C31" s="472" t="s">
        <v>680</v>
      </c>
      <c r="D31" s="690"/>
      <c r="E31" s="685"/>
      <c r="F31" s="685"/>
      <c r="G31" s="685"/>
      <c r="H31" s="389"/>
      <c r="I31" s="389"/>
      <c r="J31" s="389"/>
      <c r="K31" s="389"/>
      <c r="L31" s="389"/>
      <c r="M31" s="389"/>
      <c r="N31" s="389"/>
      <c r="O31" s="389"/>
      <c r="P31" s="389"/>
      <c r="AQ31">
        <f>17*18</f>
        <v>306</v>
      </c>
      <c r="AY31">
        <f>17*18</f>
        <v>306</v>
      </c>
    </row>
    <row r="32" spans="2:83" ht="15" hidden="1" customHeight="1" x14ac:dyDescent="0.25">
      <c r="B32" s="472" t="s">
        <v>674</v>
      </c>
      <c r="C32" s="472" t="s">
        <v>681</v>
      </c>
      <c r="D32" s="243">
        <v>2496.19</v>
      </c>
      <c r="E32" s="326">
        <v>2</v>
      </c>
      <c r="F32" s="333">
        <f>D32*E32</f>
        <v>4992.38</v>
      </c>
      <c r="G32" s="333">
        <f>F32*E32</f>
        <v>9984.76</v>
      </c>
      <c r="H32" s="390"/>
      <c r="I32" s="390"/>
      <c r="J32" s="390"/>
      <c r="K32" s="390"/>
      <c r="L32" s="390"/>
      <c r="M32" s="390"/>
      <c r="N32" s="390"/>
      <c r="O32" s="390"/>
      <c r="P32" s="390"/>
    </row>
    <row r="33" spans="2:49" ht="15" hidden="1" customHeight="1" x14ac:dyDescent="0.25">
      <c r="B33" s="473" t="s">
        <v>682</v>
      </c>
      <c r="C33" s="473" t="s">
        <v>683</v>
      </c>
      <c r="D33" s="243">
        <v>3815.55</v>
      </c>
      <c r="E33" s="326">
        <v>2</v>
      </c>
      <c r="F33" s="333">
        <f>D33*E33</f>
        <v>7631.1</v>
      </c>
      <c r="G33" s="333">
        <f>F33*E33</f>
        <v>15262.2</v>
      </c>
      <c r="H33" s="390"/>
      <c r="I33" s="390"/>
      <c r="J33" s="390"/>
      <c r="K33" s="390"/>
      <c r="L33" s="390"/>
      <c r="M33" s="390"/>
      <c r="N33" s="390"/>
      <c r="O33" s="390"/>
      <c r="P33" s="390"/>
      <c r="R33" s="332"/>
      <c r="S33" s="332"/>
    </row>
    <row r="34" spans="2:49" hidden="1" x14ac:dyDescent="0.25">
      <c r="G34" s="333">
        <f>SUM(G32:G33)</f>
        <v>25246.959999999999</v>
      </c>
      <c r="H34" s="390"/>
      <c r="I34" s="390"/>
      <c r="J34" s="390"/>
      <c r="K34" s="390"/>
      <c r="L34" s="390"/>
      <c r="M34" s="390"/>
      <c r="N34" s="390"/>
      <c r="O34" s="390"/>
      <c r="P34" s="390"/>
    </row>
    <row r="35" spans="2:49" hidden="1" x14ac:dyDescent="0.25"/>
    <row r="36" spans="2:49" x14ac:dyDescent="0.25">
      <c r="AW36" s="467">
        <v>1126851.8819999998</v>
      </c>
    </row>
    <row r="37" spans="2:49" x14ac:dyDescent="0.25">
      <c r="C37" s="245" t="s">
        <v>684</v>
      </c>
    </row>
    <row r="38" spans="2:49" ht="38.25" x14ac:dyDescent="0.25">
      <c r="B38" s="472"/>
      <c r="C38" s="481" t="s">
        <v>676</v>
      </c>
      <c r="D38" s="495">
        <f>N25+2+1+1+1+1+1+1+1+1+4+6</f>
        <v>133</v>
      </c>
    </row>
    <row r="39" spans="2:49" ht="38.25" x14ac:dyDescent="0.25">
      <c r="B39" s="472"/>
      <c r="C39" s="477" t="s">
        <v>678</v>
      </c>
    </row>
    <row r="40" spans="2:49" ht="38.25" x14ac:dyDescent="0.25">
      <c r="B40" s="472"/>
      <c r="C40" s="477" t="s">
        <v>679</v>
      </c>
    </row>
    <row r="41" spans="2:49" ht="38.25" x14ac:dyDescent="0.25">
      <c r="B41" s="472"/>
      <c r="C41" s="481" t="s">
        <v>680</v>
      </c>
    </row>
    <row r="42" spans="2:49" x14ac:dyDescent="0.25">
      <c r="B42" s="472"/>
      <c r="C42" s="474"/>
    </row>
    <row r="43" spans="2:49" x14ac:dyDescent="0.25">
      <c r="B43" s="473"/>
      <c r="C43" s="475"/>
      <c r="D43" s="472"/>
    </row>
    <row r="44" spans="2:49" x14ac:dyDescent="0.25">
      <c r="C44" s="474"/>
      <c r="D44" s="472"/>
    </row>
    <row r="45" spans="2:49" x14ac:dyDescent="0.25">
      <c r="C45" s="474" t="s">
        <v>685</v>
      </c>
      <c r="D45" s="472"/>
    </row>
    <row r="46" spans="2:49" ht="38.25" x14ac:dyDescent="0.25">
      <c r="C46" s="481" t="s">
        <v>669</v>
      </c>
      <c r="D46" s="472"/>
    </row>
    <row r="47" spans="2:49" ht="38.25" x14ac:dyDescent="0.25">
      <c r="B47" s="472"/>
      <c r="C47" s="477" t="s">
        <v>671</v>
      </c>
      <c r="D47" s="473"/>
    </row>
    <row r="48" spans="2:49" ht="38.25" x14ac:dyDescent="0.25">
      <c r="B48" s="472"/>
      <c r="C48" s="477" t="s">
        <v>673</v>
      </c>
    </row>
    <row r="49" spans="2:4" ht="38.25" x14ac:dyDescent="0.25">
      <c r="B49" s="472"/>
      <c r="C49" s="481" t="s">
        <v>675</v>
      </c>
      <c r="D49" s="472"/>
    </row>
    <row r="50" spans="2:4" x14ac:dyDescent="0.25">
      <c r="B50" s="472"/>
      <c r="C50" s="479"/>
      <c r="D50" s="472"/>
    </row>
    <row r="51" spans="2:4" x14ac:dyDescent="0.25">
      <c r="B51" s="472"/>
      <c r="C51" s="474"/>
      <c r="D51" s="472"/>
    </row>
    <row r="52" spans="2:4" x14ac:dyDescent="0.25">
      <c r="B52" s="472"/>
      <c r="C52" s="474" t="s">
        <v>688</v>
      </c>
      <c r="D52" s="472"/>
    </row>
    <row r="53" spans="2:4" ht="42.75" x14ac:dyDescent="0.25">
      <c r="C53" s="480" t="s">
        <v>686</v>
      </c>
    </row>
    <row r="54" spans="2:4" ht="97.5" customHeight="1" x14ac:dyDescent="0.25">
      <c r="C54" s="478" t="s">
        <v>687</v>
      </c>
    </row>
    <row r="55" spans="2:4" x14ac:dyDescent="0.25">
      <c r="C55" s="476"/>
    </row>
    <row r="56" spans="2:4" x14ac:dyDescent="0.25">
      <c r="C56" s="472"/>
      <c r="D56" s="472"/>
    </row>
    <row r="57" spans="2:4" x14ac:dyDescent="0.25">
      <c r="C57" s="472"/>
      <c r="D57" s="472"/>
    </row>
    <row r="58" spans="2:4" x14ac:dyDescent="0.25">
      <c r="C58" s="472"/>
      <c r="D58" s="472"/>
    </row>
    <row r="59" spans="2:4" x14ac:dyDescent="0.25">
      <c r="C59" s="472"/>
      <c r="D59" s="472"/>
    </row>
    <row r="60" spans="2:4" x14ac:dyDescent="0.25">
      <c r="C60" s="472"/>
      <c r="D60" s="472"/>
    </row>
    <row r="61" spans="2:4" x14ac:dyDescent="0.25">
      <c r="C61" s="472"/>
      <c r="D61" s="472"/>
    </row>
  </sheetData>
  <mergeCells count="98">
    <mergeCell ref="BL9:BO9"/>
    <mergeCell ref="BL10:BO10"/>
    <mergeCell ref="BP10:BS10"/>
    <mergeCell ref="BL11:BL12"/>
    <mergeCell ref="BN11:BN12"/>
    <mergeCell ref="BO11:BO12"/>
    <mergeCell ref="BP11:BP12"/>
    <mergeCell ref="BR11:BR12"/>
    <mergeCell ref="BS11:BS12"/>
    <mergeCell ref="O11:O12"/>
    <mergeCell ref="P11:P12"/>
    <mergeCell ref="BA9:BD9"/>
    <mergeCell ref="BA10:BD10"/>
    <mergeCell ref="T10:V10"/>
    <mergeCell ref="T11:T12"/>
    <mergeCell ref="U11:U12"/>
    <mergeCell ref="V11:V12"/>
    <mergeCell ref="AC10:AF10"/>
    <mergeCell ref="AC11:AC12"/>
    <mergeCell ref="AE11:AE12"/>
    <mergeCell ref="AF11:AF12"/>
    <mergeCell ref="AG10:AJ10"/>
    <mergeCell ref="AW10:AZ10"/>
    <mergeCell ref="Z10:AB10"/>
    <mergeCell ref="Z11:Z12"/>
    <mergeCell ref="CA10:CD10"/>
    <mergeCell ref="BA11:BA12"/>
    <mergeCell ref="BC11:BC12"/>
    <mergeCell ref="BD11:BD12"/>
    <mergeCell ref="CA11:CA12"/>
    <mergeCell ref="CC11:CC12"/>
    <mergeCell ref="CD11:CD12"/>
    <mergeCell ref="BE11:BE12"/>
    <mergeCell ref="BE10:BG10"/>
    <mergeCell ref="BF11:BF12"/>
    <mergeCell ref="BG11:BG12"/>
    <mergeCell ref="BH10:BK10"/>
    <mergeCell ref="BH11:BH12"/>
    <mergeCell ref="BJ11:BJ12"/>
    <mergeCell ref="BK11:BK12"/>
    <mergeCell ref="BT10:BV10"/>
    <mergeCell ref="AA11:AA12"/>
    <mergeCell ref="AB11:AB12"/>
    <mergeCell ref="W10:Y10"/>
    <mergeCell ref="W11:W12"/>
    <mergeCell ref="X11:X12"/>
    <mergeCell ref="Y11:Y12"/>
    <mergeCell ref="B11:B12"/>
    <mergeCell ref="C11:C12"/>
    <mergeCell ref="D11:D12"/>
    <mergeCell ref="E11:E12"/>
    <mergeCell ref="F11:F12"/>
    <mergeCell ref="B25:C25"/>
    <mergeCell ref="D30:D31"/>
    <mergeCell ref="E30:E31"/>
    <mergeCell ref="F30:F31"/>
    <mergeCell ref="G30:G31"/>
    <mergeCell ref="E10:G10"/>
    <mergeCell ref="Q10:S10"/>
    <mergeCell ref="G11:G12"/>
    <mergeCell ref="Q11:Q12"/>
    <mergeCell ref="R11:R12"/>
    <mergeCell ref="S11:S12"/>
    <mergeCell ref="H10:J10"/>
    <mergeCell ref="H11:H12"/>
    <mergeCell ref="I11:I12"/>
    <mergeCell ref="J11:J12"/>
    <mergeCell ref="M11:M12"/>
    <mergeCell ref="K10:M10"/>
    <mergeCell ref="K11:K12"/>
    <mergeCell ref="L11:L12"/>
    <mergeCell ref="N10:P10"/>
    <mergeCell ref="N11:N12"/>
    <mergeCell ref="AG11:AG12"/>
    <mergeCell ref="AI11:AI12"/>
    <mergeCell ref="AJ11:AJ12"/>
    <mergeCell ref="AW11:AW12"/>
    <mergeCell ref="AY11:AY12"/>
    <mergeCell ref="AO11:AO12"/>
    <mergeCell ref="AQ11:AQ12"/>
    <mergeCell ref="AR11:AR12"/>
    <mergeCell ref="AK10:AN10"/>
    <mergeCell ref="AK11:AK12"/>
    <mergeCell ref="AM11:AM12"/>
    <mergeCell ref="AN11:AN12"/>
    <mergeCell ref="AS10:AV10"/>
    <mergeCell ref="AS11:AS12"/>
    <mergeCell ref="AU11:AU12"/>
    <mergeCell ref="AV11:AV12"/>
    <mergeCell ref="AO10:AR10"/>
    <mergeCell ref="BW10:BZ10"/>
    <mergeCell ref="BW11:BW12"/>
    <mergeCell ref="BY11:BY12"/>
    <mergeCell ref="BZ11:BZ12"/>
    <mergeCell ref="AZ11:AZ12"/>
    <mergeCell ref="BT11:BT12"/>
    <mergeCell ref="BU11:BU12"/>
    <mergeCell ref="BV11:BV12"/>
  </mergeCells>
  <pageMargins left="0.51181102362204722" right="0.51181102362204722" top="0.78740157480314965" bottom="0.78740157480314965" header="0.31496062992125984" footer="0.31496062992125984"/>
  <pageSetup paperSize="9" scale="46" orientation="landscape" r:id="rId1"/>
  <colBreaks count="2" manualBreakCount="2">
    <brk id="25" max="62" man="1"/>
    <brk id="82" max="62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08" zoomScaleNormal="85" zoomScaleSheetLayoutView="100" workbookViewId="0">
      <selection activeCell="C43" sqref="C43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5.710937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" t="s">
        <v>13</v>
      </c>
      <c r="B8" s="8" t="s">
        <v>14</v>
      </c>
      <c r="C8" s="728">
        <v>41094</v>
      </c>
      <c r="D8" s="725"/>
    </row>
    <row r="9" spans="1:4" ht="12.75" x14ac:dyDescent="0.2">
      <c r="A9" s="7" t="s">
        <v>15</v>
      </c>
      <c r="B9" s="8" t="s">
        <v>16</v>
      </c>
      <c r="C9" s="729" t="s">
        <v>17</v>
      </c>
      <c r="D9" s="729"/>
    </row>
    <row r="10" spans="1:4" ht="12.75" x14ac:dyDescent="0.2">
      <c r="A10" s="7" t="s">
        <v>18</v>
      </c>
      <c r="B10" s="8" t="s">
        <v>19</v>
      </c>
      <c r="C10" s="728" t="s">
        <v>490</v>
      </c>
      <c r="D10" s="725"/>
    </row>
    <row r="11" spans="1:4" ht="12.75" x14ac:dyDescent="0.2">
      <c r="A11" s="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496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6" ht="12.75" x14ac:dyDescent="0.2">
      <c r="A17" s="732" t="s">
        <v>27</v>
      </c>
      <c r="B17" s="733"/>
      <c r="C17" s="734" t="s">
        <v>568</v>
      </c>
      <c r="D17" s="735"/>
      <c r="E17" s="371" t="s">
        <v>28</v>
      </c>
      <c r="F17" s="372"/>
    </row>
    <row r="18" spans="1:6" x14ac:dyDescent="0.25">
      <c r="A18" s="10"/>
    </row>
    <row r="19" spans="1:6" ht="12.75" x14ac:dyDescent="0.2">
      <c r="A19" s="726" t="s">
        <v>29</v>
      </c>
      <c r="B19" s="726"/>
      <c r="C19" s="726"/>
      <c r="D19" s="726"/>
    </row>
    <row r="20" spans="1:6" ht="12.75" x14ac:dyDescent="0.2">
      <c r="A20" s="736" t="s">
        <v>30</v>
      </c>
      <c r="B20" s="736"/>
      <c r="C20" s="736"/>
      <c r="D20" s="736"/>
    </row>
    <row r="21" spans="1:6" ht="12.75" x14ac:dyDescent="0.2">
      <c r="A21" s="737" t="s">
        <v>31</v>
      </c>
      <c r="B21" s="738"/>
      <c r="C21" s="738"/>
      <c r="D21" s="739"/>
    </row>
    <row r="22" spans="1:6" ht="12.75" x14ac:dyDescent="0.2">
      <c r="A22" s="7">
        <v>1</v>
      </c>
      <c r="B22" s="8" t="s">
        <v>32</v>
      </c>
      <c r="C22" s="724" t="s">
        <v>489</v>
      </c>
      <c r="D22" s="725"/>
    </row>
    <row r="23" spans="1:6" x14ac:dyDescent="0.25">
      <c r="A23" s="7">
        <v>2</v>
      </c>
      <c r="B23" s="8" t="s">
        <v>33</v>
      </c>
      <c r="C23" s="784">
        <f>'REPACTUAÇÃO SIEMACO 2013'!J14</f>
        <v>1334</v>
      </c>
      <c r="D23" s="784"/>
    </row>
    <row r="24" spans="1:6" ht="12.75" x14ac:dyDescent="0.2">
      <c r="A24" s="7">
        <v>3</v>
      </c>
      <c r="B24" s="8" t="s">
        <v>34</v>
      </c>
      <c r="C24" s="724" t="s">
        <v>35</v>
      </c>
      <c r="D24" s="725"/>
    </row>
    <row r="25" spans="1:6" ht="12.75" x14ac:dyDescent="0.2">
      <c r="A25" s="7">
        <v>4</v>
      </c>
      <c r="B25" s="8" t="s">
        <v>36</v>
      </c>
      <c r="C25" s="728">
        <v>40909</v>
      </c>
      <c r="D25" s="725"/>
    </row>
    <row r="26" spans="1:6" ht="12.75" x14ac:dyDescent="0.2">
      <c r="A26" s="11"/>
      <c r="B26" s="12"/>
      <c r="C26" s="743"/>
      <c r="D26" s="743"/>
    </row>
    <row r="27" spans="1:6" ht="12.75" x14ac:dyDescent="0.2">
      <c r="A27" s="736" t="s">
        <v>37</v>
      </c>
      <c r="B27" s="736"/>
      <c r="C27" s="736"/>
      <c r="D27" s="736"/>
    </row>
    <row r="28" spans="1:6" ht="12.75" x14ac:dyDescent="0.2">
      <c r="A28" s="13">
        <v>1</v>
      </c>
      <c r="B28" s="14" t="s">
        <v>38</v>
      </c>
      <c r="C28" s="15" t="s">
        <v>39</v>
      </c>
      <c r="D28" s="16" t="s">
        <v>40</v>
      </c>
    </row>
    <row r="29" spans="1:6" x14ac:dyDescent="0.25">
      <c r="A29" s="7" t="s">
        <v>13</v>
      </c>
      <c r="B29" s="8" t="s">
        <v>41</v>
      </c>
      <c r="C29" s="355">
        <v>1</v>
      </c>
      <c r="D29" s="354">
        <f>'REPACTUAÇÃO SIEMACO 2013'!J14</f>
        <v>1334</v>
      </c>
      <c r="E29" s="357" t="s">
        <v>565</v>
      </c>
    </row>
    <row r="30" spans="1:6" x14ac:dyDescent="0.25">
      <c r="A30" s="7" t="s">
        <v>15</v>
      </c>
      <c r="B30" s="8" t="s">
        <v>42</v>
      </c>
      <c r="C30" s="20">
        <v>0.05</v>
      </c>
      <c r="D30" s="18">
        <f>D29*C30</f>
        <v>66.7</v>
      </c>
      <c r="E30" s="1"/>
    </row>
    <row r="31" spans="1:6" x14ac:dyDescent="0.25">
      <c r="A31" s="7" t="s">
        <v>18</v>
      </c>
      <c r="B31" s="8" t="s">
        <v>43</v>
      </c>
      <c r="C31" s="20"/>
      <c r="D31" s="18"/>
      <c r="E31" s="21"/>
    </row>
    <row r="32" spans="1:6" x14ac:dyDescent="0.25">
      <c r="A32" s="7" t="s">
        <v>20</v>
      </c>
      <c r="B32" s="8" t="s">
        <v>44</v>
      </c>
      <c r="C32" s="22"/>
      <c r="D32" s="18"/>
      <c r="E32" s="19"/>
    </row>
    <row r="33" spans="1:6" x14ac:dyDescent="0.25">
      <c r="A33" s="7" t="s">
        <v>45</v>
      </c>
      <c r="B33" s="8" t="s">
        <v>46</v>
      </c>
      <c r="C33" s="22"/>
      <c r="D33" s="18"/>
      <c r="E33" s="19"/>
    </row>
    <row r="34" spans="1:6" x14ac:dyDescent="0.25">
      <c r="A34" s="7" t="s">
        <v>47</v>
      </c>
      <c r="B34" s="8" t="s">
        <v>48</v>
      </c>
      <c r="C34" s="17"/>
      <c r="D34" s="18">
        <v>0</v>
      </c>
      <c r="E34" s="21"/>
    </row>
    <row r="35" spans="1:6" x14ac:dyDescent="0.25">
      <c r="A35" s="7" t="s">
        <v>49</v>
      </c>
      <c r="B35" s="8" t="s">
        <v>50</v>
      </c>
      <c r="C35" s="22"/>
      <c r="D35" s="18"/>
      <c r="E35" s="19"/>
    </row>
    <row r="36" spans="1:6" x14ac:dyDescent="0.25">
      <c r="A36" s="7" t="s">
        <v>51</v>
      </c>
      <c r="B36" s="8" t="s">
        <v>52</v>
      </c>
      <c r="C36" s="17"/>
      <c r="D36" s="18">
        <v>0</v>
      </c>
      <c r="E36" s="1"/>
    </row>
    <row r="37" spans="1:6" x14ac:dyDescent="0.25">
      <c r="A37" s="7" t="s">
        <v>53</v>
      </c>
      <c r="B37" s="8" t="s">
        <v>54</v>
      </c>
      <c r="C37" s="17"/>
      <c r="D37" s="18">
        <f>ROUND(SUM(D32:D35)/23*7,2)</f>
        <v>0</v>
      </c>
      <c r="E37" s="1"/>
    </row>
    <row r="38" spans="1:6" x14ac:dyDescent="0.25">
      <c r="A38" s="744" t="s">
        <v>55</v>
      </c>
      <c r="B38" s="745"/>
      <c r="C38" s="17"/>
      <c r="D38" s="23">
        <f>ROUND(SUM(D29:D37),2)</f>
        <v>1400.7</v>
      </c>
      <c r="E38" s="1"/>
    </row>
    <row r="39" spans="1:6" x14ac:dyDescent="0.25">
      <c r="E39" s="1"/>
    </row>
    <row r="40" spans="1:6" ht="12.75" x14ac:dyDescent="0.2">
      <c r="A40" s="746" t="s">
        <v>56</v>
      </c>
      <c r="B40" s="747"/>
      <c r="C40" s="747"/>
      <c r="D40" s="748"/>
      <c r="E40" s="1"/>
    </row>
    <row r="41" spans="1:6" ht="12.75" x14ac:dyDescent="0.2">
      <c r="A41" s="13">
        <v>2</v>
      </c>
      <c r="B41" s="24" t="s">
        <v>57</v>
      </c>
      <c r="C41" s="15" t="s">
        <v>58</v>
      </c>
      <c r="D41" s="16" t="s">
        <v>40</v>
      </c>
      <c r="E41" s="1"/>
    </row>
    <row r="42" spans="1:6" ht="13.5" customHeight="1" x14ac:dyDescent="0.25">
      <c r="A42" s="7" t="s">
        <v>13</v>
      </c>
      <c r="B42" s="25" t="s">
        <v>59</v>
      </c>
      <c r="C42" s="18">
        <v>3.3</v>
      </c>
      <c r="D42" s="18">
        <f>ROUND((C42*44)-(D29*6%),2)</f>
        <v>65.16</v>
      </c>
      <c r="E42" s="26"/>
    </row>
    <row r="43" spans="1:6" ht="13.5" customHeight="1" x14ac:dyDescent="0.25">
      <c r="A43" s="7" t="s">
        <v>15</v>
      </c>
      <c r="B43" s="27" t="s">
        <v>60</v>
      </c>
      <c r="C43" s="354">
        <v>235</v>
      </c>
      <c r="D43" s="354">
        <f>'REPACTUAÇÃO SIEMACO 2013'!K33</f>
        <v>326</v>
      </c>
      <c r="E43" s="356" t="s">
        <v>564</v>
      </c>
      <c r="F43" s="9"/>
    </row>
    <row r="44" spans="1:6" ht="13.5" customHeight="1" x14ac:dyDescent="0.25">
      <c r="A44" s="373" t="s">
        <v>18</v>
      </c>
      <c r="B44" s="27" t="s">
        <v>157</v>
      </c>
      <c r="C44" s="18">
        <v>19.579999999999998</v>
      </c>
      <c r="D44" s="18">
        <f>'REPACTUAÇÃO SIEMACO 2013'!K42</f>
        <v>27.17</v>
      </c>
      <c r="E44" s="356" t="s">
        <v>564</v>
      </c>
      <c r="F44" s="9"/>
    </row>
    <row r="45" spans="1:6" ht="13.5" customHeight="1" x14ac:dyDescent="0.2">
      <c r="A45" s="373" t="s">
        <v>20</v>
      </c>
      <c r="B45" s="27" t="s">
        <v>61</v>
      </c>
      <c r="C45" s="8">
        <v>45</v>
      </c>
      <c r="D45" s="8">
        <f>'REPACTUAÇÃO SIEMACO 2013'!K45</f>
        <v>22</v>
      </c>
      <c r="E45" s="2"/>
    </row>
    <row r="46" spans="1:6" ht="13.5" customHeight="1" x14ac:dyDescent="0.25">
      <c r="A46" s="373" t="s">
        <v>45</v>
      </c>
      <c r="B46" s="27" t="s">
        <v>158</v>
      </c>
      <c r="C46" s="18">
        <v>8</v>
      </c>
      <c r="D46" s="18">
        <f>ROUND(C46*$C$29,2)</f>
        <v>8</v>
      </c>
    </row>
    <row r="47" spans="1:6" ht="13.5" customHeight="1" x14ac:dyDescent="0.25">
      <c r="A47" s="373" t="s">
        <v>47</v>
      </c>
      <c r="B47" s="27" t="s">
        <v>64</v>
      </c>
      <c r="C47" s="18" t="s">
        <v>345</v>
      </c>
      <c r="D47" s="18" t="s">
        <v>345</v>
      </c>
    </row>
    <row r="48" spans="1:6" ht="13.5" customHeight="1" x14ac:dyDescent="0.25">
      <c r="A48" s="7"/>
      <c r="B48" s="27"/>
      <c r="C48" s="18"/>
      <c r="D48" s="18"/>
    </row>
    <row r="49" spans="1:5" ht="13.5" customHeight="1" x14ac:dyDescent="0.25">
      <c r="A49" s="744" t="s">
        <v>65</v>
      </c>
      <c r="B49" s="745"/>
      <c r="C49" s="29"/>
      <c r="D49" s="23">
        <f>ROUND(SUM(D42:D48),2)</f>
        <v>448.33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7" t="s">
        <v>13</v>
      </c>
      <c r="B53" s="8" t="s">
        <v>69</v>
      </c>
      <c r="C53" s="31">
        <v>50</v>
      </c>
      <c r="D53" s="18">
        <f>ROUND(C53*$C$29,2)</f>
        <v>50</v>
      </c>
    </row>
    <row r="54" spans="1:5" x14ac:dyDescent="0.25">
      <c r="A54" s="7" t="s">
        <v>15</v>
      </c>
      <c r="B54" s="32" t="s">
        <v>70</v>
      </c>
      <c r="C54" s="31">
        <v>5</v>
      </c>
      <c r="D54" s="18">
        <f>ROUND(C54*$C$29,2)</f>
        <v>5</v>
      </c>
      <c r="E54" s="58"/>
    </row>
    <row r="55" spans="1:5" x14ac:dyDescent="0.25">
      <c r="A55" s="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7" t="s">
        <v>20</v>
      </c>
      <c r="B56" s="32" t="s">
        <v>72</v>
      </c>
      <c r="C56" s="18"/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55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ROUND($D$38*C61,2)</f>
        <v>280.14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ROUND($D$38*C62,2)</f>
        <v>21.01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ROUND($D$38*C63,2)</f>
        <v>14.01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2.8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35.020000000000003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112.06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42.02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8.4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515.46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E71" s="53" t="s">
        <v>86</v>
      </c>
      <c r="F71" s="59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ROUND($D$38*C72,2)</f>
        <v>116.68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ROUND($D$38*C73,2)</f>
        <v>38.89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155.57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ROUND($D$38*C75,2)</f>
        <v>57.25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212.82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ROUND($D$38*C79,2)</f>
        <v>1.4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0.11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11.21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27.17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10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61.91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111.8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ROUND($D$38*C88,2)</f>
        <v>116.68</v>
      </c>
      <c r="E88" s="60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3.36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0.28000000000000003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1.96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0.56000000000000005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0.28000000000000003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123.12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45.31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168.43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ROUND($D$38*C100,2)</f>
        <v>212.82</v>
      </c>
      <c r="E100" s="60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ROUND($D$38*C101,2)</f>
        <v>515.46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ROUND($D$38*C102,2)</f>
        <v>111.8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ROUND($D$38*C103,2)</f>
        <v>168.43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ROUND($D$38*C105,2)</f>
        <v>1008.51</v>
      </c>
    </row>
    <row r="106" spans="1:5" x14ac:dyDescent="0.25">
      <c r="D106" s="42">
        <f>ROUND(D105+D57+D49+D38,2)</f>
        <v>2912.54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29.13</v>
      </c>
    </row>
    <row r="109" spans="1:5" x14ac:dyDescent="0.25">
      <c r="A109" s="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54.96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253.17</v>
      </c>
      <c r="F113" s="61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66.62</v>
      </c>
      <c r="F114" s="62">
        <f>ROUND(D115+D108+D106,2)</f>
        <v>2956.38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14.71</v>
      </c>
      <c r="F115" s="63">
        <f>ROUND(F114/(1-F113),2)</f>
        <v>3331.13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418.59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D38</f>
        <v>1400.7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448.33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55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1008.51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2912.54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418.59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3331.13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3331.13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3331.13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3331.13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7" t="s">
        <v>13</v>
      </c>
      <c r="B137" s="731" t="s">
        <v>149</v>
      </c>
      <c r="C137" s="731"/>
      <c r="D137" s="18">
        <f>D130</f>
        <v>3331.13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3331.13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39973.56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8:B38"/>
    <mergeCell ref="A40:D40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disablePrompts="1"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8" zoomScaleNormal="85" zoomScaleSheetLayoutView="100" workbookViewId="0">
      <selection activeCell="C43" sqref="C43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5.710937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1" t="s">
        <v>13</v>
      </c>
      <c r="B8" s="8" t="s">
        <v>14</v>
      </c>
      <c r="C8" s="728">
        <v>41094</v>
      </c>
      <c r="D8" s="725"/>
    </row>
    <row r="9" spans="1:4" ht="12.75" x14ac:dyDescent="0.2">
      <c r="A9" s="71" t="s">
        <v>15</v>
      </c>
      <c r="B9" s="8" t="s">
        <v>16</v>
      </c>
      <c r="C9" s="729" t="s">
        <v>17</v>
      </c>
      <c r="D9" s="729"/>
    </row>
    <row r="10" spans="1:4" ht="12.75" x14ac:dyDescent="0.2">
      <c r="A10" s="71" t="s">
        <v>18</v>
      </c>
      <c r="B10" s="8" t="s">
        <v>19</v>
      </c>
      <c r="C10" s="728" t="s">
        <v>490</v>
      </c>
      <c r="D10" s="725"/>
    </row>
    <row r="11" spans="1:4" ht="12.75" x14ac:dyDescent="0.2">
      <c r="A11" s="71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498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4" t="s">
        <v>486</v>
      </c>
      <c r="D17" s="725"/>
    </row>
    <row r="18" spans="1:5" x14ac:dyDescent="0.25">
      <c r="A18" s="66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1">
        <v>1</v>
      </c>
      <c r="B22" s="8" t="s">
        <v>32</v>
      </c>
      <c r="C22" s="724" t="s">
        <v>489</v>
      </c>
      <c r="D22" s="725"/>
    </row>
    <row r="23" spans="1:5" x14ac:dyDescent="0.25">
      <c r="A23" s="71">
        <v>2</v>
      </c>
      <c r="B23" s="8" t="s">
        <v>33</v>
      </c>
      <c r="C23" s="784">
        <f>'REPACTUAÇÃO SIEMACO 2013'!J13</f>
        <v>1334</v>
      </c>
      <c r="D23" s="784"/>
    </row>
    <row r="24" spans="1:5" ht="12.75" x14ac:dyDescent="0.2">
      <c r="A24" s="71">
        <v>3</v>
      </c>
      <c r="B24" s="8" t="s">
        <v>34</v>
      </c>
      <c r="C24" s="724" t="s">
        <v>35</v>
      </c>
      <c r="D24" s="725"/>
    </row>
    <row r="25" spans="1:5" ht="12.75" x14ac:dyDescent="0.2">
      <c r="A25" s="71">
        <v>4</v>
      </c>
      <c r="B25" s="8" t="s">
        <v>36</v>
      </c>
      <c r="C25" s="728">
        <v>40909</v>
      </c>
      <c r="D25" s="725"/>
    </row>
    <row r="26" spans="1:5" ht="12.75" x14ac:dyDescent="0.2">
      <c r="A26" s="11"/>
      <c r="B26" s="12"/>
      <c r="C26" s="743"/>
      <c r="D26" s="743"/>
    </row>
    <row r="27" spans="1:5" ht="12.75" x14ac:dyDescent="0.2">
      <c r="A27" s="736" t="s">
        <v>37</v>
      </c>
      <c r="B27" s="736"/>
      <c r="C27" s="736"/>
      <c r="D27" s="736"/>
    </row>
    <row r="28" spans="1:5" ht="12.75" x14ac:dyDescent="0.2">
      <c r="A28" s="67">
        <v>1</v>
      </c>
      <c r="B28" s="14" t="s">
        <v>38</v>
      </c>
      <c r="C28" s="15" t="s">
        <v>39</v>
      </c>
      <c r="D28" s="16" t="s">
        <v>40</v>
      </c>
    </row>
    <row r="29" spans="1:5" x14ac:dyDescent="0.25">
      <c r="A29" s="71" t="s">
        <v>13</v>
      </c>
      <c r="B29" s="8" t="s">
        <v>41</v>
      </c>
      <c r="C29" s="355">
        <v>1</v>
      </c>
      <c r="D29" s="354">
        <f>'REPACTUAÇÃO SIEMACO 2013'!J13</f>
        <v>1334</v>
      </c>
      <c r="E29" s="357" t="s">
        <v>565</v>
      </c>
    </row>
    <row r="30" spans="1:5" x14ac:dyDescent="0.25">
      <c r="A30" s="71" t="s">
        <v>15</v>
      </c>
      <c r="B30" s="32" t="s">
        <v>508</v>
      </c>
      <c r="C30" s="20">
        <v>0.05</v>
      </c>
      <c r="D30" s="18">
        <f>C30*D29</f>
        <v>66.7</v>
      </c>
    </row>
    <row r="31" spans="1:5" x14ac:dyDescent="0.25">
      <c r="A31" s="71" t="s">
        <v>18</v>
      </c>
      <c r="B31" s="8" t="s">
        <v>497</v>
      </c>
      <c r="C31" s="20"/>
      <c r="D31" s="18"/>
      <c r="E31" s="56"/>
    </row>
    <row r="32" spans="1:5" x14ac:dyDescent="0.25">
      <c r="A32" s="71" t="s">
        <v>20</v>
      </c>
      <c r="B32" s="8" t="s">
        <v>44</v>
      </c>
      <c r="C32" s="22"/>
      <c r="D32" s="18"/>
      <c r="E32" s="55"/>
    </row>
    <row r="33" spans="1:5" x14ac:dyDescent="0.25">
      <c r="A33" s="71" t="s">
        <v>45</v>
      </c>
      <c r="B33" s="8" t="s">
        <v>46</v>
      </c>
      <c r="C33" s="22"/>
      <c r="D33" s="18"/>
      <c r="E33" s="55"/>
    </row>
    <row r="34" spans="1:5" x14ac:dyDescent="0.25">
      <c r="A34" s="71" t="s">
        <v>47</v>
      </c>
      <c r="B34" s="8" t="s">
        <v>48</v>
      </c>
      <c r="C34" s="17"/>
      <c r="D34" s="18">
        <v>0</v>
      </c>
      <c r="E34" s="56"/>
    </row>
    <row r="35" spans="1:5" x14ac:dyDescent="0.25">
      <c r="A35" s="71" t="s">
        <v>49</v>
      </c>
      <c r="B35" s="8" t="s">
        <v>50</v>
      </c>
      <c r="C35" s="22"/>
      <c r="D35" s="18"/>
      <c r="E35" s="55"/>
    </row>
    <row r="36" spans="1:5" x14ac:dyDescent="0.25">
      <c r="A36" s="71" t="s">
        <v>51</v>
      </c>
      <c r="B36" s="8" t="s">
        <v>52</v>
      </c>
      <c r="C36" s="17"/>
      <c r="D36" s="18">
        <v>0</v>
      </c>
    </row>
    <row r="37" spans="1:5" x14ac:dyDescent="0.25">
      <c r="A37" s="71" t="s">
        <v>53</v>
      </c>
      <c r="B37" s="8" t="s">
        <v>54</v>
      </c>
      <c r="C37" s="17"/>
      <c r="D37" s="18">
        <f>ROUND(SUM(D32:D35)/23*7,2)</f>
        <v>0</v>
      </c>
    </row>
    <row r="38" spans="1:5" x14ac:dyDescent="0.25">
      <c r="A38" s="744" t="s">
        <v>55</v>
      </c>
      <c r="B38" s="745"/>
      <c r="C38" s="17"/>
      <c r="D38" s="23">
        <f>ROUND(SUM(D29:D37),2)</f>
        <v>1400.7</v>
      </c>
    </row>
    <row r="40" spans="1:5" ht="12.75" x14ac:dyDescent="0.2">
      <c r="A40" s="746" t="s">
        <v>56</v>
      </c>
      <c r="B40" s="747"/>
      <c r="C40" s="747"/>
      <c r="D40" s="748"/>
    </row>
    <row r="41" spans="1:5" ht="12.75" x14ac:dyDescent="0.2">
      <c r="A41" s="67">
        <v>2</v>
      </c>
      <c r="B41" s="24" t="s">
        <v>57</v>
      </c>
      <c r="C41" s="15" t="s">
        <v>58</v>
      </c>
      <c r="D41" s="16" t="s">
        <v>40</v>
      </c>
    </row>
    <row r="42" spans="1:5" ht="13.5" customHeight="1" x14ac:dyDescent="0.25">
      <c r="A42" s="71" t="s">
        <v>13</v>
      </c>
      <c r="B42" s="25" t="s">
        <v>59</v>
      </c>
      <c r="C42" s="18">
        <v>3.3</v>
      </c>
      <c r="D42" s="18">
        <f>ROUND((C42*44)-(D29*6%),2)</f>
        <v>65.16</v>
      </c>
      <c r="E42" s="57"/>
    </row>
    <row r="43" spans="1:5" ht="13.5" customHeight="1" x14ac:dyDescent="0.25">
      <c r="A43" s="71" t="s">
        <v>15</v>
      </c>
      <c r="B43" s="27" t="s">
        <v>60</v>
      </c>
      <c r="C43" s="354">
        <v>235</v>
      </c>
      <c r="D43" s="354">
        <f>'REPACTUAÇÃO SIEMACO 2013'!K33</f>
        <v>326</v>
      </c>
      <c r="E43" s="356" t="s">
        <v>564</v>
      </c>
    </row>
    <row r="44" spans="1:5" ht="13.5" customHeight="1" x14ac:dyDescent="0.25">
      <c r="A44" s="71" t="s">
        <v>18</v>
      </c>
      <c r="B44" s="27" t="s">
        <v>157</v>
      </c>
      <c r="C44" s="354">
        <f>235/12</f>
        <v>19.583333333333332</v>
      </c>
      <c r="D44" s="18">
        <f>'REPACTUAÇÃO SIEMACO 2013'!K42</f>
        <v>27.17</v>
      </c>
      <c r="E44" s="356" t="s">
        <v>564</v>
      </c>
    </row>
    <row r="45" spans="1:5" ht="13.5" customHeight="1" x14ac:dyDescent="0.25">
      <c r="A45" s="71" t="s">
        <v>20</v>
      </c>
      <c r="B45" s="27" t="s">
        <v>169</v>
      </c>
      <c r="C45" s="18">
        <v>45</v>
      </c>
      <c r="D45" s="18">
        <f>'REPACTUAÇÃO SIEMACO 2013'!K45</f>
        <v>22</v>
      </c>
    </row>
    <row r="46" spans="1:5" ht="13.5" customHeight="1" x14ac:dyDescent="0.25">
      <c r="A46" s="71" t="s">
        <v>45</v>
      </c>
      <c r="B46" s="27" t="s">
        <v>170</v>
      </c>
      <c r="C46" s="18">
        <v>8</v>
      </c>
      <c r="D46" s="18">
        <f>ROUND(C46*$C$29,2)</f>
        <v>8</v>
      </c>
    </row>
    <row r="47" spans="1:5" ht="13.5" customHeight="1" x14ac:dyDescent="0.25">
      <c r="A47" s="71" t="s">
        <v>47</v>
      </c>
      <c r="B47" s="27" t="s">
        <v>64</v>
      </c>
      <c r="C47" s="18">
        <v>0</v>
      </c>
      <c r="D47" s="18">
        <f>ROUND(C47*$C$29,2)</f>
        <v>0</v>
      </c>
    </row>
    <row r="48" spans="1:5" ht="13.5" customHeight="1" x14ac:dyDescent="0.25">
      <c r="A48" s="744" t="s">
        <v>65</v>
      </c>
      <c r="B48" s="745"/>
      <c r="C48" s="29"/>
      <c r="D48" s="23">
        <f>ROUND(SUM(D42:D47),2)</f>
        <v>448.33</v>
      </c>
    </row>
    <row r="49" spans="1:5" ht="13.5" customHeight="1" x14ac:dyDescent="0.25">
      <c r="A49" s="30"/>
    </row>
    <row r="50" spans="1:5" ht="13.5" customHeight="1" x14ac:dyDescent="0.2">
      <c r="A50" s="746" t="s">
        <v>66</v>
      </c>
      <c r="B50" s="747"/>
      <c r="C50" s="747"/>
      <c r="D50" s="748"/>
    </row>
    <row r="51" spans="1:5" ht="13.5" customHeight="1" x14ac:dyDescent="0.2">
      <c r="A51" s="67">
        <v>3</v>
      </c>
      <c r="B51" s="24" t="s">
        <v>67</v>
      </c>
      <c r="C51" s="15" t="s">
        <v>68</v>
      </c>
      <c r="D51" s="16" t="s">
        <v>40</v>
      </c>
    </row>
    <row r="52" spans="1:5" x14ac:dyDescent="0.25">
      <c r="A52" s="71" t="s">
        <v>13</v>
      </c>
      <c r="B52" s="8" t="s">
        <v>69</v>
      </c>
      <c r="C52" s="91">
        <f>'Uniforme 2'!D10</f>
        <v>41.333333333333336</v>
      </c>
      <c r="D52" s="18">
        <f>ROUND(C52*$C$29,2)</f>
        <v>41.33</v>
      </c>
    </row>
    <row r="53" spans="1:5" x14ac:dyDescent="0.25">
      <c r="A53" s="71" t="s">
        <v>15</v>
      </c>
      <c r="B53" s="32" t="s">
        <v>204</v>
      </c>
      <c r="C53" s="91"/>
      <c r="D53" s="18"/>
      <c r="E53" s="58"/>
    </row>
    <row r="54" spans="1:5" x14ac:dyDescent="0.25">
      <c r="A54" s="71" t="s">
        <v>18</v>
      </c>
      <c r="B54" s="8" t="s">
        <v>71</v>
      </c>
      <c r="C54" s="91">
        <f>Manut.!B77</f>
        <v>119.96105000000001</v>
      </c>
      <c r="D54" s="18">
        <f>ROUND(C54*$C$29,2)</f>
        <v>119.96</v>
      </c>
    </row>
    <row r="55" spans="1:5" x14ac:dyDescent="0.25">
      <c r="A55" s="71" t="s">
        <v>20</v>
      </c>
      <c r="B55" s="32" t="s">
        <v>72</v>
      </c>
      <c r="C55" s="110">
        <f>Epis!D11</f>
        <v>16.010000000000002</v>
      </c>
      <c r="D55" s="18">
        <f>C55</f>
        <v>16.010000000000002</v>
      </c>
      <c r="E55" s="58"/>
    </row>
    <row r="56" spans="1:5" x14ac:dyDescent="0.25">
      <c r="A56" s="744" t="s">
        <v>73</v>
      </c>
      <c r="B56" s="745"/>
      <c r="C56" s="29"/>
      <c r="D56" s="23">
        <f>ROUND(SUM(D52:D55),2)</f>
        <v>177.3</v>
      </c>
      <c r="E56" s="58"/>
    </row>
    <row r="58" spans="1:5" ht="12.75" x14ac:dyDescent="0.2">
      <c r="A58" s="746" t="s">
        <v>74</v>
      </c>
      <c r="B58" s="747"/>
      <c r="C58" s="747"/>
      <c r="D58" s="748"/>
    </row>
    <row r="59" spans="1:5" ht="12.75" x14ac:dyDescent="0.2">
      <c r="A59" s="740" t="s">
        <v>75</v>
      </c>
      <c r="B59" s="740"/>
      <c r="C59" s="15" t="s">
        <v>68</v>
      </c>
      <c r="D59" s="16" t="s">
        <v>40</v>
      </c>
    </row>
    <row r="60" spans="1:5" x14ac:dyDescent="0.25">
      <c r="A60" s="70" t="s">
        <v>13</v>
      </c>
      <c r="B60" s="32" t="s">
        <v>76</v>
      </c>
      <c r="C60" s="29">
        <v>0.2</v>
      </c>
      <c r="D60" s="18">
        <f>ROUND($D$38*C60,2)</f>
        <v>280.14</v>
      </c>
    </row>
    <row r="61" spans="1:5" x14ac:dyDescent="0.25">
      <c r="A61" s="70" t="s">
        <v>15</v>
      </c>
      <c r="B61" s="32" t="s">
        <v>77</v>
      </c>
      <c r="C61" s="29">
        <v>1.4999999999999999E-2</v>
      </c>
      <c r="D61" s="18">
        <f>ROUND($D$38*C61,2)</f>
        <v>21.01</v>
      </c>
    </row>
    <row r="62" spans="1:5" x14ac:dyDescent="0.25">
      <c r="A62" s="70" t="s">
        <v>18</v>
      </c>
      <c r="B62" s="32" t="s">
        <v>78</v>
      </c>
      <c r="C62" s="29">
        <v>0.01</v>
      </c>
      <c r="D62" s="18">
        <f t="shared" ref="D62:D67" si="0">ROUND($D$38*C62,2)</f>
        <v>14.01</v>
      </c>
    </row>
    <row r="63" spans="1:5" x14ac:dyDescent="0.25">
      <c r="A63" s="70" t="s">
        <v>20</v>
      </c>
      <c r="B63" s="32" t="s">
        <v>79</v>
      </c>
      <c r="C63" s="29">
        <v>2E-3</v>
      </c>
      <c r="D63" s="18">
        <f t="shared" si="0"/>
        <v>2.8</v>
      </c>
    </row>
    <row r="64" spans="1:5" x14ac:dyDescent="0.25">
      <c r="A64" s="70" t="s">
        <v>45</v>
      </c>
      <c r="B64" s="32" t="s">
        <v>80</v>
      </c>
      <c r="C64" s="29">
        <v>2.5000000000000001E-2</v>
      </c>
      <c r="D64" s="18">
        <f t="shared" si="0"/>
        <v>35.020000000000003</v>
      </c>
    </row>
    <row r="65" spans="1:6" x14ac:dyDescent="0.25">
      <c r="A65" s="70" t="s">
        <v>47</v>
      </c>
      <c r="B65" s="32" t="s">
        <v>81</v>
      </c>
      <c r="C65" s="29">
        <v>0.08</v>
      </c>
      <c r="D65" s="18">
        <f t="shared" si="0"/>
        <v>112.06</v>
      </c>
    </row>
    <row r="66" spans="1:6" x14ac:dyDescent="0.25">
      <c r="A66" s="70" t="s">
        <v>49</v>
      </c>
      <c r="B66" s="32" t="s">
        <v>82</v>
      </c>
      <c r="C66" s="29">
        <f>2%*F70</f>
        <v>0.03</v>
      </c>
      <c r="D66" s="18">
        <f t="shared" si="0"/>
        <v>42.02</v>
      </c>
    </row>
    <row r="67" spans="1:6" x14ac:dyDescent="0.25">
      <c r="A67" s="70" t="s">
        <v>51</v>
      </c>
      <c r="B67" s="32" t="s">
        <v>83</v>
      </c>
      <c r="C67" s="29">
        <v>6.0000000000000001E-3</v>
      </c>
      <c r="D67" s="18">
        <f t="shared" si="0"/>
        <v>8.4</v>
      </c>
    </row>
    <row r="68" spans="1:6" ht="12.75" x14ac:dyDescent="0.2">
      <c r="A68" s="744" t="s">
        <v>84</v>
      </c>
      <c r="B68" s="750"/>
      <c r="C68" s="34">
        <f>SUM(C60:C67)</f>
        <v>0.3680000000000001</v>
      </c>
      <c r="D68" s="23">
        <f>ROUND(SUM(D60:D67),2)</f>
        <v>515.46</v>
      </c>
    </row>
    <row r="69" spans="1:6" x14ac:dyDescent="0.25">
      <c r="A69" s="1"/>
      <c r="B69" s="1"/>
    </row>
    <row r="70" spans="1:6" ht="12.75" x14ac:dyDescent="0.2">
      <c r="A70" s="740" t="s">
        <v>85</v>
      </c>
      <c r="B70" s="740"/>
      <c r="C70" s="15" t="s">
        <v>68</v>
      </c>
      <c r="D70" s="16" t="s">
        <v>40</v>
      </c>
      <c r="E70" s="53" t="s">
        <v>86</v>
      </c>
      <c r="F70" s="59">
        <v>1.5</v>
      </c>
    </row>
    <row r="71" spans="1:6" x14ac:dyDescent="0.25">
      <c r="A71" s="70" t="s">
        <v>13</v>
      </c>
      <c r="B71" s="32" t="s">
        <v>87</v>
      </c>
      <c r="C71" s="29">
        <v>8.3299999999999999E-2</v>
      </c>
      <c r="D71" s="18">
        <f>ROUND($D$38*C71,2)</f>
        <v>116.68</v>
      </c>
    </row>
    <row r="72" spans="1:6" x14ac:dyDescent="0.25">
      <c r="A72" s="70" t="s">
        <v>15</v>
      </c>
      <c r="B72" s="32" t="s">
        <v>88</v>
      </c>
      <c r="C72" s="29">
        <f>C87/3</f>
        <v>2.7766666666666665E-2</v>
      </c>
      <c r="D72" s="18">
        <f>ROUND($D$38*C72,2)</f>
        <v>38.89</v>
      </c>
    </row>
    <row r="73" spans="1:6" ht="12.75" x14ac:dyDescent="0.2">
      <c r="A73" s="729" t="s">
        <v>89</v>
      </c>
      <c r="B73" s="729"/>
      <c r="C73" s="34">
        <f>SUM(C71:C72)</f>
        <v>0.11106666666666666</v>
      </c>
      <c r="D73" s="23">
        <f>ROUND(SUM(D71:D72),2)</f>
        <v>155.57</v>
      </c>
    </row>
    <row r="74" spans="1:6" x14ac:dyDescent="0.25">
      <c r="A74" s="70" t="s">
        <v>18</v>
      </c>
      <c r="B74" s="32" t="s">
        <v>90</v>
      </c>
      <c r="C74" s="29">
        <f>C68*C73</f>
        <v>4.0872533333333343E-2</v>
      </c>
      <c r="D74" s="18">
        <f>ROUND($D$38*C74,2)</f>
        <v>57.25</v>
      </c>
    </row>
    <row r="75" spans="1:6" ht="12.75" x14ac:dyDescent="0.2">
      <c r="A75" s="729" t="s">
        <v>91</v>
      </c>
      <c r="B75" s="729"/>
      <c r="C75" s="34">
        <f>C74+C73</f>
        <v>0.1519392</v>
      </c>
      <c r="D75" s="23">
        <f>ROUND(D74+D73,2)</f>
        <v>212.82</v>
      </c>
    </row>
    <row r="76" spans="1:6" x14ac:dyDescent="0.25">
      <c r="A76" s="1"/>
      <c r="B76" s="1"/>
      <c r="E76" s="60"/>
    </row>
    <row r="77" spans="1:6" ht="12.75" x14ac:dyDescent="0.2">
      <c r="A77" s="737" t="s">
        <v>92</v>
      </c>
      <c r="B77" s="739"/>
      <c r="C77" s="15" t="s">
        <v>68</v>
      </c>
      <c r="D77" s="16" t="s">
        <v>40</v>
      </c>
    </row>
    <row r="78" spans="1:6" x14ac:dyDescent="0.25">
      <c r="A78" s="70" t="s">
        <v>13</v>
      </c>
      <c r="B78" s="32" t="s">
        <v>93</v>
      </c>
      <c r="C78" s="29">
        <v>1E-3</v>
      </c>
      <c r="D78" s="18">
        <f t="shared" ref="D78:D83" si="1">ROUND($D$38*C78,2)</f>
        <v>1.4</v>
      </c>
    </row>
    <row r="79" spans="1:6" x14ac:dyDescent="0.25">
      <c r="A79" s="70" t="s">
        <v>15</v>
      </c>
      <c r="B79" s="32" t="s">
        <v>94</v>
      </c>
      <c r="C79" s="29">
        <f>C65*C78</f>
        <v>8.0000000000000007E-5</v>
      </c>
      <c r="D79" s="18">
        <f t="shared" si="1"/>
        <v>0.11</v>
      </c>
    </row>
    <row r="80" spans="1:6" x14ac:dyDescent="0.25">
      <c r="A80" s="70" t="s">
        <v>18</v>
      </c>
      <c r="B80" s="32" t="s">
        <v>95</v>
      </c>
      <c r="C80" s="29">
        <f>C65*10%</f>
        <v>8.0000000000000002E-3</v>
      </c>
      <c r="D80" s="18">
        <f t="shared" si="1"/>
        <v>11.21</v>
      </c>
    </row>
    <row r="81" spans="1:5" x14ac:dyDescent="0.25">
      <c r="A81" s="71" t="s">
        <v>20</v>
      </c>
      <c r="B81" s="8" t="s">
        <v>96</v>
      </c>
      <c r="C81" s="29">
        <v>1.9400000000000001E-2</v>
      </c>
      <c r="D81" s="18">
        <f t="shared" si="1"/>
        <v>27.17</v>
      </c>
    </row>
    <row r="82" spans="1:5" x14ac:dyDescent="0.25">
      <c r="A82" s="71" t="s">
        <v>45</v>
      </c>
      <c r="B82" s="8" t="s">
        <v>97</v>
      </c>
      <c r="C82" s="29">
        <f>C68*C81</f>
        <v>7.1392000000000027E-3</v>
      </c>
      <c r="D82" s="18">
        <f t="shared" si="1"/>
        <v>10</v>
      </c>
    </row>
    <row r="83" spans="1:5" x14ac:dyDescent="0.25">
      <c r="A83" s="71" t="s">
        <v>47</v>
      </c>
      <c r="B83" s="8" t="s">
        <v>98</v>
      </c>
      <c r="C83" s="29">
        <v>4.4200000000000003E-2</v>
      </c>
      <c r="D83" s="18">
        <f t="shared" si="1"/>
        <v>61.91</v>
      </c>
    </row>
    <row r="84" spans="1:5" ht="12.75" x14ac:dyDescent="0.2">
      <c r="A84" s="729" t="s">
        <v>91</v>
      </c>
      <c r="B84" s="729"/>
      <c r="C84" s="34">
        <f>SUM(C78:C83)</f>
        <v>7.9819200000000007E-2</v>
      </c>
      <c r="D84" s="23">
        <f>ROUND(SUM(D78:D83),2)</f>
        <v>111.8</v>
      </c>
    </row>
    <row r="85" spans="1:5" x14ac:dyDescent="0.25">
      <c r="E85" s="60"/>
    </row>
    <row r="86" spans="1:5" ht="12.75" x14ac:dyDescent="0.2">
      <c r="A86" s="737" t="s">
        <v>99</v>
      </c>
      <c r="B86" s="739"/>
      <c r="C86" s="15" t="s">
        <v>68</v>
      </c>
      <c r="D86" s="16" t="s">
        <v>40</v>
      </c>
      <c r="E86" s="60"/>
    </row>
    <row r="87" spans="1:5" x14ac:dyDescent="0.25">
      <c r="A87" s="71" t="s">
        <v>13</v>
      </c>
      <c r="B87" s="8" t="s">
        <v>100</v>
      </c>
      <c r="C87" s="29">
        <v>8.3299999999999999E-2</v>
      </c>
      <c r="D87" s="18">
        <f t="shared" ref="D87:D94" si="2">ROUND($D$38*C87,2)</f>
        <v>116.68</v>
      </c>
      <c r="E87" s="60"/>
    </row>
    <row r="88" spans="1:5" x14ac:dyDescent="0.25">
      <c r="A88" s="71" t="s">
        <v>15</v>
      </c>
      <c r="B88" s="8" t="s">
        <v>101</v>
      </c>
      <c r="C88" s="29">
        <v>2.3999999999999998E-3</v>
      </c>
      <c r="D88" s="18">
        <f t="shared" si="2"/>
        <v>3.36</v>
      </c>
    </row>
    <row r="89" spans="1:5" x14ac:dyDescent="0.25">
      <c r="A89" s="71" t="s">
        <v>18</v>
      </c>
      <c r="B89" s="32" t="s">
        <v>102</v>
      </c>
      <c r="C89" s="29">
        <v>2.0000000000000001E-4</v>
      </c>
      <c r="D89" s="18">
        <f t="shared" si="2"/>
        <v>0.28000000000000003</v>
      </c>
    </row>
    <row r="90" spans="1:5" x14ac:dyDescent="0.25">
      <c r="A90" s="71" t="s">
        <v>20</v>
      </c>
      <c r="B90" s="8" t="s">
        <v>103</v>
      </c>
      <c r="C90" s="29">
        <v>1.4E-3</v>
      </c>
      <c r="D90" s="18">
        <f t="shared" si="2"/>
        <v>1.96</v>
      </c>
    </row>
    <row r="91" spans="1:5" x14ac:dyDescent="0.25">
      <c r="A91" s="71" t="s">
        <v>45</v>
      </c>
      <c r="B91" s="8" t="s">
        <v>104</v>
      </c>
      <c r="C91" s="29">
        <v>4.0000000000000002E-4</v>
      </c>
      <c r="D91" s="18">
        <f t="shared" si="2"/>
        <v>0.56000000000000005</v>
      </c>
    </row>
    <row r="92" spans="1:5" x14ac:dyDescent="0.25">
      <c r="A92" s="71" t="s">
        <v>47</v>
      </c>
      <c r="B92" s="32" t="s">
        <v>105</v>
      </c>
      <c r="C92" s="29">
        <v>2.0000000000000001E-4</v>
      </c>
      <c r="D92" s="18">
        <f t="shared" si="2"/>
        <v>0.28000000000000003</v>
      </c>
    </row>
    <row r="93" spans="1:5" ht="12.75" x14ac:dyDescent="0.2">
      <c r="A93" s="729" t="s">
        <v>89</v>
      </c>
      <c r="B93" s="729"/>
      <c r="C93" s="34">
        <f>SUM(C87:C92)</f>
        <v>8.7900000000000006E-2</v>
      </c>
      <c r="D93" s="23">
        <f t="shared" si="2"/>
        <v>123.12</v>
      </c>
    </row>
    <row r="94" spans="1:5" x14ac:dyDescent="0.25">
      <c r="A94" s="71" t="s">
        <v>49</v>
      </c>
      <c r="B94" s="8" t="s">
        <v>106</v>
      </c>
      <c r="C94" s="29">
        <f>C68*C93</f>
        <v>3.2347200000000013E-2</v>
      </c>
      <c r="D94" s="18">
        <f t="shared" si="2"/>
        <v>45.31</v>
      </c>
    </row>
    <row r="95" spans="1:5" ht="12.75" x14ac:dyDescent="0.2">
      <c r="A95" s="729" t="s">
        <v>91</v>
      </c>
      <c r="B95" s="729"/>
      <c r="C95" s="34">
        <f>C94+C93</f>
        <v>0.12024720000000003</v>
      </c>
      <c r="D95" s="23">
        <f>ROUND(D94+D93,2)</f>
        <v>168.43</v>
      </c>
    </row>
    <row r="97" spans="1:6" ht="12.75" x14ac:dyDescent="0.2">
      <c r="A97" s="736" t="s">
        <v>107</v>
      </c>
      <c r="B97" s="736"/>
      <c r="C97" s="736"/>
      <c r="D97" s="736"/>
    </row>
    <row r="98" spans="1:6" ht="12.75" x14ac:dyDescent="0.2">
      <c r="A98" s="67">
        <v>4</v>
      </c>
      <c r="B98" s="740" t="s">
        <v>108</v>
      </c>
      <c r="C98" s="740"/>
      <c r="D98" s="16" t="s">
        <v>40</v>
      </c>
    </row>
    <row r="99" spans="1:6" x14ac:dyDescent="0.25">
      <c r="A99" s="71" t="s">
        <v>109</v>
      </c>
      <c r="B99" s="37" t="s">
        <v>110</v>
      </c>
      <c r="C99" s="38">
        <f>C75</f>
        <v>0.1519392</v>
      </c>
      <c r="D99" s="18">
        <f>ROUND($D$38*C99,2)</f>
        <v>212.82</v>
      </c>
      <c r="E99" s="60"/>
    </row>
    <row r="100" spans="1:6" x14ac:dyDescent="0.25">
      <c r="A100" s="71" t="s">
        <v>111</v>
      </c>
      <c r="B100" s="37" t="s">
        <v>112</v>
      </c>
      <c r="C100" s="38">
        <f>C68</f>
        <v>0.3680000000000001</v>
      </c>
      <c r="D100" s="18">
        <f>ROUND($D$38*C100,2)</f>
        <v>515.46</v>
      </c>
    </row>
    <row r="101" spans="1:6" x14ac:dyDescent="0.25">
      <c r="A101" s="70" t="s">
        <v>113</v>
      </c>
      <c r="B101" s="37" t="s">
        <v>114</v>
      </c>
      <c r="C101" s="38">
        <f>C84</f>
        <v>7.9819200000000007E-2</v>
      </c>
      <c r="D101" s="18">
        <f>ROUND($D$38*C101,2)</f>
        <v>111.8</v>
      </c>
    </row>
    <row r="102" spans="1:6" x14ac:dyDescent="0.25">
      <c r="A102" s="70" t="s">
        <v>115</v>
      </c>
      <c r="B102" s="37" t="s">
        <v>116</v>
      </c>
      <c r="C102" s="38">
        <f>C95</f>
        <v>0.12024720000000003</v>
      </c>
      <c r="D102" s="18">
        <f>ROUND($D$38*C102,2)</f>
        <v>168.43</v>
      </c>
    </row>
    <row r="103" spans="1:6" x14ac:dyDescent="0.25">
      <c r="A103" s="70" t="s">
        <v>117</v>
      </c>
      <c r="B103" s="37" t="s">
        <v>118</v>
      </c>
      <c r="C103" s="68"/>
      <c r="D103" s="18"/>
    </row>
    <row r="104" spans="1:6" ht="12.75" x14ac:dyDescent="0.2">
      <c r="A104" s="71"/>
      <c r="B104" s="69" t="s">
        <v>91</v>
      </c>
      <c r="C104" s="41">
        <f>SUM(C99:C103)</f>
        <v>0.72000560000000002</v>
      </c>
      <c r="D104" s="23">
        <f>ROUND($D$38*C104,2)</f>
        <v>1008.51</v>
      </c>
    </row>
    <row r="105" spans="1:6" x14ac:dyDescent="0.25">
      <c r="D105" s="42">
        <f>ROUND(D104+D56+D48+D38,2)</f>
        <v>3034.84</v>
      </c>
    </row>
    <row r="106" spans="1:6" ht="12.75" x14ac:dyDescent="0.2">
      <c r="A106" s="67">
        <v>5</v>
      </c>
      <c r="B106" s="24" t="s">
        <v>119</v>
      </c>
      <c r="C106" s="15" t="s">
        <v>68</v>
      </c>
      <c r="D106" s="16" t="s">
        <v>40</v>
      </c>
      <c r="E106" s="60"/>
    </row>
    <row r="107" spans="1:6" x14ac:dyDescent="0.25">
      <c r="A107" s="71" t="s">
        <v>13</v>
      </c>
      <c r="B107" s="8" t="s">
        <v>120</v>
      </c>
      <c r="C107" s="29">
        <v>0.01</v>
      </c>
      <c r="D107" s="18">
        <f>ROUND($D$105*C107,2)</f>
        <v>30.35</v>
      </c>
    </row>
    <row r="108" spans="1:6" x14ac:dyDescent="0.25">
      <c r="A108" s="71" t="s">
        <v>15</v>
      </c>
      <c r="B108" s="8" t="s">
        <v>121</v>
      </c>
      <c r="C108" s="29"/>
      <c r="D108" s="18"/>
      <c r="E108" s="58"/>
    </row>
    <row r="109" spans="1:6" x14ac:dyDescent="0.25">
      <c r="A109" s="43" t="s">
        <v>122</v>
      </c>
      <c r="B109" s="8" t="s">
        <v>123</v>
      </c>
      <c r="C109" s="29">
        <v>0</v>
      </c>
      <c r="D109" s="18">
        <v>0</v>
      </c>
    </row>
    <row r="110" spans="1:6" x14ac:dyDescent="0.25">
      <c r="A110" s="43" t="s">
        <v>124</v>
      </c>
      <c r="B110" s="8" t="s">
        <v>125</v>
      </c>
      <c r="C110" s="29">
        <v>0</v>
      </c>
      <c r="D110" s="18">
        <v>0</v>
      </c>
    </row>
    <row r="111" spans="1:6" x14ac:dyDescent="0.25">
      <c r="A111" s="43" t="s">
        <v>126</v>
      </c>
      <c r="B111" s="8" t="s">
        <v>127</v>
      </c>
      <c r="C111" s="29">
        <v>1.6500000000000001E-2</v>
      </c>
      <c r="D111" s="18">
        <f>ROUND($F$114*C111,2)</f>
        <v>57.27</v>
      </c>
    </row>
    <row r="112" spans="1:6" x14ac:dyDescent="0.25">
      <c r="A112" s="43" t="s">
        <v>128</v>
      </c>
      <c r="B112" s="8" t="s">
        <v>129</v>
      </c>
      <c r="C112" s="29">
        <v>7.5999999999999998E-2</v>
      </c>
      <c r="D112" s="18">
        <f>ROUND($F$114*C112,2)</f>
        <v>263.8</v>
      </c>
      <c r="F112" s="61">
        <f>SUM(C109:C113)</f>
        <v>0.1125</v>
      </c>
    </row>
    <row r="113" spans="1:9" x14ac:dyDescent="0.25">
      <c r="A113" s="43" t="s">
        <v>130</v>
      </c>
      <c r="B113" s="8" t="s">
        <v>131</v>
      </c>
      <c r="C113" s="45">
        <v>0.02</v>
      </c>
      <c r="D113" s="18">
        <f>ROUND($F$114*C113,2)</f>
        <v>69.42</v>
      </c>
      <c r="F113" s="62">
        <f>ROUND(D114+D107+D105,2)</f>
        <v>3080.52</v>
      </c>
    </row>
    <row r="114" spans="1:9" x14ac:dyDescent="0.25">
      <c r="A114" s="71" t="s">
        <v>18</v>
      </c>
      <c r="B114" s="8" t="s">
        <v>132</v>
      </c>
      <c r="C114" s="29">
        <v>5.0000000000000001E-3</v>
      </c>
      <c r="D114" s="18">
        <f>ROUND(($D$105+D107)*C114,2)</f>
        <v>15.33</v>
      </c>
      <c r="F114" s="63">
        <f>ROUND(F113/(1-F112),2)</f>
        <v>3471.01</v>
      </c>
    </row>
    <row r="115" spans="1:9" ht="12.75" x14ac:dyDescent="0.2">
      <c r="A115" s="744" t="s">
        <v>91</v>
      </c>
      <c r="B115" s="749"/>
      <c r="C115" s="745"/>
      <c r="D115" s="23">
        <f>ROUND(SUM(D107:D114),2)</f>
        <v>436.17</v>
      </c>
    </row>
    <row r="116" spans="1:9" x14ac:dyDescent="0.25">
      <c r="D116" s="42"/>
    </row>
    <row r="117" spans="1:9" ht="12.75" x14ac:dyDescent="0.2">
      <c r="A117" s="736" t="s">
        <v>133</v>
      </c>
      <c r="B117" s="736"/>
      <c r="C117" s="736"/>
      <c r="D117" s="736"/>
    </row>
    <row r="118" spans="1:9" ht="12.75" x14ac:dyDescent="0.2">
      <c r="A118" s="729" t="s">
        <v>134</v>
      </c>
      <c r="B118" s="729"/>
      <c r="C118" s="729"/>
      <c r="D118" s="729"/>
    </row>
    <row r="119" spans="1:9" x14ac:dyDescent="0.25">
      <c r="A119" s="71" t="s">
        <v>13</v>
      </c>
      <c r="B119" s="731" t="s">
        <v>135</v>
      </c>
      <c r="C119" s="731"/>
      <c r="D119" s="18">
        <f>D38</f>
        <v>1400.7</v>
      </c>
    </row>
    <row r="120" spans="1:9" x14ac:dyDescent="0.25">
      <c r="A120" s="71" t="s">
        <v>15</v>
      </c>
      <c r="B120" s="731" t="s">
        <v>136</v>
      </c>
      <c r="C120" s="731"/>
      <c r="D120" s="18">
        <f>D48</f>
        <v>448.33</v>
      </c>
    </row>
    <row r="121" spans="1:9" x14ac:dyDescent="0.25">
      <c r="A121" s="71" t="s">
        <v>18</v>
      </c>
      <c r="B121" s="731" t="s">
        <v>137</v>
      </c>
      <c r="C121" s="731"/>
      <c r="D121" s="18">
        <f>D56</f>
        <v>177.3</v>
      </c>
    </row>
    <row r="122" spans="1:9" x14ac:dyDescent="0.25">
      <c r="A122" s="71" t="s">
        <v>20</v>
      </c>
      <c r="B122" s="731" t="s">
        <v>138</v>
      </c>
      <c r="C122" s="731"/>
      <c r="D122" s="18">
        <f>D104</f>
        <v>1008.51</v>
      </c>
    </row>
    <row r="123" spans="1:9" ht="12.75" x14ac:dyDescent="0.2">
      <c r="A123" s="729" t="s">
        <v>89</v>
      </c>
      <c r="B123" s="729"/>
      <c r="C123" s="729"/>
      <c r="D123" s="23">
        <f>ROUND(SUM(D119:D122),2)</f>
        <v>3034.84</v>
      </c>
    </row>
    <row r="124" spans="1:9" ht="18.75" x14ac:dyDescent="0.3">
      <c r="A124" s="71" t="s">
        <v>45</v>
      </c>
      <c r="B124" s="751" t="s">
        <v>139</v>
      </c>
      <c r="C124" s="751"/>
      <c r="D124" s="18">
        <f>D115</f>
        <v>436.17</v>
      </c>
      <c r="F124" s="64"/>
      <c r="G124" s="1"/>
      <c r="H124" s="1"/>
    </row>
    <row r="125" spans="1:9" ht="18.75" x14ac:dyDescent="0.3">
      <c r="A125" s="729" t="s">
        <v>140</v>
      </c>
      <c r="B125" s="729"/>
      <c r="C125" s="729"/>
      <c r="D125" s="23">
        <f>ROUND(D124+D123,2)</f>
        <v>3471.01</v>
      </c>
      <c r="F125" s="64"/>
    </row>
    <row r="126" spans="1:9" ht="18.75" x14ac:dyDescent="0.3">
      <c r="F126" s="64"/>
    </row>
    <row r="127" spans="1:9" ht="18.75" x14ac:dyDescent="0.3">
      <c r="A127" s="727" t="s">
        <v>141</v>
      </c>
      <c r="B127" s="727"/>
      <c r="C127" s="727"/>
      <c r="D127" s="727"/>
      <c r="F127" s="64"/>
      <c r="I127" s="1"/>
    </row>
    <row r="128" spans="1:9" ht="18.75" x14ac:dyDescent="0.3">
      <c r="A128" s="731" t="s">
        <v>142</v>
      </c>
      <c r="B128" s="731"/>
      <c r="C128" s="731"/>
      <c r="D128" s="18"/>
      <c r="F128" s="64"/>
      <c r="I128" s="1"/>
    </row>
    <row r="129" spans="1:9" ht="18.75" x14ac:dyDescent="0.3">
      <c r="A129" s="731" t="s">
        <v>143</v>
      </c>
      <c r="B129" s="731"/>
      <c r="C129" s="731"/>
      <c r="D129" s="18">
        <f>D125</f>
        <v>3471.01</v>
      </c>
      <c r="E129" s="65"/>
      <c r="F129" s="64"/>
      <c r="I129" s="1"/>
    </row>
    <row r="130" spans="1:9" ht="18.75" x14ac:dyDescent="0.3">
      <c r="A130" s="731" t="s">
        <v>144</v>
      </c>
      <c r="B130" s="731"/>
      <c r="C130" s="731"/>
      <c r="D130" s="18">
        <v>1</v>
      </c>
      <c r="E130" s="65"/>
      <c r="F130" s="64"/>
      <c r="I130" s="1"/>
    </row>
    <row r="131" spans="1:9" ht="18.75" x14ac:dyDescent="0.3">
      <c r="A131" s="731" t="s">
        <v>145</v>
      </c>
      <c r="B131" s="731"/>
      <c r="C131" s="731"/>
      <c r="D131" s="18">
        <f>ROUND(D130*D129,2)</f>
        <v>3471.01</v>
      </c>
      <c r="E131" s="65"/>
      <c r="F131" s="64"/>
      <c r="I131" s="1"/>
    </row>
    <row r="132" spans="1:9" ht="18.75" x14ac:dyDescent="0.3">
      <c r="A132" s="731" t="s">
        <v>146</v>
      </c>
      <c r="B132" s="731"/>
      <c r="C132" s="731"/>
      <c r="D132" s="18">
        <v>1</v>
      </c>
      <c r="E132" s="65"/>
      <c r="F132" s="64"/>
      <c r="I132" s="1"/>
    </row>
    <row r="133" spans="1:9" ht="18.75" x14ac:dyDescent="0.3">
      <c r="A133" s="740" t="s">
        <v>147</v>
      </c>
      <c r="B133" s="740"/>
      <c r="C133" s="740"/>
      <c r="D133" s="23">
        <f>ROUND(D132*D131,2)</f>
        <v>3471.01</v>
      </c>
      <c r="E133" s="65"/>
      <c r="F133" s="64"/>
    </row>
    <row r="134" spans="1:9" ht="18.75" x14ac:dyDescent="0.3">
      <c r="E134" s="65"/>
      <c r="F134" s="64"/>
    </row>
    <row r="135" spans="1:9" ht="18.75" x14ac:dyDescent="0.3">
      <c r="A135" s="727" t="s">
        <v>148</v>
      </c>
      <c r="B135" s="727"/>
      <c r="C135" s="727"/>
      <c r="D135" s="727"/>
      <c r="F135" s="64"/>
    </row>
    <row r="136" spans="1:9" x14ac:dyDescent="0.25">
      <c r="A136" s="71" t="s">
        <v>13</v>
      </c>
      <c r="B136" s="731" t="s">
        <v>149</v>
      </c>
      <c r="C136" s="731"/>
      <c r="D136" s="18">
        <f>D129</f>
        <v>3471.01</v>
      </c>
    </row>
    <row r="137" spans="1:9" x14ac:dyDescent="0.25">
      <c r="A137" s="71" t="s">
        <v>15</v>
      </c>
      <c r="B137" s="731" t="s">
        <v>150</v>
      </c>
      <c r="C137" s="731"/>
      <c r="D137" s="18">
        <f>D133</f>
        <v>3471.01</v>
      </c>
    </row>
    <row r="138" spans="1:9" ht="12.75" x14ac:dyDescent="0.2">
      <c r="A138" s="67" t="s">
        <v>18</v>
      </c>
      <c r="B138" s="740" t="s">
        <v>151</v>
      </c>
      <c r="C138" s="740"/>
      <c r="D138" s="23">
        <f>ROUND(D137*12,2)</f>
        <v>41652.120000000003</v>
      </c>
      <c r="F138" s="9"/>
    </row>
    <row r="139" spans="1:9" x14ac:dyDescent="0.25">
      <c r="A139" s="30"/>
      <c r="F139" s="9"/>
    </row>
    <row r="140" spans="1:9" x14ac:dyDescent="0.25">
      <c r="A140" s="30"/>
    </row>
    <row r="141" spans="1:9" x14ac:dyDescent="0.25">
      <c r="A141" s="753" t="s">
        <v>484</v>
      </c>
      <c r="B141" s="754"/>
    </row>
    <row r="142" spans="1:9" x14ac:dyDescent="0.25">
      <c r="A142" s="30"/>
      <c r="F142" s="9"/>
    </row>
    <row r="143" spans="1:9" x14ac:dyDescent="0.25">
      <c r="A143" s="30"/>
      <c r="F143" s="9"/>
      <c r="G143" s="50"/>
    </row>
    <row r="144" spans="1:9" x14ac:dyDescent="0.25">
      <c r="A144" s="755" t="s">
        <v>153</v>
      </c>
      <c r="B144" s="755"/>
      <c r="F144" s="9"/>
      <c r="G144" s="51"/>
    </row>
    <row r="145" spans="1:8" x14ac:dyDescent="0.25">
      <c r="A145" s="756" t="s">
        <v>154</v>
      </c>
      <c r="B145" s="756"/>
      <c r="F145" s="9"/>
    </row>
    <row r="146" spans="1:8" x14ac:dyDescent="0.25">
      <c r="A146" s="752" t="s">
        <v>155</v>
      </c>
      <c r="B146" s="752"/>
      <c r="F146" s="9"/>
    </row>
    <row r="147" spans="1:8" x14ac:dyDescent="0.25">
      <c r="F147" s="52"/>
      <c r="H147" s="1"/>
    </row>
    <row r="148" spans="1:8" x14ac:dyDescent="0.25">
      <c r="F148" s="9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52"/>
    </row>
    <row r="156" spans="1:8" x14ac:dyDescent="0.25">
      <c r="F156" s="9"/>
    </row>
  </sheetData>
  <mergeCells count="67">
    <mergeCell ref="A146:B146"/>
    <mergeCell ref="A130:C130"/>
    <mergeCell ref="A131:C131"/>
    <mergeCell ref="A132:C132"/>
    <mergeCell ref="A133:C133"/>
    <mergeCell ref="A135:D135"/>
    <mergeCell ref="B136:C136"/>
    <mergeCell ref="B137:C137"/>
    <mergeCell ref="B138:C138"/>
    <mergeCell ref="A141:B141"/>
    <mergeCell ref="A144:B144"/>
    <mergeCell ref="A145:B145"/>
    <mergeCell ref="A129:C129"/>
    <mergeCell ref="A117:D117"/>
    <mergeCell ref="A118:D118"/>
    <mergeCell ref="B119:C119"/>
    <mergeCell ref="B120:C120"/>
    <mergeCell ref="B121:C121"/>
    <mergeCell ref="B122:C122"/>
    <mergeCell ref="A123:C123"/>
    <mergeCell ref="B124:C124"/>
    <mergeCell ref="A125:C125"/>
    <mergeCell ref="A127:D127"/>
    <mergeCell ref="A128:C128"/>
    <mergeCell ref="A115:C115"/>
    <mergeCell ref="A68:B68"/>
    <mergeCell ref="A70:B70"/>
    <mergeCell ref="A73:B73"/>
    <mergeCell ref="A75:B75"/>
    <mergeCell ref="A77:B77"/>
    <mergeCell ref="A84:B84"/>
    <mergeCell ref="A86:B86"/>
    <mergeCell ref="A93:B93"/>
    <mergeCell ref="A95:B95"/>
    <mergeCell ref="A97:D97"/>
    <mergeCell ref="B98:C98"/>
    <mergeCell ref="A59:B59"/>
    <mergeCell ref="C23:D23"/>
    <mergeCell ref="C24:D24"/>
    <mergeCell ref="C25:D25"/>
    <mergeCell ref="C26:D26"/>
    <mergeCell ref="A27:D27"/>
    <mergeCell ref="A38:B38"/>
    <mergeCell ref="A40:D40"/>
    <mergeCell ref="A48:B48"/>
    <mergeCell ref="A50:D50"/>
    <mergeCell ref="A56:B56"/>
    <mergeCell ref="A58:D58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1" zoomScaleNormal="85" zoomScaleSheetLayoutView="100" workbookViewId="0">
      <selection activeCell="C43" sqref="C43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4.7109375" style="53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28" t="s">
        <v>490</v>
      </c>
      <c r="D10" s="725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498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486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117">
        <v>2</v>
      </c>
      <c r="B23" s="8" t="s">
        <v>33</v>
      </c>
      <c r="C23" s="784">
        <f>'REPACTUAÇÃO SIEMACO 2013'!J13</f>
        <v>1334</v>
      </c>
      <c r="D23" s="784"/>
    </row>
    <row r="24" spans="1:5" ht="12.75" x14ac:dyDescent="0.2">
      <c r="A24" s="117">
        <v>3</v>
      </c>
      <c r="B24" s="8" t="s">
        <v>34</v>
      </c>
      <c r="C24" s="724" t="s">
        <v>35</v>
      </c>
      <c r="D24" s="725"/>
    </row>
    <row r="25" spans="1:5" ht="12.75" x14ac:dyDescent="0.2">
      <c r="A25" s="117">
        <v>4</v>
      </c>
      <c r="B25" s="8" t="s">
        <v>36</v>
      </c>
      <c r="C25" s="728">
        <v>40909</v>
      </c>
      <c r="D25" s="725"/>
    </row>
    <row r="26" spans="1:5" ht="12.75" x14ac:dyDescent="0.2">
      <c r="A26" s="11"/>
      <c r="B26" s="12"/>
      <c r="C26" s="743"/>
      <c r="D26" s="743"/>
    </row>
    <row r="27" spans="1:5" ht="12.75" x14ac:dyDescent="0.2">
      <c r="A27" s="736" t="s">
        <v>37</v>
      </c>
      <c r="B27" s="736"/>
      <c r="C27" s="736"/>
      <c r="D27" s="736"/>
    </row>
    <row r="28" spans="1:5" ht="12.75" x14ac:dyDescent="0.2">
      <c r="A28" s="113">
        <v>1</v>
      </c>
      <c r="B28" s="14" t="s">
        <v>38</v>
      </c>
      <c r="C28" s="15" t="s">
        <v>39</v>
      </c>
      <c r="D28" s="16" t="s">
        <v>40</v>
      </c>
    </row>
    <row r="29" spans="1:5" x14ac:dyDescent="0.25">
      <c r="A29" s="117" t="s">
        <v>13</v>
      </c>
      <c r="B29" s="8" t="s">
        <v>41</v>
      </c>
      <c r="C29" s="355">
        <v>1</v>
      </c>
      <c r="D29" s="354">
        <f>'REPACTUAÇÃO SIEMACO 2013'!J13</f>
        <v>1334</v>
      </c>
      <c r="E29" s="357" t="s">
        <v>565</v>
      </c>
    </row>
    <row r="30" spans="1:5" x14ac:dyDescent="0.25">
      <c r="A30" s="117" t="s">
        <v>15</v>
      </c>
      <c r="B30" s="8" t="s">
        <v>508</v>
      </c>
      <c r="C30" s="20">
        <v>0.05</v>
      </c>
      <c r="D30" s="18">
        <f>C30*D29</f>
        <v>66.7</v>
      </c>
    </row>
    <row r="31" spans="1:5" x14ac:dyDescent="0.25">
      <c r="A31" s="117" t="s">
        <v>18</v>
      </c>
      <c r="B31" s="8" t="s">
        <v>497</v>
      </c>
      <c r="C31" s="20"/>
      <c r="D31" s="18"/>
      <c r="E31" s="56"/>
    </row>
    <row r="32" spans="1:5" x14ac:dyDescent="0.25">
      <c r="A32" s="117" t="s">
        <v>20</v>
      </c>
      <c r="B32" s="8" t="s">
        <v>44</v>
      </c>
      <c r="C32" s="22"/>
      <c r="D32" s="18"/>
      <c r="E32" s="55"/>
    </row>
    <row r="33" spans="1:5" x14ac:dyDescent="0.25">
      <c r="A33" s="117" t="s">
        <v>45</v>
      </c>
      <c r="B33" s="8" t="s">
        <v>46</v>
      </c>
      <c r="C33" s="22"/>
      <c r="D33" s="18"/>
      <c r="E33" s="55"/>
    </row>
    <row r="34" spans="1:5" x14ac:dyDescent="0.25">
      <c r="A34" s="117" t="s">
        <v>47</v>
      </c>
      <c r="B34" s="8" t="s">
        <v>48</v>
      </c>
      <c r="C34" s="17"/>
      <c r="D34" s="18">
        <v>0</v>
      </c>
      <c r="E34" s="56"/>
    </row>
    <row r="35" spans="1:5" x14ac:dyDescent="0.25">
      <c r="A35" s="117" t="s">
        <v>49</v>
      </c>
      <c r="B35" s="8" t="s">
        <v>50</v>
      </c>
      <c r="C35" s="22"/>
      <c r="D35" s="18"/>
      <c r="E35" s="55"/>
    </row>
    <row r="36" spans="1:5" x14ac:dyDescent="0.25">
      <c r="A36" s="117" t="s">
        <v>51</v>
      </c>
      <c r="B36" s="8" t="s">
        <v>52</v>
      </c>
      <c r="C36" s="17"/>
      <c r="D36" s="18">
        <v>0</v>
      </c>
    </row>
    <row r="37" spans="1:5" x14ac:dyDescent="0.25">
      <c r="A37" s="117" t="s">
        <v>53</v>
      </c>
      <c r="B37" s="8" t="s">
        <v>54</v>
      </c>
      <c r="C37" s="17"/>
      <c r="D37" s="18">
        <f>ROUND(SUM(D32:D35)/23*7,2)</f>
        <v>0</v>
      </c>
    </row>
    <row r="38" spans="1:5" x14ac:dyDescent="0.25">
      <c r="A38" s="744" t="s">
        <v>55</v>
      </c>
      <c r="B38" s="745"/>
      <c r="C38" s="17"/>
      <c r="D38" s="23">
        <f>ROUND(SUM(D29:D37),2)</f>
        <v>1400.7</v>
      </c>
    </row>
    <row r="40" spans="1:5" ht="12.75" x14ac:dyDescent="0.2">
      <c r="A40" s="746" t="s">
        <v>56</v>
      </c>
      <c r="B40" s="747"/>
      <c r="C40" s="747"/>
      <c r="D40" s="748"/>
    </row>
    <row r="41" spans="1:5" ht="12.75" x14ac:dyDescent="0.2">
      <c r="A41" s="113">
        <v>2</v>
      </c>
      <c r="B41" s="24" t="s">
        <v>57</v>
      </c>
      <c r="C41" s="15" t="s">
        <v>58</v>
      </c>
      <c r="D41" s="16" t="s">
        <v>40</v>
      </c>
    </row>
    <row r="42" spans="1:5" ht="13.5" customHeight="1" x14ac:dyDescent="0.25">
      <c r="A42" s="117" t="s">
        <v>13</v>
      </c>
      <c r="B42" s="25" t="s">
        <v>59</v>
      </c>
      <c r="C42" s="18">
        <v>3.3</v>
      </c>
      <c r="D42" s="18">
        <f>ROUND((C42*44)-(D29*6%),2)</f>
        <v>65.16</v>
      </c>
      <c r="E42" s="57"/>
    </row>
    <row r="43" spans="1:5" ht="13.5" customHeight="1" x14ac:dyDescent="0.25">
      <c r="A43" s="117" t="s">
        <v>15</v>
      </c>
      <c r="B43" s="27" t="s">
        <v>60</v>
      </c>
      <c r="C43" s="354">
        <v>235</v>
      </c>
      <c r="D43" s="354">
        <f>'REPACTUAÇÃO SIEMACO 2013'!K33</f>
        <v>326</v>
      </c>
      <c r="E43" s="356" t="s">
        <v>564</v>
      </c>
    </row>
    <row r="44" spans="1:5" ht="13.5" customHeight="1" x14ac:dyDescent="0.25">
      <c r="A44" s="117" t="s">
        <v>18</v>
      </c>
      <c r="B44" s="27" t="s">
        <v>157</v>
      </c>
      <c r="C44" s="354">
        <f>235/12</f>
        <v>19.583333333333332</v>
      </c>
      <c r="D44" s="18">
        <f>'REPACTUAÇÃO SIEMACO 2013'!K42</f>
        <v>27.17</v>
      </c>
      <c r="E44" s="356" t="s">
        <v>564</v>
      </c>
    </row>
    <row r="45" spans="1:5" ht="13.5" customHeight="1" x14ac:dyDescent="0.25">
      <c r="A45" s="117" t="s">
        <v>20</v>
      </c>
      <c r="B45" s="27" t="s">
        <v>169</v>
      </c>
      <c r="C45" s="18">
        <v>45</v>
      </c>
      <c r="D45" s="18">
        <f>'REPACTUAÇÃO SIEMACO 2013'!K45</f>
        <v>22</v>
      </c>
    </row>
    <row r="46" spans="1:5" ht="13.5" customHeight="1" x14ac:dyDescent="0.25">
      <c r="A46" s="117" t="s">
        <v>45</v>
      </c>
      <c r="B46" s="27" t="s">
        <v>170</v>
      </c>
      <c r="C46" s="18">
        <v>8</v>
      </c>
      <c r="D46" s="18">
        <f>ROUND(C46*$C$29,2)</f>
        <v>8</v>
      </c>
    </row>
    <row r="47" spans="1:5" ht="13.5" customHeight="1" x14ac:dyDescent="0.25">
      <c r="A47" s="117" t="s">
        <v>47</v>
      </c>
      <c r="B47" s="27" t="s">
        <v>64</v>
      </c>
      <c r="C47" s="18">
        <v>0</v>
      </c>
      <c r="D47" s="18">
        <f>ROUND(C47*$C$29,2)</f>
        <v>0</v>
      </c>
    </row>
    <row r="48" spans="1:5" ht="13.5" customHeight="1" x14ac:dyDescent="0.25">
      <c r="A48" s="744" t="s">
        <v>65</v>
      </c>
      <c r="B48" s="745"/>
      <c r="C48" s="29"/>
      <c r="D48" s="23">
        <f>ROUND(SUM(D42:D47),2)</f>
        <v>448.33</v>
      </c>
    </row>
    <row r="49" spans="1:5" ht="13.5" customHeight="1" x14ac:dyDescent="0.25">
      <c r="A49" s="30"/>
    </row>
    <row r="50" spans="1:5" ht="13.5" customHeight="1" x14ac:dyDescent="0.2">
      <c r="A50" s="746" t="s">
        <v>66</v>
      </c>
      <c r="B50" s="747"/>
      <c r="C50" s="747"/>
      <c r="D50" s="748"/>
    </row>
    <row r="51" spans="1:5" ht="13.5" customHeight="1" x14ac:dyDescent="0.2">
      <c r="A51" s="113">
        <v>3</v>
      </c>
      <c r="B51" s="24" t="s">
        <v>67</v>
      </c>
      <c r="C51" s="15" t="s">
        <v>68</v>
      </c>
      <c r="D51" s="16" t="s">
        <v>40</v>
      </c>
    </row>
    <row r="52" spans="1:5" x14ac:dyDescent="0.25">
      <c r="A52" s="117" t="s">
        <v>13</v>
      </c>
      <c r="B52" s="8" t="s">
        <v>69</v>
      </c>
      <c r="C52" s="91">
        <f>'Uniforme 2'!D10</f>
        <v>41.333333333333336</v>
      </c>
      <c r="D52" s="18">
        <f>ROUND(C52*$C$29,2)</f>
        <v>41.33</v>
      </c>
    </row>
    <row r="53" spans="1:5" x14ac:dyDescent="0.25">
      <c r="A53" s="117" t="s">
        <v>15</v>
      </c>
      <c r="B53" s="32" t="s">
        <v>204</v>
      </c>
      <c r="C53" s="91"/>
      <c r="D53" s="18"/>
      <c r="E53" s="58"/>
    </row>
    <row r="54" spans="1:5" x14ac:dyDescent="0.25">
      <c r="A54" s="117" t="s">
        <v>18</v>
      </c>
      <c r="B54" s="8" t="s">
        <v>71</v>
      </c>
      <c r="C54" s="91">
        <f>Manut.!B77</f>
        <v>119.96105000000001</v>
      </c>
      <c r="D54" s="18">
        <f>ROUND(C54*$C$29,2)</f>
        <v>119.96</v>
      </c>
    </row>
    <row r="55" spans="1:5" x14ac:dyDescent="0.25">
      <c r="A55" s="117" t="s">
        <v>20</v>
      </c>
      <c r="B55" s="32" t="s">
        <v>72</v>
      </c>
      <c r="C55" s="110">
        <f>Epis!D11</f>
        <v>16.010000000000002</v>
      </c>
      <c r="D55" s="18">
        <f>C55</f>
        <v>16.010000000000002</v>
      </c>
      <c r="E55" s="58"/>
    </row>
    <row r="56" spans="1:5" x14ac:dyDescent="0.25">
      <c r="A56" s="744" t="s">
        <v>73</v>
      </c>
      <c r="B56" s="745"/>
      <c r="C56" s="29"/>
      <c r="D56" s="23">
        <f>ROUND(SUM(D52:D55),2)</f>
        <v>177.3</v>
      </c>
      <c r="E56" s="58"/>
    </row>
    <row r="58" spans="1:5" ht="12.75" x14ac:dyDescent="0.2">
      <c r="A58" s="746" t="s">
        <v>74</v>
      </c>
      <c r="B58" s="747"/>
      <c r="C58" s="747"/>
      <c r="D58" s="748"/>
    </row>
    <row r="59" spans="1:5" ht="12.75" x14ac:dyDescent="0.2">
      <c r="A59" s="740" t="s">
        <v>75</v>
      </c>
      <c r="B59" s="740"/>
      <c r="C59" s="15" t="s">
        <v>68</v>
      </c>
      <c r="D59" s="16" t="s">
        <v>40</v>
      </c>
    </row>
    <row r="60" spans="1:5" x14ac:dyDescent="0.25">
      <c r="A60" s="116" t="s">
        <v>13</v>
      </c>
      <c r="B60" s="32" t="s">
        <v>76</v>
      </c>
      <c r="C60" s="29">
        <v>0.2</v>
      </c>
      <c r="D60" s="18">
        <f>ROUND($D$38*C60,2)</f>
        <v>280.14</v>
      </c>
    </row>
    <row r="61" spans="1:5" x14ac:dyDescent="0.25">
      <c r="A61" s="116" t="s">
        <v>15</v>
      </c>
      <c r="B61" s="32" t="s">
        <v>77</v>
      </c>
      <c r="C61" s="29">
        <v>1.4999999999999999E-2</v>
      </c>
      <c r="D61" s="18">
        <f>ROUND($D$38*C61,2)</f>
        <v>21.01</v>
      </c>
    </row>
    <row r="62" spans="1:5" x14ac:dyDescent="0.25">
      <c r="A62" s="116" t="s">
        <v>18</v>
      </c>
      <c r="B62" s="32" t="s">
        <v>78</v>
      </c>
      <c r="C62" s="29">
        <v>0.01</v>
      </c>
      <c r="D62" s="18">
        <f t="shared" ref="D62:D67" si="0">ROUND($D$38*C62,2)</f>
        <v>14.01</v>
      </c>
    </row>
    <row r="63" spans="1:5" x14ac:dyDescent="0.25">
      <c r="A63" s="116" t="s">
        <v>20</v>
      </c>
      <c r="B63" s="32" t="s">
        <v>79</v>
      </c>
      <c r="C63" s="29">
        <v>2E-3</v>
      </c>
      <c r="D63" s="18">
        <f t="shared" si="0"/>
        <v>2.8</v>
      </c>
    </row>
    <row r="64" spans="1:5" x14ac:dyDescent="0.25">
      <c r="A64" s="116" t="s">
        <v>45</v>
      </c>
      <c r="B64" s="32" t="s">
        <v>80</v>
      </c>
      <c r="C64" s="29">
        <v>2.5000000000000001E-2</v>
      </c>
      <c r="D64" s="18">
        <f t="shared" si="0"/>
        <v>35.020000000000003</v>
      </c>
    </row>
    <row r="65" spans="1:6" x14ac:dyDescent="0.25">
      <c r="A65" s="116" t="s">
        <v>47</v>
      </c>
      <c r="B65" s="32" t="s">
        <v>81</v>
      </c>
      <c r="C65" s="29">
        <v>0.08</v>
      </c>
      <c r="D65" s="18">
        <f t="shared" si="0"/>
        <v>112.06</v>
      </c>
    </row>
    <row r="66" spans="1:6" x14ac:dyDescent="0.25">
      <c r="A66" s="116" t="s">
        <v>49</v>
      </c>
      <c r="B66" s="32" t="s">
        <v>82</v>
      </c>
      <c r="C66" s="29">
        <f>2%*F70</f>
        <v>0.03</v>
      </c>
      <c r="D66" s="18">
        <f t="shared" si="0"/>
        <v>42.02</v>
      </c>
    </row>
    <row r="67" spans="1:6" x14ac:dyDescent="0.25">
      <c r="A67" s="116" t="s">
        <v>51</v>
      </c>
      <c r="B67" s="32" t="s">
        <v>83</v>
      </c>
      <c r="C67" s="29">
        <v>6.0000000000000001E-3</v>
      </c>
      <c r="D67" s="18">
        <f t="shared" si="0"/>
        <v>8.4</v>
      </c>
    </row>
    <row r="68" spans="1:6" ht="12.75" x14ac:dyDescent="0.2">
      <c r="A68" s="744" t="s">
        <v>84</v>
      </c>
      <c r="B68" s="750"/>
      <c r="C68" s="34">
        <f>SUM(C60:C67)</f>
        <v>0.3680000000000001</v>
      </c>
      <c r="D68" s="23">
        <f>ROUND(SUM(D60:D67),2)</f>
        <v>515.46</v>
      </c>
    </row>
    <row r="69" spans="1:6" x14ac:dyDescent="0.25">
      <c r="A69" s="1"/>
      <c r="B69" s="1"/>
    </row>
    <row r="70" spans="1:6" ht="12.75" x14ac:dyDescent="0.2">
      <c r="A70" s="740" t="s">
        <v>85</v>
      </c>
      <c r="B70" s="740"/>
      <c r="C70" s="15" t="s">
        <v>68</v>
      </c>
      <c r="D70" s="16" t="s">
        <v>40</v>
      </c>
      <c r="E70" s="53" t="s">
        <v>86</v>
      </c>
      <c r="F70" s="59">
        <v>1.5</v>
      </c>
    </row>
    <row r="71" spans="1:6" x14ac:dyDescent="0.25">
      <c r="A71" s="116" t="s">
        <v>13</v>
      </c>
      <c r="B71" s="32" t="s">
        <v>87</v>
      </c>
      <c r="C71" s="29">
        <v>8.3299999999999999E-2</v>
      </c>
      <c r="D71" s="18">
        <f>ROUND($D$38*C71,2)</f>
        <v>116.68</v>
      </c>
    </row>
    <row r="72" spans="1:6" x14ac:dyDescent="0.25">
      <c r="A72" s="116" t="s">
        <v>15</v>
      </c>
      <c r="B72" s="32" t="s">
        <v>88</v>
      </c>
      <c r="C72" s="29">
        <f>C87/3</f>
        <v>2.7766666666666665E-2</v>
      </c>
      <c r="D72" s="18">
        <f>ROUND($D$38*C72,2)</f>
        <v>38.89</v>
      </c>
    </row>
    <row r="73" spans="1:6" ht="12.75" x14ac:dyDescent="0.2">
      <c r="A73" s="729" t="s">
        <v>89</v>
      </c>
      <c r="B73" s="729"/>
      <c r="C73" s="34">
        <f>SUM(C71:C72)</f>
        <v>0.11106666666666666</v>
      </c>
      <c r="D73" s="23">
        <f>ROUND(SUM(D71:D72),2)</f>
        <v>155.57</v>
      </c>
    </row>
    <row r="74" spans="1:6" x14ac:dyDescent="0.25">
      <c r="A74" s="116" t="s">
        <v>18</v>
      </c>
      <c r="B74" s="32" t="s">
        <v>90</v>
      </c>
      <c r="C74" s="29">
        <f>C68*C73</f>
        <v>4.0872533333333343E-2</v>
      </c>
      <c r="D74" s="18">
        <f>ROUND($D$38*C74,2)</f>
        <v>57.25</v>
      </c>
    </row>
    <row r="75" spans="1:6" ht="12.75" x14ac:dyDescent="0.2">
      <c r="A75" s="729" t="s">
        <v>91</v>
      </c>
      <c r="B75" s="729"/>
      <c r="C75" s="34">
        <f>C74+C73</f>
        <v>0.1519392</v>
      </c>
      <c r="D75" s="23">
        <f>ROUND(D74+D73,2)</f>
        <v>212.82</v>
      </c>
    </row>
    <row r="76" spans="1:6" x14ac:dyDescent="0.25">
      <c r="A76" s="1"/>
      <c r="B76" s="1"/>
      <c r="E76" s="60"/>
    </row>
    <row r="77" spans="1:6" ht="12.75" x14ac:dyDescent="0.2">
      <c r="A77" s="737" t="s">
        <v>92</v>
      </c>
      <c r="B77" s="739"/>
      <c r="C77" s="15" t="s">
        <v>68</v>
      </c>
      <c r="D77" s="16" t="s">
        <v>40</v>
      </c>
    </row>
    <row r="78" spans="1:6" x14ac:dyDescent="0.25">
      <c r="A78" s="116" t="s">
        <v>13</v>
      </c>
      <c r="B78" s="32" t="s">
        <v>93</v>
      </c>
      <c r="C78" s="29">
        <v>1E-3</v>
      </c>
      <c r="D78" s="18">
        <f t="shared" ref="D78:D83" si="1">ROUND($D$38*C78,2)</f>
        <v>1.4</v>
      </c>
    </row>
    <row r="79" spans="1:6" x14ac:dyDescent="0.25">
      <c r="A79" s="116" t="s">
        <v>15</v>
      </c>
      <c r="B79" s="32" t="s">
        <v>94</v>
      </c>
      <c r="C79" s="29">
        <f>C65*C78</f>
        <v>8.0000000000000007E-5</v>
      </c>
      <c r="D79" s="18">
        <f t="shared" si="1"/>
        <v>0.11</v>
      </c>
    </row>
    <row r="80" spans="1:6" x14ac:dyDescent="0.25">
      <c r="A80" s="116" t="s">
        <v>18</v>
      </c>
      <c r="B80" s="32" t="s">
        <v>95</v>
      </c>
      <c r="C80" s="29">
        <f>C65*10%</f>
        <v>8.0000000000000002E-3</v>
      </c>
      <c r="D80" s="18">
        <f t="shared" si="1"/>
        <v>11.21</v>
      </c>
    </row>
    <row r="81" spans="1:5" x14ac:dyDescent="0.25">
      <c r="A81" s="117" t="s">
        <v>20</v>
      </c>
      <c r="B81" s="8" t="s">
        <v>96</v>
      </c>
      <c r="C81" s="29">
        <v>1.9400000000000001E-2</v>
      </c>
      <c r="D81" s="18">
        <f t="shared" si="1"/>
        <v>27.17</v>
      </c>
    </row>
    <row r="82" spans="1:5" x14ac:dyDescent="0.25">
      <c r="A82" s="117" t="s">
        <v>45</v>
      </c>
      <c r="B82" s="8" t="s">
        <v>97</v>
      </c>
      <c r="C82" s="29">
        <f>C68*C81</f>
        <v>7.1392000000000027E-3</v>
      </c>
      <c r="D82" s="18">
        <f t="shared" si="1"/>
        <v>10</v>
      </c>
    </row>
    <row r="83" spans="1:5" x14ac:dyDescent="0.25">
      <c r="A83" s="117" t="s">
        <v>47</v>
      </c>
      <c r="B83" s="8" t="s">
        <v>98</v>
      </c>
      <c r="C83" s="29">
        <v>4.4200000000000003E-2</v>
      </c>
      <c r="D83" s="18">
        <f t="shared" si="1"/>
        <v>61.91</v>
      </c>
    </row>
    <row r="84" spans="1:5" ht="12.75" x14ac:dyDescent="0.2">
      <c r="A84" s="729" t="s">
        <v>91</v>
      </c>
      <c r="B84" s="729"/>
      <c r="C84" s="34">
        <f>SUM(C78:C83)</f>
        <v>7.9819200000000007E-2</v>
      </c>
      <c r="D84" s="23">
        <f>ROUND(SUM(D78:D83),2)</f>
        <v>111.8</v>
      </c>
    </row>
    <row r="85" spans="1:5" x14ac:dyDescent="0.25">
      <c r="E85" s="60"/>
    </row>
    <row r="86" spans="1:5" ht="12.75" x14ac:dyDescent="0.2">
      <c r="A86" s="737" t="s">
        <v>99</v>
      </c>
      <c r="B86" s="739"/>
      <c r="C86" s="15" t="s">
        <v>68</v>
      </c>
      <c r="D86" s="16" t="s">
        <v>40</v>
      </c>
      <c r="E86" s="60"/>
    </row>
    <row r="87" spans="1:5" x14ac:dyDescent="0.25">
      <c r="A87" s="117" t="s">
        <v>13</v>
      </c>
      <c r="B87" s="8" t="s">
        <v>100</v>
      </c>
      <c r="C87" s="29">
        <v>8.3299999999999999E-2</v>
      </c>
      <c r="D87" s="18">
        <f t="shared" ref="D87:D94" si="2">ROUND($D$38*C87,2)</f>
        <v>116.68</v>
      </c>
      <c r="E87" s="60"/>
    </row>
    <row r="88" spans="1:5" x14ac:dyDescent="0.25">
      <c r="A88" s="117" t="s">
        <v>15</v>
      </c>
      <c r="B88" s="8" t="s">
        <v>101</v>
      </c>
      <c r="C88" s="29">
        <v>2.3999999999999998E-3</v>
      </c>
      <c r="D88" s="18">
        <f t="shared" si="2"/>
        <v>3.36</v>
      </c>
    </row>
    <row r="89" spans="1:5" x14ac:dyDescent="0.25">
      <c r="A89" s="117" t="s">
        <v>18</v>
      </c>
      <c r="B89" s="32" t="s">
        <v>102</v>
      </c>
      <c r="C89" s="29">
        <v>2.0000000000000001E-4</v>
      </c>
      <c r="D89" s="18">
        <f t="shared" si="2"/>
        <v>0.28000000000000003</v>
      </c>
    </row>
    <row r="90" spans="1:5" x14ac:dyDescent="0.25">
      <c r="A90" s="117" t="s">
        <v>20</v>
      </c>
      <c r="B90" s="8" t="s">
        <v>103</v>
      </c>
      <c r="C90" s="29">
        <v>1.4E-3</v>
      </c>
      <c r="D90" s="18">
        <f t="shared" si="2"/>
        <v>1.96</v>
      </c>
    </row>
    <row r="91" spans="1:5" x14ac:dyDescent="0.25">
      <c r="A91" s="117" t="s">
        <v>45</v>
      </c>
      <c r="B91" s="8" t="s">
        <v>104</v>
      </c>
      <c r="C91" s="29">
        <v>4.0000000000000002E-4</v>
      </c>
      <c r="D91" s="18">
        <f t="shared" si="2"/>
        <v>0.56000000000000005</v>
      </c>
    </row>
    <row r="92" spans="1:5" x14ac:dyDescent="0.25">
      <c r="A92" s="117" t="s">
        <v>47</v>
      </c>
      <c r="B92" s="32" t="s">
        <v>105</v>
      </c>
      <c r="C92" s="29">
        <v>2.0000000000000001E-4</v>
      </c>
      <c r="D92" s="18">
        <f t="shared" si="2"/>
        <v>0.28000000000000003</v>
      </c>
    </row>
    <row r="93" spans="1:5" ht="12.75" x14ac:dyDescent="0.2">
      <c r="A93" s="729" t="s">
        <v>89</v>
      </c>
      <c r="B93" s="729"/>
      <c r="C93" s="34">
        <f>SUM(C87:C92)</f>
        <v>8.7900000000000006E-2</v>
      </c>
      <c r="D93" s="23">
        <f t="shared" si="2"/>
        <v>123.12</v>
      </c>
    </row>
    <row r="94" spans="1:5" x14ac:dyDescent="0.25">
      <c r="A94" s="117" t="s">
        <v>49</v>
      </c>
      <c r="B94" s="8" t="s">
        <v>106</v>
      </c>
      <c r="C94" s="29">
        <f>C68*C93</f>
        <v>3.2347200000000013E-2</v>
      </c>
      <c r="D94" s="18">
        <f t="shared" si="2"/>
        <v>45.31</v>
      </c>
    </row>
    <row r="95" spans="1:5" ht="12.75" x14ac:dyDescent="0.2">
      <c r="A95" s="729" t="s">
        <v>91</v>
      </c>
      <c r="B95" s="729"/>
      <c r="C95" s="34">
        <f>C94+C93</f>
        <v>0.12024720000000003</v>
      </c>
      <c r="D95" s="23">
        <f>ROUND(D94+D93,2)</f>
        <v>168.43</v>
      </c>
    </row>
    <row r="97" spans="1:6" ht="12.75" x14ac:dyDescent="0.2">
      <c r="A97" s="736" t="s">
        <v>107</v>
      </c>
      <c r="B97" s="736"/>
      <c r="C97" s="736"/>
      <c r="D97" s="736"/>
    </row>
    <row r="98" spans="1:6" ht="12.75" x14ac:dyDescent="0.2">
      <c r="A98" s="113">
        <v>4</v>
      </c>
      <c r="B98" s="740" t="s">
        <v>108</v>
      </c>
      <c r="C98" s="740"/>
      <c r="D98" s="16" t="s">
        <v>40</v>
      </c>
    </row>
    <row r="99" spans="1:6" x14ac:dyDescent="0.25">
      <c r="A99" s="117" t="s">
        <v>109</v>
      </c>
      <c r="B99" s="37" t="s">
        <v>110</v>
      </c>
      <c r="C99" s="38">
        <f>C75</f>
        <v>0.1519392</v>
      </c>
      <c r="D99" s="18">
        <f>ROUND($D$38*C99,2)</f>
        <v>212.82</v>
      </c>
      <c r="E99" s="60"/>
    </row>
    <row r="100" spans="1:6" x14ac:dyDescent="0.25">
      <c r="A100" s="117" t="s">
        <v>111</v>
      </c>
      <c r="B100" s="37" t="s">
        <v>112</v>
      </c>
      <c r="C100" s="38">
        <f>C68</f>
        <v>0.3680000000000001</v>
      </c>
      <c r="D100" s="18">
        <f>ROUND($D$38*C100,2)</f>
        <v>515.46</v>
      </c>
    </row>
    <row r="101" spans="1:6" x14ac:dyDescent="0.25">
      <c r="A101" s="116" t="s">
        <v>113</v>
      </c>
      <c r="B101" s="37" t="s">
        <v>114</v>
      </c>
      <c r="C101" s="38">
        <f>C84</f>
        <v>7.9819200000000007E-2</v>
      </c>
      <c r="D101" s="18">
        <f>ROUND($D$38*C101,2)</f>
        <v>111.8</v>
      </c>
    </row>
    <row r="102" spans="1:6" x14ac:dyDescent="0.25">
      <c r="A102" s="116" t="s">
        <v>115</v>
      </c>
      <c r="B102" s="37" t="s">
        <v>116</v>
      </c>
      <c r="C102" s="38">
        <f>C95</f>
        <v>0.12024720000000003</v>
      </c>
      <c r="D102" s="18">
        <f>ROUND($D$38*C102,2)</f>
        <v>168.43</v>
      </c>
    </row>
    <row r="103" spans="1:6" x14ac:dyDescent="0.25">
      <c r="A103" s="116" t="s">
        <v>117</v>
      </c>
      <c r="B103" s="37" t="s">
        <v>118</v>
      </c>
      <c r="C103" s="114"/>
      <c r="D103" s="18"/>
    </row>
    <row r="104" spans="1:6" ht="12.75" x14ac:dyDescent="0.2">
      <c r="A104" s="117"/>
      <c r="B104" s="115" t="s">
        <v>91</v>
      </c>
      <c r="C104" s="41">
        <f>SUM(C99:C103)</f>
        <v>0.72000560000000002</v>
      </c>
      <c r="D104" s="23">
        <f>ROUND($D$38*C104,2)</f>
        <v>1008.51</v>
      </c>
    </row>
    <row r="105" spans="1:6" x14ac:dyDescent="0.25">
      <c r="D105" s="42">
        <f>ROUND(D104+D56+D48+D38,2)</f>
        <v>3034.84</v>
      </c>
    </row>
    <row r="106" spans="1:6" ht="12.75" x14ac:dyDescent="0.2">
      <c r="A106" s="113">
        <v>5</v>
      </c>
      <c r="B106" s="24" t="s">
        <v>119</v>
      </c>
      <c r="C106" s="15" t="s">
        <v>68</v>
      </c>
      <c r="D106" s="16" t="s">
        <v>40</v>
      </c>
      <c r="E106" s="60"/>
    </row>
    <row r="107" spans="1:6" x14ac:dyDescent="0.25">
      <c r="A107" s="117" t="s">
        <v>13</v>
      </c>
      <c r="B107" s="8" t="s">
        <v>120</v>
      </c>
      <c r="C107" s="29">
        <v>0.01</v>
      </c>
      <c r="D107" s="18">
        <f>ROUND($D$105*C107,2)</f>
        <v>30.35</v>
      </c>
    </row>
    <row r="108" spans="1:6" x14ac:dyDescent="0.25">
      <c r="A108" s="117" t="s">
        <v>15</v>
      </c>
      <c r="B108" s="8" t="s">
        <v>121</v>
      </c>
      <c r="C108" s="29"/>
      <c r="D108" s="18"/>
      <c r="E108" s="58"/>
    </row>
    <row r="109" spans="1:6" x14ac:dyDescent="0.25">
      <c r="A109" s="43" t="s">
        <v>122</v>
      </c>
      <c r="B109" s="8" t="s">
        <v>123</v>
      </c>
      <c r="C109" s="29">
        <v>0</v>
      </c>
      <c r="D109" s="18">
        <v>0</v>
      </c>
    </row>
    <row r="110" spans="1:6" x14ac:dyDescent="0.25">
      <c r="A110" s="43" t="s">
        <v>124</v>
      </c>
      <c r="B110" s="8" t="s">
        <v>125</v>
      </c>
      <c r="C110" s="29">
        <v>0</v>
      </c>
      <c r="D110" s="18">
        <v>0</v>
      </c>
    </row>
    <row r="111" spans="1:6" x14ac:dyDescent="0.25">
      <c r="A111" s="43" t="s">
        <v>126</v>
      </c>
      <c r="B111" s="8" t="s">
        <v>127</v>
      </c>
      <c r="C111" s="29">
        <v>1.6500000000000001E-2</v>
      </c>
      <c r="D111" s="18">
        <f>ROUND($F$114*C111,2)</f>
        <v>57.92</v>
      </c>
    </row>
    <row r="112" spans="1:6" x14ac:dyDescent="0.25">
      <c r="A112" s="43" t="s">
        <v>128</v>
      </c>
      <c r="B112" s="8" t="s">
        <v>129</v>
      </c>
      <c r="C112" s="29">
        <v>7.5999999999999998E-2</v>
      </c>
      <c r="D112" s="18">
        <f>ROUND($F$114*C112,2)</f>
        <v>266.8</v>
      </c>
      <c r="F112" s="61">
        <f>SUM(C109:C113)</f>
        <v>0.1225</v>
      </c>
    </row>
    <row r="113" spans="1:9" x14ac:dyDescent="0.25">
      <c r="A113" s="43" t="s">
        <v>130</v>
      </c>
      <c r="B113" s="8" t="s">
        <v>131</v>
      </c>
      <c r="C113" s="45">
        <v>0.03</v>
      </c>
      <c r="D113" s="18">
        <f>ROUND($F$114*C113,2)</f>
        <v>105.32</v>
      </c>
      <c r="F113" s="62">
        <f>ROUND(D114+D107+D105,2)</f>
        <v>3080.52</v>
      </c>
    </row>
    <row r="114" spans="1:9" x14ac:dyDescent="0.25">
      <c r="A114" s="117" t="s">
        <v>18</v>
      </c>
      <c r="B114" s="8" t="s">
        <v>132</v>
      </c>
      <c r="C114" s="29">
        <v>5.0000000000000001E-3</v>
      </c>
      <c r="D114" s="18">
        <f>ROUND(($D$105+D107)*C114,2)</f>
        <v>15.33</v>
      </c>
      <c r="F114" s="63">
        <f>ROUND(F113/(1-F112),2)</f>
        <v>3510.56</v>
      </c>
    </row>
    <row r="115" spans="1:9" ht="12.75" x14ac:dyDescent="0.2">
      <c r="A115" s="744" t="s">
        <v>91</v>
      </c>
      <c r="B115" s="749"/>
      <c r="C115" s="745"/>
      <c r="D115" s="23">
        <f>ROUND(SUM(D107:D114),2)</f>
        <v>475.72</v>
      </c>
    </row>
    <row r="116" spans="1:9" x14ac:dyDescent="0.25">
      <c r="D116" s="42"/>
    </row>
    <row r="117" spans="1:9" ht="12.75" x14ac:dyDescent="0.2">
      <c r="A117" s="736" t="s">
        <v>133</v>
      </c>
      <c r="B117" s="736"/>
      <c r="C117" s="736"/>
      <c r="D117" s="736"/>
    </row>
    <row r="118" spans="1:9" ht="12.75" x14ac:dyDescent="0.2">
      <c r="A118" s="729" t="s">
        <v>134</v>
      </c>
      <c r="B118" s="729"/>
      <c r="C118" s="729"/>
      <c r="D118" s="729"/>
    </row>
    <row r="119" spans="1:9" x14ac:dyDescent="0.25">
      <c r="A119" s="117" t="s">
        <v>13</v>
      </c>
      <c r="B119" s="731" t="s">
        <v>135</v>
      </c>
      <c r="C119" s="731"/>
      <c r="D119" s="18">
        <f>D38</f>
        <v>1400.7</v>
      </c>
    </row>
    <row r="120" spans="1:9" x14ac:dyDescent="0.25">
      <c r="A120" s="117" t="s">
        <v>15</v>
      </c>
      <c r="B120" s="731" t="s">
        <v>136</v>
      </c>
      <c r="C120" s="731"/>
      <c r="D120" s="18">
        <f>D48</f>
        <v>448.33</v>
      </c>
    </row>
    <row r="121" spans="1:9" x14ac:dyDescent="0.25">
      <c r="A121" s="117" t="s">
        <v>18</v>
      </c>
      <c r="B121" s="731" t="s">
        <v>137</v>
      </c>
      <c r="C121" s="731"/>
      <c r="D121" s="18">
        <f>D56</f>
        <v>177.3</v>
      </c>
    </row>
    <row r="122" spans="1:9" x14ac:dyDescent="0.25">
      <c r="A122" s="117" t="s">
        <v>20</v>
      </c>
      <c r="B122" s="731" t="s">
        <v>138</v>
      </c>
      <c r="C122" s="731"/>
      <c r="D122" s="18">
        <f>D104</f>
        <v>1008.51</v>
      </c>
    </row>
    <row r="123" spans="1:9" ht="12.75" x14ac:dyDescent="0.2">
      <c r="A123" s="729" t="s">
        <v>89</v>
      </c>
      <c r="B123" s="729"/>
      <c r="C123" s="729"/>
      <c r="D123" s="23">
        <f>ROUND(SUM(D119:D122),2)</f>
        <v>3034.84</v>
      </c>
    </row>
    <row r="124" spans="1:9" ht="18.75" x14ac:dyDescent="0.3">
      <c r="A124" s="117" t="s">
        <v>45</v>
      </c>
      <c r="B124" s="751" t="s">
        <v>139</v>
      </c>
      <c r="C124" s="751"/>
      <c r="D124" s="18">
        <f>D115</f>
        <v>475.72</v>
      </c>
      <c r="F124" s="64"/>
      <c r="G124" s="1"/>
      <c r="H124" s="1"/>
    </row>
    <row r="125" spans="1:9" ht="18.75" x14ac:dyDescent="0.3">
      <c r="A125" s="729" t="s">
        <v>140</v>
      </c>
      <c r="B125" s="729"/>
      <c r="C125" s="729"/>
      <c r="D125" s="23">
        <f>ROUND(D124+D123,2)</f>
        <v>3510.56</v>
      </c>
      <c r="F125" s="64"/>
    </row>
    <row r="126" spans="1:9" ht="18.75" x14ac:dyDescent="0.3">
      <c r="F126" s="64"/>
    </row>
    <row r="127" spans="1:9" ht="18.75" x14ac:dyDescent="0.3">
      <c r="A127" s="727" t="s">
        <v>141</v>
      </c>
      <c r="B127" s="727"/>
      <c r="C127" s="727"/>
      <c r="D127" s="727"/>
      <c r="F127" s="64"/>
      <c r="I127" s="1"/>
    </row>
    <row r="128" spans="1:9" ht="18.75" x14ac:dyDescent="0.3">
      <c r="A128" s="731" t="s">
        <v>142</v>
      </c>
      <c r="B128" s="731"/>
      <c r="C128" s="731"/>
      <c r="D128" s="18"/>
      <c r="F128" s="64"/>
      <c r="I128" s="1"/>
    </row>
    <row r="129" spans="1:9" ht="18.75" x14ac:dyDescent="0.3">
      <c r="A129" s="731" t="s">
        <v>143</v>
      </c>
      <c r="B129" s="731"/>
      <c r="C129" s="731"/>
      <c r="D129" s="18">
        <f>D125</f>
        <v>3510.56</v>
      </c>
      <c r="E129" s="65"/>
      <c r="F129" s="64"/>
      <c r="I129" s="1"/>
    </row>
    <row r="130" spans="1:9" ht="18.75" x14ac:dyDescent="0.3">
      <c r="A130" s="731" t="s">
        <v>144</v>
      </c>
      <c r="B130" s="731"/>
      <c r="C130" s="731"/>
      <c r="D130" s="18">
        <v>1</v>
      </c>
      <c r="E130" s="65"/>
      <c r="F130" s="64"/>
      <c r="I130" s="1"/>
    </row>
    <row r="131" spans="1:9" ht="18.75" x14ac:dyDescent="0.3">
      <c r="A131" s="731" t="s">
        <v>145</v>
      </c>
      <c r="B131" s="731"/>
      <c r="C131" s="731"/>
      <c r="D131" s="18">
        <f>ROUND(D130*D129,2)</f>
        <v>3510.56</v>
      </c>
      <c r="E131" s="65"/>
      <c r="F131" s="64"/>
      <c r="I131" s="1"/>
    </row>
    <row r="132" spans="1:9" ht="18.75" x14ac:dyDescent="0.3">
      <c r="A132" s="731" t="s">
        <v>146</v>
      </c>
      <c r="B132" s="731"/>
      <c r="C132" s="731"/>
      <c r="D132" s="18">
        <v>1</v>
      </c>
      <c r="E132" s="65"/>
      <c r="F132" s="64"/>
      <c r="I132" s="1"/>
    </row>
    <row r="133" spans="1:9" ht="18.75" x14ac:dyDescent="0.3">
      <c r="A133" s="740" t="s">
        <v>147</v>
      </c>
      <c r="B133" s="740"/>
      <c r="C133" s="740"/>
      <c r="D133" s="23">
        <f>ROUND(D132*D131,2)</f>
        <v>3510.56</v>
      </c>
      <c r="E133" s="65"/>
      <c r="F133" s="64"/>
    </row>
    <row r="134" spans="1:9" ht="18.75" x14ac:dyDescent="0.3">
      <c r="E134" s="65"/>
      <c r="F134" s="64"/>
    </row>
    <row r="135" spans="1:9" ht="18.75" x14ac:dyDescent="0.3">
      <c r="A135" s="727" t="s">
        <v>148</v>
      </c>
      <c r="B135" s="727"/>
      <c r="C135" s="727"/>
      <c r="D135" s="727"/>
      <c r="F135" s="64"/>
    </row>
    <row r="136" spans="1:9" x14ac:dyDescent="0.25">
      <c r="A136" s="117" t="s">
        <v>13</v>
      </c>
      <c r="B136" s="731" t="s">
        <v>149</v>
      </c>
      <c r="C136" s="731"/>
      <c r="D136" s="18">
        <f>D129</f>
        <v>3510.56</v>
      </c>
    </row>
    <row r="137" spans="1:9" x14ac:dyDescent="0.25">
      <c r="A137" s="117" t="s">
        <v>15</v>
      </c>
      <c r="B137" s="731" t="s">
        <v>150</v>
      </c>
      <c r="C137" s="731"/>
      <c r="D137" s="18">
        <f>D133</f>
        <v>3510.56</v>
      </c>
    </row>
    <row r="138" spans="1:9" ht="12.75" x14ac:dyDescent="0.2">
      <c r="A138" s="113" t="s">
        <v>18</v>
      </c>
      <c r="B138" s="740" t="s">
        <v>151</v>
      </c>
      <c r="C138" s="740"/>
      <c r="D138" s="23">
        <f>ROUND(D137*12,2)</f>
        <v>42126.720000000001</v>
      </c>
      <c r="F138" s="9"/>
    </row>
    <row r="139" spans="1:9" x14ac:dyDescent="0.25">
      <c r="A139" s="30"/>
      <c r="F139" s="9"/>
    </row>
    <row r="140" spans="1:9" x14ac:dyDescent="0.25">
      <c r="A140" s="30"/>
    </row>
    <row r="141" spans="1:9" x14ac:dyDescent="0.25">
      <c r="A141" s="753" t="s">
        <v>484</v>
      </c>
      <c r="B141" s="754"/>
    </row>
    <row r="142" spans="1:9" x14ac:dyDescent="0.25">
      <c r="A142" s="30"/>
      <c r="F142" s="9"/>
    </row>
    <row r="143" spans="1:9" x14ac:dyDescent="0.25">
      <c r="A143" s="30"/>
      <c r="F143" s="9"/>
      <c r="G143" s="50"/>
    </row>
    <row r="144" spans="1:9" x14ac:dyDescent="0.25">
      <c r="A144" s="755" t="s">
        <v>153</v>
      </c>
      <c r="B144" s="755"/>
      <c r="F144" s="9"/>
      <c r="G144" s="51"/>
    </row>
    <row r="145" spans="1:8" x14ac:dyDescent="0.25">
      <c r="A145" s="756" t="s">
        <v>154</v>
      </c>
      <c r="B145" s="756"/>
      <c r="F145" s="9"/>
    </row>
    <row r="146" spans="1:8" x14ac:dyDescent="0.25">
      <c r="A146" s="752" t="s">
        <v>155</v>
      </c>
      <c r="B146" s="752"/>
      <c r="F146" s="9"/>
    </row>
    <row r="147" spans="1:8" x14ac:dyDescent="0.25">
      <c r="F147" s="52"/>
      <c r="H147" s="1"/>
    </row>
    <row r="148" spans="1:8" x14ac:dyDescent="0.25">
      <c r="F148" s="9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52"/>
    </row>
    <row r="156" spans="1:8" x14ac:dyDescent="0.25">
      <c r="F156" s="9"/>
    </row>
  </sheetData>
  <mergeCells count="67">
    <mergeCell ref="A146:B146"/>
    <mergeCell ref="A130:C130"/>
    <mergeCell ref="A131:C131"/>
    <mergeCell ref="A132:C132"/>
    <mergeCell ref="A133:C133"/>
    <mergeCell ref="A135:D135"/>
    <mergeCell ref="B136:C136"/>
    <mergeCell ref="B137:C137"/>
    <mergeCell ref="B138:C138"/>
    <mergeCell ref="A141:B141"/>
    <mergeCell ref="A144:B144"/>
    <mergeCell ref="A145:B145"/>
    <mergeCell ref="A129:C129"/>
    <mergeCell ref="A117:D117"/>
    <mergeCell ref="A118:D118"/>
    <mergeCell ref="B119:C119"/>
    <mergeCell ref="B120:C120"/>
    <mergeCell ref="B121:C121"/>
    <mergeCell ref="B122:C122"/>
    <mergeCell ref="A123:C123"/>
    <mergeCell ref="B124:C124"/>
    <mergeCell ref="A125:C125"/>
    <mergeCell ref="A127:D127"/>
    <mergeCell ref="A128:C128"/>
    <mergeCell ref="A115:C115"/>
    <mergeCell ref="A68:B68"/>
    <mergeCell ref="A70:B70"/>
    <mergeCell ref="A73:B73"/>
    <mergeCell ref="A75:B75"/>
    <mergeCell ref="A77:B77"/>
    <mergeCell ref="A84:B84"/>
    <mergeCell ref="A86:B86"/>
    <mergeCell ref="A93:B93"/>
    <mergeCell ref="A95:B95"/>
    <mergeCell ref="A97:D97"/>
    <mergeCell ref="B98:C98"/>
    <mergeCell ref="A59:B59"/>
    <mergeCell ref="C23:D23"/>
    <mergeCell ref="C24:D24"/>
    <mergeCell ref="C25:D25"/>
    <mergeCell ref="C26:D26"/>
    <mergeCell ref="A27:D27"/>
    <mergeCell ref="A38:B38"/>
    <mergeCell ref="A40:D40"/>
    <mergeCell ref="A48:B48"/>
    <mergeCell ref="A50:D50"/>
    <mergeCell ref="A56:B56"/>
    <mergeCell ref="A58:D58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8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05" zoomScaleNormal="85" zoomScaleSheetLayoutView="100" workbookViewId="0">
      <selection activeCell="Q54" sqref="Q5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4.7109375" style="53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28" t="s">
        <v>490</v>
      </c>
      <c r="D10" s="725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498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486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117">
        <v>2</v>
      </c>
      <c r="B23" s="8" t="s">
        <v>33</v>
      </c>
      <c r="C23" s="784">
        <f>'REPACTUAÇÃO SIEMACO 2013'!J13</f>
        <v>1334</v>
      </c>
      <c r="D23" s="784"/>
    </row>
    <row r="24" spans="1:5" ht="12.75" x14ac:dyDescent="0.2">
      <c r="A24" s="117">
        <v>3</v>
      </c>
      <c r="B24" s="8" t="s">
        <v>34</v>
      </c>
      <c r="C24" s="724" t="s">
        <v>35</v>
      </c>
      <c r="D24" s="725"/>
    </row>
    <row r="25" spans="1:5" ht="12.75" x14ac:dyDescent="0.2">
      <c r="A25" s="117">
        <v>4</v>
      </c>
      <c r="B25" s="8" t="s">
        <v>36</v>
      </c>
      <c r="C25" s="728">
        <v>40909</v>
      </c>
      <c r="D25" s="725"/>
    </row>
    <row r="26" spans="1:5" ht="12.75" x14ac:dyDescent="0.2">
      <c r="A26" s="11"/>
      <c r="B26" s="12"/>
      <c r="C26" s="743"/>
      <c r="D26" s="743"/>
    </row>
    <row r="27" spans="1:5" ht="12.75" x14ac:dyDescent="0.2">
      <c r="A27" s="736" t="s">
        <v>37</v>
      </c>
      <c r="B27" s="736"/>
      <c r="C27" s="736"/>
      <c r="D27" s="736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54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2013'!J13</f>
        <v>1334</v>
      </c>
      <c r="E29" s="536"/>
    </row>
    <row r="30" spans="1:5" x14ac:dyDescent="0.25">
      <c r="A30" s="43" t="s">
        <v>15</v>
      </c>
      <c r="B30" s="526" t="s">
        <v>508</v>
      </c>
      <c r="C30" s="537">
        <v>0.05</v>
      </c>
      <c r="D30" s="535">
        <f>C30*D29</f>
        <v>66.7</v>
      </c>
      <c r="E30" s="554"/>
    </row>
    <row r="31" spans="1:5" x14ac:dyDescent="0.25">
      <c r="A31" s="43" t="s">
        <v>18</v>
      </c>
      <c r="B31" s="526" t="s">
        <v>497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>
        <v>0</v>
      </c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v>0</v>
      </c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771" t="s">
        <v>55</v>
      </c>
      <c r="B38" s="772"/>
      <c r="C38" s="534"/>
      <c r="D38" s="542">
        <f>ROUND(SUM(D29:D37),2)</f>
        <v>1400.7</v>
      </c>
      <c r="E38" s="554"/>
    </row>
    <row r="39" spans="1:5" x14ac:dyDescent="0.25">
      <c r="A39" s="543"/>
      <c r="B39" s="543"/>
      <c r="C39" s="544"/>
      <c r="D39" s="545"/>
      <c r="E39" s="554"/>
    </row>
    <row r="40" spans="1:5" ht="12.75" x14ac:dyDescent="0.2">
      <c r="A40" s="773" t="s">
        <v>56</v>
      </c>
      <c r="B40" s="774"/>
      <c r="C40" s="774"/>
      <c r="D40" s="775"/>
      <c r="E40" s="554"/>
    </row>
    <row r="41" spans="1:5" ht="12.75" x14ac:dyDescent="0.2">
      <c r="A41" s="530">
        <v>2</v>
      </c>
      <c r="B41" s="546" t="s">
        <v>57</v>
      </c>
      <c r="C41" s="532" t="s">
        <v>58</v>
      </c>
      <c r="D41" s="533" t="s">
        <v>40</v>
      </c>
      <c r="E41" s="554"/>
    </row>
    <row r="42" spans="1:5" ht="13.5" customHeight="1" x14ac:dyDescent="0.25">
      <c r="A42" s="43" t="s">
        <v>13</v>
      </c>
      <c r="B42" s="547" t="s">
        <v>59</v>
      </c>
      <c r="C42" s="535">
        <v>3.3</v>
      </c>
      <c r="D42" s="535">
        <f>ROUND((C42*44)-(D29*6%),2)</f>
        <v>65.16</v>
      </c>
      <c r="E42" s="557"/>
    </row>
    <row r="43" spans="1:5" ht="13.5" customHeight="1" x14ac:dyDescent="0.25">
      <c r="A43" s="43" t="s">
        <v>15</v>
      </c>
      <c r="B43" s="549" t="s">
        <v>60</v>
      </c>
      <c r="C43" s="535">
        <v>235</v>
      </c>
      <c r="D43" s="535">
        <f>'REPACTUAÇÃO SIEMACO 2013'!K33</f>
        <v>326</v>
      </c>
      <c r="E43" s="550"/>
    </row>
    <row r="44" spans="1:5" ht="13.5" customHeight="1" x14ac:dyDescent="0.25">
      <c r="A44" s="43" t="s">
        <v>18</v>
      </c>
      <c r="B44" s="549" t="s">
        <v>157</v>
      </c>
      <c r="C44" s="535">
        <f>235/12</f>
        <v>19.583333333333332</v>
      </c>
      <c r="D44" s="535">
        <f>'REPACTUAÇÃO SIEMACO 2013'!K42</f>
        <v>27.17</v>
      </c>
      <c r="E44" s="550"/>
    </row>
    <row r="45" spans="1:5" ht="13.5" customHeight="1" x14ac:dyDescent="0.25">
      <c r="A45" s="117" t="s">
        <v>20</v>
      </c>
      <c r="B45" s="27" t="s">
        <v>169</v>
      </c>
      <c r="C45" s="18">
        <v>45</v>
      </c>
      <c r="D45" s="18">
        <f>'REPACTUAÇÃO SIEMACO 2013'!K45</f>
        <v>22</v>
      </c>
    </row>
    <row r="46" spans="1:5" ht="13.5" customHeight="1" x14ac:dyDescent="0.25">
      <c r="A46" s="117" t="s">
        <v>45</v>
      </c>
      <c r="B46" s="27" t="s">
        <v>170</v>
      </c>
      <c r="C46" s="18">
        <v>8</v>
      </c>
      <c r="D46" s="18">
        <f>ROUND(C46*$C$29,2)</f>
        <v>8</v>
      </c>
    </row>
    <row r="47" spans="1:5" ht="13.5" customHeight="1" x14ac:dyDescent="0.25">
      <c r="A47" s="117" t="s">
        <v>47</v>
      </c>
      <c r="B47" s="27" t="s">
        <v>64</v>
      </c>
      <c r="C47" s="18">
        <v>0</v>
      </c>
      <c r="D47" s="18">
        <f>ROUND(C47*$C$29,2)</f>
        <v>0</v>
      </c>
    </row>
    <row r="48" spans="1:5" ht="13.5" customHeight="1" x14ac:dyDescent="0.25">
      <c r="A48" s="744" t="s">
        <v>65</v>
      </c>
      <c r="B48" s="745"/>
      <c r="C48" s="29"/>
      <c r="D48" s="23">
        <f>ROUND(SUM(D42:D47),2)</f>
        <v>448.33</v>
      </c>
    </row>
    <row r="49" spans="1:5" ht="13.5" customHeight="1" x14ac:dyDescent="0.25">
      <c r="A49" s="30"/>
    </row>
    <row r="50" spans="1:5" ht="13.5" customHeight="1" x14ac:dyDescent="0.2">
      <c r="A50" s="746" t="s">
        <v>66</v>
      </c>
      <c r="B50" s="747"/>
      <c r="C50" s="747"/>
      <c r="D50" s="748"/>
    </row>
    <row r="51" spans="1:5" ht="13.5" customHeight="1" x14ac:dyDescent="0.2">
      <c r="A51" s="113">
        <v>3</v>
      </c>
      <c r="B51" s="24" t="s">
        <v>67</v>
      </c>
      <c r="C51" s="15" t="s">
        <v>68</v>
      </c>
      <c r="D51" s="16" t="s">
        <v>40</v>
      </c>
    </row>
    <row r="52" spans="1:5" x14ac:dyDescent="0.25">
      <c r="A52" s="117" t="s">
        <v>13</v>
      </c>
      <c r="B52" s="8" t="s">
        <v>69</v>
      </c>
      <c r="C52" s="91">
        <f>'Uniforme 2'!D10</f>
        <v>41.333333333333336</v>
      </c>
      <c r="D52" s="18">
        <f>ROUND(C52*$C$29,2)</f>
        <v>41.33</v>
      </c>
    </row>
    <row r="53" spans="1:5" x14ac:dyDescent="0.25">
      <c r="A53" s="117" t="s">
        <v>15</v>
      </c>
      <c r="B53" s="32" t="s">
        <v>204</v>
      </c>
      <c r="C53" s="91"/>
      <c r="D53" s="18"/>
      <c r="E53" s="58"/>
    </row>
    <row r="54" spans="1:5" x14ac:dyDescent="0.25">
      <c r="A54" s="117" t="s">
        <v>18</v>
      </c>
      <c r="B54" s="8" t="s">
        <v>71</v>
      </c>
      <c r="C54" s="91">
        <f>Manut.!B77</f>
        <v>119.96105000000001</v>
      </c>
      <c r="D54" s="18">
        <f>ROUND(C54*$C$29,2)</f>
        <v>119.96</v>
      </c>
    </row>
    <row r="55" spans="1:5" x14ac:dyDescent="0.25">
      <c r="A55" s="117" t="s">
        <v>20</v>
      </c>
      <c r="B55" s="32" t="s">
        <v>72</v>
      </c>
      <c r="C55" s="110">
        <f>Epis!D11</f>
        <v>16.010000000000002</v>
      </c>
      <c r="D55" s="18">
        <f>C55</f>
        <v>16.010000000000002</v>
      </c>
      <c r="E55" s="58"/>
    </row>
    <row r="56" spans="1:5" x14ac:dyDescent="0.25">
      <c r="A56" s="744" t="s">
        <v>73</v>
      </c>
      <c r="B56" s="745"/>
      <c r="C56" s="29"/>
      <c r="D56" s="23">
        <f>ROUND(SUM(D52:D55),2)</f>
        <v>177.3</v>
      </c>
      <c r="E56" s="58"/>
    </row>
    <row r="58" spans="1:5" ht="12.75" x14ac:dyDescent="0.2">
      <c r="A58" s="746" t="s">
        <v>74</v>
      </c>
      <c r="B58" s="747"/>
      <c r="C58" s="747"/>
      <c r="D58" s="748"/>
    </row>
    <row r="59" spans="1:5" ht="12.75" x14ac:dyDescent="0.2">
      <c r="A59" s="740" t="s">
        <v>75</v>
      </c>
      <c r="B59" s="740"/>
      <c r="C59" s="15" t="s">
        <v>68</v>
      </c>
      <c r="D59" s="16" t="s">
        <v>40</v>
      </c>
    </row>
    <row r="60" spans="1:5" x14ac:dyDescent="0.25">
      <c r="A60" s="116" t="s">
        <v>13</v>
      </c>
      <c r="B60" s="32" t="s">
        <v>76</v>
      </c>
      <c r="C60" s="29">
        <v>0.2</v>
      </c>
      <c r="D60" s="18">
        <f>ROUND($D$38*C60,2)</f>
        <v>280.14</v>
      </c>
    </row>
    <row r="61" spans="1:5" x14ac:dyDescent="0.25">
      <c r="A61" s="116" t="s">
        <v>15</v>
      </c>
      <c r="B61" s="32" t="s">
        <v>77</v>
      </c>
      <c r="C61" s="29">
        <v>1.4999999999999999E-2</v>
      </c>
      <c r="D61" s="18">
        <f>ROUND($D$38*C61,2)</f>
        <v>21.01</v>
      </c>
    </row>
    <row r="62" spans="1:5" x14ac:dyDescent="0.25">
      <c r="A62" s="116" t="s">
        <v>18</v>
      </c>
      <c r="B62" s="32" t="s">
        <v>78</v>
      </c>
      <c r="C62" s="29">
        <v>0.01</v>
      </c>
      <c r="D62" s="18">
        <f t="shared" ref="D62:D67" si="0">ROUND($D$38*C62,2)</f>
        <v>14.01</v>
      </c>
    </row>
    <row r="63" spans="1:5" x14ac:dyDescent="0.25">
      <c r="A63" s="116" t="s">
        <v>20</v>
      </c>
      <c r="B63" s="32" t="s">
        <v>79</v>
      </c>
      <c r="C63" s="29">
        <v>2E-3</v>
      </c>
      <c r="D63" s="18">
        <f t="shared" si="0"/>
        <v>2.8</v>
      </c>
    </row>
    <row r="64" spans="1:5" x14ac:dyDescent="0.25">
      <c r="A64" s="116" t="s">
        <v>45</v>
      </c>
      <c r="B64" s="32" t="s">
        <v>80</v>
      </c>
      <c r="C64" s="29">
        <v>2.5000000000000001E-2</v>
      </c>
      <c r="D64" s="18">
        <f t="shared" si="0"/>
        <v>35.020000000000003</v>
      </c>
    </row>
    <row r="65" spans="1:6" x14ac:dyDescent="0.25">
      <c r="A65" s="116" t="s">
        <v>47</v>
      </c>
      <c r="B65" s="32" t="s">
        <v>81</v>
      </c>
      <c r="C65" s="29">
        <v>0.08</v>
      </c>
      <c r="D65" s="18">
        <f t="shared" si="0"/>
        <v>112.06</v>
      </c>
    </row>
    <row r="66" spans="1:6" x14ac:dyDescent="0.25">
      <c r="A66" s="116" t="s">
        <v>49</v>
      </c>
      <c r="B66" s="32" t="s">
        <v>82</v>
      </c>
      <c r="C66" s="29">
        <f>2%*F70</f>
        <v>0.03</v>
      </c>
      <c r="D66" s="18">
        <f t="shared" si="0"/>
        <v>42.02</v>
      </c>
    </row>
    <row r="67" spans="1:6" x14ac:dyDescent="0.25">
      <c r="A67" s="116" t="s">
        <v>51</v>
      </c>
      <c r="B67" s="32" t="s">
        <v>83</v>
      </c>
      <c r="C67" s="29">
        <v>6.0000000000000001E-3</v>
      </c>
      <c r="D67" s="18">
        <f t="shared" si="0"/>
        <v>8.4</v>
      </c>
    </row>
    <row r="68" spans="1:6" ht="12.75" x14ac:dyDescent="0.2">
      <c r="A68" s="744" t="s">
        <v>84</v>
      </c>
      <c r="B68" s="750"/>
      <c r="C68" s="34">
        <f>SUM(C60:C67)</f>
        <v>0.3680000000000001</v>
      </c>
      <c r="D68" s="23">
        <f>ROUND(SUM(D60:D67),2)</f>
        <v>515.46</v>
      </c>
    </row>
    <row r="69" spans="1:6" x14ac:dyDescent="0.25">
      <c r="A69" s="1"/>
      <c r="B69" s="1"/>
    </row>
    <row r="70" spans="1:6" ht="12.75" x14ac:dyDescent="0.2">
      <c r="A70" s="740" t="s">
        <v>85</v>
      </c>
      <c r="B70" s="740"/>
      <c r="C70" s="15" t="s">
        <v>68</v>
      </c>
      <c r="D70" s="16" t="s">
        <v>40</v>
      </c>
      <c r="F70" s="59">
        <v>1.5</v>
      </c>
    </row>
    <row r="71" spans="1:6" x14ac:dyDescent="0.25">
      <c r="A71" s="116" t="s">
        <v>13</v>
      </c>
      <c r="B71" s="32" t="s">
        <v>87</v>
      </c>
      <c r="C71" s="29">
        <v>8.3299999999999999E-2</v>
      </c>
      <c r="D71" s="18">
        <f>ROUND($D$38*C71,2)</f>
        <v>116.68</v>
      </c>
    </row>
    <row r="72" spans="1:6" x14ac:dyDescent="0.25">
      <c r="A72" s="116" t="s">
        <v>15</v>
      </c>
      <c r="B72" s="32" t="s">
        <v>88</v>
      </c>
      <c r="C72" s="29">
        <f>C87/3</f>
        <v>2.7766666666666665E-2</v>
      </c>
      <c r="D72" s="18">
        <f>ROUND($D$38*C72,2)</f>
        <v>38.89</v>
      </c>
    </row>
    <row r="73" spans="1:6" ht="12.75" x14ac:dyDescent="0.2">
      <c r="A73" s="729" t="s">
        <v>89</v>
      </c>
      <c r="B73" s="729"/>
      <c r="C73" s="34">
        <f>SUM(C71:C72)</f>
        <v>0.11106666666666666</v>
      </c>
      <c r="D73" s="23">
        <f>ROUND(SUM(D71:D72),2)</f>
        <v>155.57</v>
      </c>
    </row>
    <row r="74" spans="1:6" x14ac:dyDescent="0.25">
      <c r="A74" s="116" t="s">
        <v>18</v>
      </c>
      <c r="B74" s="32" t="s">
        <v>90</v>
      </c>
      <c r="C74" s="29">
        <f>C68*C73</f>
        <v>4.0872533333333343E-2</v>
      </c>
      <c r="D74" s="18">
        <f>ROUND($D$38*C74,2)</f>
        <v>57.25</v>
      </c>
    </row>
    <row r="75" spans="1:6" ht="12.75" x14ac:dyDescent="0.2">
      <c r="A75" s="729" t="s">
        <v>91</v>
      </c>
      <c r="B75" s="729"/>
      <c r="C75" s="34">
        <f>C74+C73</f>
        <v>0.1519392</v>
      </c>
      <c r="D75" s="23">
        <f>ROUND(D74+D73,2)</f>
        <v>212.82</v>
      </c>
    </row>
    <row r="76" spans="1:6" x14ac:dyDescent="0.25">
      <c r="A76" s="1"/>
      <c r="B76" s="1"/>
      <c r="E76" s="60"/>
    </row>
    <row r="77" spans="1:6" ht="12.75" x14ac:dyDescent="0.2">
      <c r="A77" s="737" t="s">
        <v>92</v>
      </c>
      <c r="B77" s="739"/>
      <c r="C77" s="15" t="s">
        <v>68</v>
      </c>
      <c r="D77" s="16" t="s">
        <v>40</v>
      </c>
    </row>
    <row r="78" spans="1:6" x14ac:dyDescent="0.25">
      <c r="A78" s="116" t="s">
        <v>13</v>
      </c>
      <c r="B78" s="32" t="s">
        <v>93</v>
      </c>
      <c r="C78" s="29">
        <v>1E-3</v>
      </c>
      <c r="D78" s="18">
        <f t="shared" ref="D78:D83" si="1">ROUND($D$38*C78,2)</f>
        <v>1.4</v>
      </c>
    </row>
    <row r="79" spans="1:6" x14ac:dyDescent="0.25">
      <c r="A79" s="116" t="s">
        <v>15</v>
      </c>
      <c r="B79" s="32" t="s">
        <v>94</v>
      </c>
      <c r="C79" s="29">
        <f>C65*C78</f>
        <v>8.0000000000000007E-5</v>
      </c>
      <c r="D79" s="18">
        <f t="shared" si="1"/>
        <v>0.11</v>
      </c>
    </row>
    <row r="80" spans="1:6" x14ac:dyDescent="0.25">
      <c r="A80" s="116" t="s">
        <v>18</v>
      </c>
      <c r="B80" s="32" t="s">
        <v>95</v>
      </c>
      <c r="C80" s="29">
        <f>C65*10%</f>
        <v>8.0000000000000002E-3</v>
      </c>
      <c r="D80" s="18">
        <f t="shared" si="1"/>
        <v>11.21</v>
      </c>
    </row>
    <row r="81" spans="1:5" x14ac:dyDescent="0.25">
      <c r="A81" s="117" t="s">
        <v>20</v>
      </c>
      <c r="B81" s="8" t="s">
        <v>96</v>
      </c>
      <c r="C81" s="29">
        <v>1.9400000000000001E-2</v>
      </c>
      <c r="D81" s="18">
        <f t="shared" si="1"/>
        <v>27.17</v>
      </c>
    </row>
    <row r="82" spans="1:5" x14ac:dyDescent="0.25">
      <c r="A82" s="117" t="s">
        <v>45</v>
      </c>
      <c r="B82" s="8" t="s">
        <v>97</v>
      </c>
      <c r="C82" s="29">
        <f>C68*C81</f>
        <v>7.1392000000000027E-3</v>
      </c>
      <c r="D82" s="18">
        <f t="shared" si="1"/>
        <v>10</v>
      </c>
    </row>
    <row r="83" spans="1:5" x14ac:dyDescent="0.25">
      <c r="A83" s="117" t="s">
        <v>47</v>
      </c>
      <c r="B83" s="8" t="s">
        <v>98</v>
      </c>
      <c r="C83" s="29">
        <v>4.4200000000000003E-2</v>
      </c>
      <c r="D83" s="18">
        <f t="shared" si="1"/>
        <v>61.91</v>
      </c>
    </row>
    <row r="84" spans="1:5" ht="12.75" x14ac:dyDescent="0.2">
      <c r="A84" s="729" t="s">
        <v>91</v>
      </c>
      <c r="B84" s="729"/>
      <c r="C84" s="34">
        <f>SUM(C78:C83)</f>
        <v>7.9819200000000007E-2</v>
      </c>
      <c r="D84" s="23">
        <f>ROUND(SUM(D78:D83),2)</f>
        <v>111.8</v>
      </c>
    </row>
    <row r="85" spans="1:5" x14ac:dyDescent="0.25">
      <c r="E85" s="60"/>
    </row>
    <row r="86" spans="1:5" ht="12.75" x14ac:dyDescent="0.2">
      <c r="A86" s="737" t="s">
        <v>99</v>
      </c>
      <c r="B86" s="739"/>
      <c r="C86" s="15" t="s">
        <v>68</v>
      </c>
      <c r="D86" s="16" t="s">
        <v>40</v>
      </c>
      <c r="E86" s="60"/>
    </row>
    <row r="87" spans="1:5" x14ac:dyDescent="0.25">
      <c r="A87" s="117" t="s">
        <v>13</v>
      </c>
      <c r="B87" s="8" t="s">
        <v>100</v>
      </c>
      <c r="C87" s="29">
        <v>8.3299999999999999E-2</v>
      </c>
      <c r="D87" s="18">
        <f t="shared" ref="D87:D94" si="2">ROUND($D$38*C87,2)</f>
        <v>116.68</v>
      </c>
      <c r="E87" s="60"/>
    </row>
    <row r="88" spans="1:5" x14ac:dyDescent="0.25">
      <c r="A88" s="117" t="s">
        <v>15</v>
      </c>
      <c r="B88" s="8" t="s">
        <v>101</v>
      </c>
      <c r="C88" s="29">
        <v>2.3999999999999998E-3</v>
      </c>
      <c r="D88" s="18">
        <f t="shared" si="2"/>
        <v>3.36</v>
      </c>
    </row>
    <row r="89" spans="1:5" x14ac:dyDescent="0.25">
      <c r="A89" s="117" t="s">
        <v>18</v>
      </c>
      <c r="B89" s="32" t="s">
        <v>102</v>
      </c>
      <c r="C89" s="29">
        <v>2.0000000000000001E-4</v>
      </c>
      <c r="D89" s="18">
        <f t="shared" si="2"/>
        <v>0.28000000000000003</v>
      </c>
    </row>
    <row r="90" spans="1:5" x14ac:dyDescent="0.25">
      <c r="A90" s="117" t="s">
        <v>20</v>
      </c>
      <c r="B90" s="8" t="s">
        <v>103</v>
      </c>
      <c r="C90" s="29">
        <v>1.4E-3</v>
      </c>
      <c r="D90" s="18">
        <f t="shared" si="2"/>
        <v>1.96</v>
      </c>
    </row>
    <row r="91" spans="1:5" x14ac:dyDescent="0.25">
      <c r="A91" s="117" t="s">
        <v>45</v>
      </c>
      <c r="B91" s="8" t="s">
        <v>104</v>
      </c>
      <c r="C91" s="29">
        <v>4.0000000000000002E-4</v>
      </c>
      <c r="D91" s="18">
        <f t="shared" si="2"/>
        <v>0.56000000000000005</v>
      </c>
    </row>
    <row r="92" spans="1:5" x14ac:dyDescent="0.25">
      <c r="A92" s="117" t="s">
        <v>47</v>
      </c>
      <c r="B92" s="32" t="s">
        <v>105</v>
      </c>
      <c r="C92" s="29">
        <v>2.0000000000000001E-4</v>
      </c>
      <c r="D92" s="18">
        <f t="shared" si="2"/>
        <v>0.28000000000000003</v>
      </c>
    </row>
    <row r="93" spans="1:5" ht="12.75" x14ac:dyDescent="0.2">
      <c r="A93" s="729" t="s">
        <v>89</v>
      </c>
      <c r="B93" s="729"/>
      <c r="C93" s="34">
        <f>SUM(C87:C92)</f>
        <v>8.7900000000000006E-2</v>
      </c>
      <c r="D93" s="23">
        <f t="shared" si="2"/>
        <v>123.12</v>
      </c>
    </row>
    <row r="94" spans="1:5" x14ac:dyDescent="0.25">
      <c r="A94" s="117" t="s">
        <v>49</v>
      </c>
      <c r="B94" s="8" t="s">
        <v>106</v>
      </c>
      <c r="C94" s="29">
        <f>C68*C93</f>
        <v>3.2347200000000013E-2</v>
      </c>
      <c r="D94" s="18">
        <f t="shared" si="2"/>
        <v>45.31</v>
      </c>
    </row>
    <row r="95" spans="1:5" ht="12.75" x14ac:dyDescent="0.2">
      <c r="A95" s="729" t="s">
        <v>91</v>
      </c>
      <c r="B95" s="729"/>
      <c r="C95" s="34">
        <f>C94+C93</f>
        <v>0.12024720000000003</v>
      </c>
      <c r="D95" s="23">
        <f>ROUND(D94+D93,2)</f>
        <v>168.43</v>
      </c>
    </row>
    <row r="97" spans="1:6" ht="12.75" x14ac:dyDescent="0.2">
      <c r="A97" s="736" t="s">
        <v>107</v>
      </c>
      <c r="B97" s="736"/>
      <c r="C97" s="736"/>
      <c r="D97" s="736"/>
    </row>
    <row r="98" spans="1:6" ht="12.75" x14ac:dyDescent="0.2">
      <c r="A98" s="113">
        <v>4</v>
      </c>
      <c r="B98" s="740" t="s">
        <v>108</v>
      </c>
      <c r="C98" s="740"/>
      <c r="D98" s="16" t="s">
        <v>40</v>
      </c>
    </row>
    <row r="99" spans="1:6" x14ac:dyDescent="0.25">
      <c r="A99" s="117" t="s">
        <v>109</v>
      </c>
      <c r="B99" s="37" t="s">
        <v>110</v>
      </c>
      <c r="C99" s="38">
        <f>C75</f>
        <v>0.1519392</v>
      </c>
      <c r="D99" s="18">
        <f>ROUND($D$38*C99,2)</f>
        <v>212.82</v>
      </c>
      <c r="E99" s="60"/>
    </row>
    <row r="100" spans="1:6" x14ac:dyDescent="0.25">
      <c r="A100" s="117" t="s">
        <v>111</v>
      </c>
      <c r="B100" s="37" t="s">
        <v>112</v>
      </c>
      <c r="C100" s="38">
        <f>C68</f>
        <v>0.3680000000000001</v>
      </c>
      <c r="D100" s="18">
        <f>ROUND($D$38*C100,2)</f>
        <v>515.46</v>
      </c>
    </row>
    <row r="101" spans="1:6" x14ac:dyDescent="0.25">
      <c r="A101" s="116" t="s">
        <v>113</v>
      </c>
      <c r="B101" s="37" t="s">
        <v>114</v>
      </c>
      <c r="C101" s="38">
        <f>C84</f>
        <v>7.9819200000000007E-2</v>
      </c>
      <c r="D101" s="18">
        <f>ROUND($D$38*C101,2)</f>
        <v>111.8</v>
      </c>
    </row>
    <row r="102" spans="1:6" x14ac:dyDescent="0.25">
      <c r="A102" s="116" t="s">
        <v>115</v>
      </c>
      <c r="B102" s="37" t="s">
        <v>116</v>
      </c>
      <c r="C102" s="38">
        <f>C95</f>
        <v>0.12024720000000003</v>
      </c>
      <c r="D102" s="18">
        <f>ROUND($D$38*C102,2)</f>
        <v>168.43</v>
      </c>
    </row>
    <row r="103" spans="1:6" x14ac:dyDescent="0.25">
      <c r="A103" s="116" t="s">
        <v>117</v>
      </c>
      <c r="B103" s="37" t="s">
        <v>118</v>
      </c>
      <c r="C103" s="114"/>
      <c r="D103" s="18"/>
    </row>
    <row r="104" spans="1:6" ht="12.75" x14ac:dyDescent="0.2">
      <c r="A104" s="117"/>
      <c r="B104" s="115" t="s">
        <v>91</v>
      </c>
      <c r="C104" s="41">
        <f>SUM(C99:C103)</f>
        <v>0.72000560000000002</v>
      </c>
      <c r="D104" s="23">
        <f>ROUND($D$38*C104,2)</f>
        <v>1008.51</v>
      </c>
    </row>
    <row r="105" spans="1:6" x14ac:dyDescent="0.25">
      <c r="D105" s="42">
        <f>ROUND(D104+D56+D48+D38,2)</f>
        <v>3034.84</v>
      </c>
    </row>
    <row r="106" spans="1:6" ht="12.75" x14ac:dyDescent="0.2">
      <c r="A106" s="113">
        <v>5</v>
      </c>
      <c r="B106" s="24" t="s">
        <v>119</v>
      </c>
      <c r="C106" s="15" t="s">
        <v>68</v>
      </c>
      <c r="D106" s="16" t="s">
        <v>40</v>
      </c>
      <c r="E106" s="60"/>
    </row>
    <row r="107" spans="1:6" x14ac:dyDescent="0.25">
      <c r="A107" s="117" t="s">
        <v>13</v>
      </c>
      <c r="B107" s="8" t="s">
        <v>120</v>
      </c>
      <c r="C107" s="29">
        <v>0.01</v>
      </c>
      <c r="D107" s="18">
        <f>ROUND($D$105*C107,2)</f>
        <v>30.35</v>
      </c>
    </row>
    <row r="108" spans="1:6" x14ac:dyDescent="0.25">
      <c r="A108" s="117" t="s">
        <v>15</v>
      </c>
      <c r="B108" s="8" t="s">
        <v>121</v>
      </c>
      <c r="C108" s="29"/>
      <c r="D108" s="18"/>
      <c r="E108" s="58"/>
    </row>
    <row r="109" spans="1:6" x14ac:dyDescent="0.25">
      <c r="A109" s="43" t="s">
        <v>122</v>
      </c>
      <c r="B109" s="8" t="s">
        <v>123</v>
      </c>
      <c r="C109" s="29">
        <v>0</v>
      </c>
      <c r="D109" s="18">
        <v>0</v>
      </c>
    </row>
    <row r="110" spans="1:6" x14ac:dyDescent="0.25">
      <c r="A110" s="43" t="s">
        <v>124</v>
      </c>
      <c r="B110" s="8" t="s">
        <v>125</v>
      </c>
      <c r="C110" s="29">
        <v>0</v>
      </c>
      <c r="D110" s="18">
        <v>0</v>
      </c>
    </row>
    <row r="111" spans="1:6" x14ac:dyDescent="0.25">
      <c r="A111" s="43" t="s">
        <v>126</v>
      </c>
      <c r="B111" s="8" t="s">
        <v>127</v>
      </c>
      <c r="C111" s="29">
        <v>1.6500000000000001E-2</v>
      </c>
      <c r="D111" s="18">
        <f>ROUND($F$114*C111,2)</f>
        <v>58.59</v>
      </c>
    </row>
    <row r="112" spans="1:6" x14ac:dyDescent="0.25">
      <c r="A112" s="43" t="s">
        <v>128</v>
      </c>
      <c r="B112" s="8" t="s">
        <v>129</v>
      </c>
      <c r="C112" s="29">
        <v>7.5999999999999998E-2</v>
      </c>
      <c r="D112" s="18">
        <f>ROUND($F$114*C112,2)</f>
        <v>269.88</v>
      </c>
      <c r="F112" s="61">
        <f>SUM(C109:C113)</f>
        <v>0.13250000000000001</v>
      </c>
    </row>
    <row r="113" spans="1:9" x14ac:dyDescent="0.25">
      <c r="A113" s="43" t="s">
        <v>130</v>
      </c>
      <c r="B113" s="8" t="s">
        <v>131</v>
      </c>
      <c r="C113" s="45">
        <v>0.04</v>
      </c>
      <c r="D113" s="18">
        <f>ROUND($F$114*C113,2)</f>
        <v>142.04</v>
      </c>
      <c r="F113" s="62">
        <f>ROUND(D114+D107+D105,2)</f>
        <v>3080.52</v>
      </c>
    </row>
    <row r="114" spans="1:9" x14ac:dyDescent="0.25">
      <c r="A114" s="117" t="s">
        <v>18</v>
      </c>
      <c r="B114" s="8" t="s">
        <v>132</v>
      </c>
      <c r="C114" s="29">
        <v>5.0000000000000001E-3</v>
      </c>
      <c r="D114" s="18">
        <f>ROUND(($D$105+D107)*C114,2)</f>
        <v>15.33</v>
      </c>
      <c r="F114" s="63">
        <f>ROUND(F113/(1-F112),2)</f>
        <v>3551.03</v>
      </c>
    </row>
    <row r="115" spans="1:9" ht="12.75" x14ac:dyDescent="0.2">
      <c r="A115" s="744" t="s">
        <v>91</v>
      </c>
      <c r="B115" s="749"/>
      <c r="C115" s="745"/>
      <c r="D115" s="23">
        <f>ROUND(SUM(D107:D114),2)</f>
        <v>516.19000000000005</v>
      </c>
    </row>
    <row r="116" spans="1:9" x14ac:dyDescent="0.25">
      <c r="D116" s="42"/>
    </row>
    <row r="117" spans="1:9" ht="12.75" x14ac:dyDescent="0.2">
      <c r="A117" s="736" t="s">
        <v>133</v>
      </c>
      <c r="B117" s="736"/>
      <c r="C117" s="736"/>
      <c r="D117" s="736"/>
    </row>
    <row r="118" spans="1:9" ht="12.75" x14ac:dyDescent="0.2">
      <c r="A118" s="729" t="s">
        <v>134</v>
      </c>
      <c r="B118" s="729"/>
      <c r="C118" s="729"/>
      <c r="D118" s="729"/>
    </row>
    <row r="119" spans="1:9" x14ac:dyDescent="0.25">
      <c r="A119" s="117" t="s">
        <v>13</v>
      </c>
      <c r="B119" s="731" t="s">
        <v>135</v>
      </c>
      <c r="C119" s="731"/>
      <c r="D119" s="18">
        <f>D38</f>
        <v>1400.7</v>
      </c>
    </row>
    <row r="120" spans="1:9" x14ac:dyDescent="0.25">
      <c r="A120" s="117" t="s">
        <v>15</v>
      </c>
      <c r="B120" s="731" t="s">
        <v>136</v>
      </c>
      <c r="C120" s="731"/>
      <c r="D120" s="18">
        <f>D48</f>
        <v>448.33</v>
      </c>
    </row>
    <row r="121" spans="1:9" x14ac:dyDescent="0.25">
      <c r="A121" s="117" t="s">
        <v>18</v>
      </c>
      <c r="B121" s="731" t="s">
        <v>137</v>
      </c>
      <c r="C121" s="731"/>
      <c r="D121" s="18">
        <f>D56</f>
        <v>177.3</v>
      </c>
    </row>
    <row r="122" spans="1:9" x14ac:dyDescent="0.25">
      <c r="A122" s="117" t="s">
        <v>20</v>
      </c>
      <c r="B122" s="731" t="s">
        <v>138</v>
      </c>
      <c r="C122" s="731"/>
      <c r="D122" s="18">
        <f>D104</f>
        <v>1008.51</v>
      </c>
    </row>
    <row r="123" spans="1:9" ht="12.75" x14ac:dyDescent="0.2">
      <c r="A123" s="729" t="s">
        <v>89</v>
      </c>
      <c r="B123" s="729"/>
      <c r="C123" s="729"/>
      <c r="D123" s="23">
        <f>ROUND(SUM(D119:D122),2)</f>
        <v>3034.84</v>
      </c>
    </row>
    <row r="124" spans="1:9" ht="18.75" x14ac:dyDescent="0.3">
      <c r="A124" s="117" t="s">
        <v>45</v>
      </c>
      <c r="B124" s="751" t="s">
        <v>139</v>
      </c>
      <c r="C124" s="751"/>
      <c r="D124" s="18">
        <f>D115</f>
        <v>516.19000000000005</v>
      </c>
      <c r="F124" s="64"/>
      <c r="G124" s="1"/>
      <c r="H124" s="1"/>
    </row>
    <row r="125" spans="1:9" ht="18.75" x14ac:dyDescent="0.3">
      <c r="A125" s="729" t="s">
        <v>140</v>
      </c>
      <c r="B125" s="729"/>
      <c r="C125" s="729"/>
      <c r="D125" s="23">
        <f>ROUND(D124+D123,2)</f>
        <v>3551.03</v>
      </c>
      <c r="F125" s="64"/>
    </row>
    <row r="126" spans="1:9" ht="18.75" x14ac:dyDescent="0.3">
      <c r="F126" s="64"/>
    </row>
    <row r="127" spans="1:9" ht="18.75" x14ac:dyDescent="0.3">
      <c r="A127" s="727" t="s">
        <v>141</v>
      </c>
      <c r="B127" s="727"/>
      <c r="C127" s="727"/>
      <c r="D127" s="727"/>
      <c r="F127" s="64"/>
      <c r="I127" s="1"/>
    </row>
    <row r="128" spans="1:9" ht="18.75" x14ac:dyDescent="0.3">
      <c r="A128" s="731" t="s">
        <v>142</v>
      </c>
      <c r="B128" s="731"/>
      <c r="C128" s="731"/>
      <c r="D128" s="18"/>
      <c r="F128" s="64"/>
      <c r="I128" s="1"/>
    </row>
    <row r="129" spans="1:9" ht="18.75" x14ac:dyDescent="0.3">
      <c r="A129" s="731" t="s">
        <v>143</v>
      </c>
      <c r="B129" s="731"/>
      <c r="C129" s="731"/>
      <c r="D129" s="18">
        <f>D125</f>
        <v>3551.03</v>
      </c>
      <c r="E129" s="65"/>
      <c r="F129" s="64"/>
      <c r="I129" s="1"/>
    </row>
    <row r="130" spans="1:9" ht="18.75" x14ac:dyDescent="0.3">
      <c r="A130" s="731" t="s">
        <v>144</v>
      </c>
      <c r="B130" s="731"/>
      <c r="C130" s="731"/>
      <c r="D130" s="18">
        <v>1</v>
      </c>
      <c r="E130" s="65"/>
      <c r="F130" s="64"/>
      <c r="I130" s="1"/>
    </row>
    <row r="131" spans="1:9" ht="18.75" x14ac:dyDescent="0.3">
      <c r="A131" s="731" t="s">
        <v>145</v>
      </c>
      <c r="B131" s="731"/>
      <c r="C131" s="731"/>
      <c r="D131" s="18">
        <f>ROUND(D130*D129,2)</f>
        <v>3551.03</v>
      </c>
      <c r="E131" s="65"/>
      <c r="F131" s="64"/>
      <c r="I131" s="1"/>
    </row>
    <row r="132" spans="1:9" ht="18.75" x14ac:dyDescent="0.3">
      <c r="A132" s="731" t="s">
        <v>146</v>
      </c>
      <c r="B132" s="731"/>
      <c r="C132" s="731"/>
      <c r="D132" s="18">
        <v>1</v>
      </c>
      <c r="E132" s="65"/>
      <c r="F132" s="64"/>
      <c r="I132" s="1"/>
    </row>
    <row r="133" spans="1:9" ht="18.75" x14ac:dyDescent="0.3">
      <c r="A133" s="740" t="s">
        <v>147</v>
      </c>
      <c r="B133" s="740"/>
      <c r="C133" s="740"/>
      <c r="D133" s="23">
        <f>ROUND(D132*D131,2)</f>
        <v>3551.03</v>
      </c>
      <c r="E133" s="65"/>
      <c r="F133" s="64"/>
    </row>
    <row r="134" spans="1:9" ht="18.75" x14ac:dyDescent="0.3">
      <c r="E134" s="65"/>
      <c r="F134" s="64"/>
    </row>
    <row r="135" spans="1:9" ht="18.75" x14ac:dyDescent="0.3">
      <c r="A135" s="727" t="s">
        <v>148</v>
      </c>
      <c r="B135" s="727"/>
      <c r="C135" s="727"/>
      <c r="D135" s="727"/>
      <c r="F135" s="64"/>
    </row>
    <row r="136" spans="1:9" x14ac:dyDescent="0.25">
      <c r="A136" s="117" t="s">
        <v>13</v>
      </c>
      <c r="B136" s="731" t="s">
        <v>149</v>
      </c>
      <c r="C136" s="731"/>
      <c r="D136" s="18">
        <f>D129</f>
        <v>3551.03</v>
      </c>
    </row>
    <row r="137" spans="1:9" x14ac:dyDescent="0.25">
      <c r="A137" s="117" t="s">
        <v>15</v>
      </c>
      <c r="B137" s="731" t="s">
        <v>150</v>
      </c>
      <c r="C137" s="731"/>
      <c r="D137" s="18">
        <f>D133</f>
        <v>3551.03</v>
      </c>
    </row>
    <row r="138" spans="1:9" ht="12.75" x14ac:dyDescent="0.2">
      <c r="A138" s="113" t="s">
        <v>18</v>
      </c>
      <c r="B138" s="740" t="s">
        <v>151</v>
      </c>
      <c r="C138" s="740"/>
      <c r="D138" s="23">
        <f>ROUND(D137*12,2)</f>
        <v>42612.36</v>
      </c>
      <c r="F138" s="9"/>
    </row>
    <row r="139" spans="1:9" x14ac:dyDescent="0.25">
      <c r="A139" s="30"/>
      <c r="F139" s="9"/>
    </row>
    <row r="140" spans="1:9" x14ac:dyDescent="0.25">
      <c r="A140" s="30"/>
    </row>
    <row r="141" spans="1:9" x14ac:dyDescent="0.25">
      <c r="A141" s="753" t="s">
        <v>484</v>
      </c>
      <c r="B141" s="754"/>
    </row>
    <row r="142" spans="1:9" x14ac:dyDescent="0.25">
      <c r="A142" s="30"/>
      <c r="F142" s="9"/>
    </row>
    <row r="143" spans="1:9" x14ac:dyDescent="0.25">
      <c r="A143" s="30"/>
      <c r="F143" s="9"/>
      <c r="G143" s="50"/>
    </row>
    <row r="144" spans="1:9" x14ac:dyDescent="0.25">
      <c r="A144" s="755" t="s">
        <v>153</v>
      </c>
      <c r="B144" s="755"/>
      <c r="F144" s="9"/>
      <c r="G144" s="51"/>
    </row>
    <row r="145" spans="1:8" x14ac:dyDescent="0.25">
      <c r="A145" s="756" t="s">
        <v>154</v>
      </c>
      <c r="B145" s="756"/>
      <c r="F145" s="9"/>
    </row>
    <row r="146" spans="1:8" x14ac:dyDescent="0.25">
      <c r="A146" s="752" t="s">
        <v>155</v>
      </c>
      <c r="B146" s="752"/>
      <c r="F146" s="9"/>
    </row>
    <row r="147" spans="1:8" x14ac:dyDescent="0.25">
      <c r="F147" s="52"/>
      <c r="H147" s="1"/>
    </row>
    <row r="148" spans="1:8" x14ac:dyDescent="0.25">
      <c r="F148" s="9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52"/>
    </row>
    <row r="156" spans="1:8" x14ac:dyDescent="0.25">
      <c r="F156" s="9"/>
    </row>
  </sheetData>
  <mergeCells count="67">
    <mergeCell ref="A146:B146"/>
    <mergeCell ref="A130:C130"/>
    <mergeCell ref="A131:C131"/>
    <mergeCell ref="A132:C132"/>
    <mergeCell ref="A133:C133"/>
    <mergeCell ref="A135:D135"/>
    <mergeCell ref="B136:C136"/>
    <mergeCell ref="B137:C137"/>
    <mergeCell ref="B138:C138"/>
    <mergeCell ref="A141:B141"/>
    <mergeCell ref="A144:B144"/>
    <mergeCell ref="A145:B145"/>
    <mergeCell ref="A129:C129"/>
    <mergeCell ref="A117:D117"/>
    <mergeCell ref="A118:D118"/>
    <mergeCell ref="B119:C119"/>
    <mergeCell ref="B120:C120"/>
    <mergeCell ref="B121:C121"/>
    <mergeCell ref="B122:C122"/>
    <mergeCell ref="A123:C123"/>
    <mergeCell ref="B124:C124"/>
    <mergeCell ref="A125:C125"/>
    <mergeCell ref="A127:D127"/>
    <mergeCell ref="A128:C128"/>
    <mergeCell ref="A115:C115"/>
    <mergeCell ref="A68:B68"/>
    <mergeCell ref="A70:B70"/>
    <mergeCell ref="A73:B73"/>
    <mergeCell ref="A75:B75"/>
    <mergeCell ref="A77:B77"/>
    <mergeCell ref="A84:B84"/>
    <mergeCell ref="A86:B86"/>
    <mergeCell ref="A93:B93"/>
    <mergeCell ref="A95:B95"/>
    <mergeCell ref="A97:D97"/>
    <mergeCell ref="B98:C98"/>
    <mergeCell ref="A59:B59"/>
    <mergeCell ref="C23:D23"/>
    <mergeCell ref="C24:D24"/>
    <mergeCell ref="C25:D25"/>
    <mergeCell ref="C26:D26"/>
    <mergeCell ref="A27:D27"/>
    <mergeCell ref="A38:B38"/>
    <mergeCell ref="A40:D40"/>
    <mergeCell ref="A48:B48"/>
    <mergeCell ref="A50:D50"/>
    <mergeCell ref="A56:B56"/>
    <mergeCell ref="A58:D58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3" zoomScaleNormal="85" zoomScaleSheetLayoutView="100" workbookViewId="0">
      <selection activeCell="C43" sqref="C43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14.7109375" style="53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28" t="s">
        <v>490</v>
      </c>
      <c r="D10" s="725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498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486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117">
        <v>2</v>
      </c>
      <c r="B23" s="8" t="s">
        <v>33</v>
      </c>
      <c r="C23" s="784">
        <f>'REPACTUAÇÃO SIEMACO 2013'!J13</f>
        <v>1334</v>
      </c>
      <c r="D23" s="784"/>
    </row>
    <row r="24" spans="1:5" ht="12.75" x14ac:dyDescent="0.2">
      <c r="A24" s="117">
        <v>3</v>
      </c>
      <c r="B24" s="8" t="s">
        <v>34</v>
      </c>
      <c r="C24" s="724" t="s">
        <v>35</v>
      </c>
      <c r="D24" s="725"/>
    </row>
    <row r="25" spans="1:5" ht="12.75" x14ac:dyDescent="0.2">
      <c r="A25" s="117">
        <v>4</v>
      </c>
      <c r="B25" s="8" t="s">
        <v>36</v>
      </c>
      <c r="C25" s="728">
        <v>40909</v>
      </c>
      <c r="D25" s="725"/>
    </row>
    <row r="26" spans="1:5" ht="12.75" x14ac:dyDescent="0.2">
      <c r="A26" s="11"/>
      <c r="B26" s="12"/>
      <c r="C26" s="743"/>
      <c r="D26" s="743"/>
    </row>
    <row r="27" spans="1:5" ht="12.75" x14ac:dyDescent="0.2">
      <c r="A27" s="736" t="s">
        <v>37</v>
      </c>
      <c r="B27" s="736"/>
      <c r="C27" s="736"/>
      <c r="D27" s="736"/>
    </row>
    <row r="28" spans="1:5" ht="12.75" x14ac:dyDescent="0.2">
      <c r="A28" s="113">
        <v>1</v>
      </c>
      <c r="B28" s="14" t="s">
        <v>38</v>
      </c>
      <c r="C28" s="15" t="s">
        <v>39</v>
      </c>
      <c r="D28" s="16" t="s">
        <v>40</v>
      </c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2013'!J13</f>
        <v>1334</v>
      </c>
      <c r="E29" s="536"/>
    </row>
    <row r="30" spans="1:5" x14ac:dyDescent="0.25">
      <c r="A30" s="43" t="s">
        <v>15</v>
      </c>
      <c r="B30" s="526" t="s">
        <v>508</v>
      </c>
      <c r="C30" s="537">
        <v>0.05</v>
      </c>
      <c r="D30" s="535">
        <f>C30*D29</f>
        <v>66.7</v>
      </c>
      <c r="E30" s="554"/>
    </row>
    <row r="31" spans="1:5" x14ac:dyDescent="0.25">
      <c r="A31" s="43" t="s">
        <v>18</v>
      </c>
      <c r="B31" s="541" t="s">
        <v>497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>
        <v>0</v>
      </c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v>0</v>
      </c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771" t="s">
        <v>55</v>
      </c>
      <c r="B38" s="772"/>
      <c r="C38" s="534"/>
      <c r="D38" s="542">
        <f>ROUND(SUM(D29:D37),2)</f>
        <v>1400.7</v>
      </c>
      <c r="E38" s="554"/>
    </row>
    <row r="39" spans="1:5" x14ac:dyDescent="0.25">
      <c r="A39" s="543"/>
      <c r="B39" s="543"/>
      <c r="C39" s="544"/>
      <c r="D39" s="545"/>
      <c r="E39" s="554"/>
    </row>
    <row r="40" spans="1:5" ht="12.75" x14ac:dyDescent="0.2">
      <c r="A40" s="773" t="s">
        <v>56</v>
      </c>
      <c r="B40" s="774"/>
      <c r="C40" s="774"/>
      <c r="D40" s="775"/>
      <c r="E40" s="554"/>
    </row>
    <row r="41" spans="1:5" ht="12.75" x14ac:dyDescent="0.2">
      <c r="A41" s="530">
        <v>2</v>
      </c>
      <c r="B41" s="546" t="s">
        <v>57</v>
      </c>
      <c r="C41" s="532" t="s">
        <v>58</v>
      </c>
      <c r="D41" s="533" t="s">
        <v>40</v>
      </c>
      <c r="E41" s="554"/>
    </row>
    <row r="42" spans="1:5" ht="13.5" customHeight="1" x14ac:dyDescent="0.25">
      <c r="A42" s="43" t="s">
        <v>13</v>
      </c>
      <c r="B42" s="547" t="s">
        <v>59</v>
      </c>
      <c r="C42" s="535">
        <v>3.3</v>
      </c>
      <c r="D42" s="535">
        <f>ROUND((C42*44)-(D29*6%),2)</f>
        <v>65.16</v>
      </c>
      <c r="E42" s="557"/>
    </row>
    <row r="43" spans="1:5" ht="13.5" customHeight="1" x14ac:dyDescent="0.25">
      <c r="A43" s="43" t="s">
        <v>15</v>
      </c>
      <c r="B43" s="549" t="s">
        <v>60</v>
      </c>
      <c r="C43" s="535">
        <v>235</v>
      </c>
      <c r="D43" s="535">
        <f>'REPACTUAÇÃO SIEMACO 2013'!K33</f>
        <v>326</v>
      </c>
      <c r="E43" s="550"/>
    </row>
    <row r="44" spans="1:5" ht="13.5" customHeight="1" x14ac:dyDescent="0.25">
      <c r="A44" s="43" t="s">
        <v>18</v>
      </c>
      <c r="B44" s="549" t="s">
        <v>157</v>
      </c>
      <c r="C44" s="535">
        <f>235/12</f>
        <v>19.583333333333332</v>
      </c>
      <c r="D44" s="535">
        <f>'REPACTUAÇÃO SIEMACO 2013'!K42</f>
        <v>27.17</v>
      </c>
      <c r="E44" s="550"/>
    </row>
    <row r="45" spans="1:5" ht="13.5" customHeight="1" x14ac:dyDescent="0.25">
      <c r="A45" s="117" t="s">
        <v>20</v>
      </c>
      <c r="B45" s="27" t="s">
        <v>169</v>
      </c>
      <c r="C45" s="18">
        <v>45</v>
      </c>
      <c r="D45" s="18">
        <f>'REPACTUAÇÃO SIEMACO 2013'!K45</f>
        <v>22</v>
      </c>
    </row>
    <row r="46" spans="1:5" ht="13.5" customHeight="1" x14ac:dyDescent="0.25">
      <c r="A46" s="117" t="s">
        <v>45</v>
      </c>
      <c r="B46" s="27" t="s">
        <v>170</v>
      </c>
      <c r="C46" s="18">
        <v>8</v>
      </c>
      <c r="D46" s="18">
        <f>ROUND(C46*$C$29,2)</f>
        <v>8</v>
      </c>
    </row>
    <row r="47" spans="1:5" ht="13.5" customHeight="1" x14ac:dyDescent="0.25">
      <c r="A47" s="117" t="s">
        <v>47</v>
      </c>
      <c r="B47" s="27" t="s">
        <v>64</v>
      </c>
      <c r="C47" s="18">
        <v>0</v>
      </c>
      <c r="D47" s="18">
        <f>ROUND(C47*$C$29,2)</f>
        <v>0</v>
      </c>
    </row>
    <row r="48" spans="1:5" ht="13.5" customHeight="1" x14ac:dyDescent="0.25">
      <c r="A48" s="744" t="s">
        <v>65</v>
      </c>
      <c r="B48" s="745"/>
      <c r="C48" s="29"/>
      <c r="D48" s="23">
        <f>ROUND(SUM(D42:D47),2)</f>
        <v>448.33</v>
      </c>
    </row>
    <row r="49" spans="1:5" ht="13.5" customHeight="1" x14ac:dyDescent="0.25">
      <c r="A49" s="30"/>
    </row>
    <row r="50" spans="1:5" ht="13.5" customHeight="1" x14ac:dyDescent="0.2">
      <c r="A50" s="746" t="s">
        <v>66</v>
      </c>
      <c r="B50" s="747"/>
      <c r="C50" s="747"/>
      <c r="D50" s="748"/>
    </row>
    <row r="51" spans="1:5" ht="13.5" customHeight="1" x14ac:dyDescent="0.2">
      <c r="A51" s="113">
        <v>3</v>
      </c>
      <c r="B51" s="24" t="s">
        <v>67</v>
      </c>
      <c r="C51" s="15" t="s">
        <v>68</v>
      </c>
      <c r="D51" s="16" t="s">
        <v>40</v>
      </c>
    </row>
    <row r="52" spans="1:5" x14ac:dyDescent="0.25">
      <c r="A52" s="117" t="s">
        <v>13</v>
      </c>
      <c r="B52" s="8" t="s">
        <v>69</v>
      </c>
      <c r="C52" s="91">
        <f>'Uniforme 2'!D10</f>
        <v>41.333333333333336</v>
      </c>
      <c r="D52" s="18">
        <f>ROUND(C52*$C$29,2)</f>
        <v>41.33</v>
      </c>
    </row>
    <row r="53" spans="1:5" x14ac:dyDescent="0.25">
      <c r="A53" s="117" t="s">
        <v>15</v>
      </c>
      <c r="B53" s="32" t="s">
        <v>204</v>
      </c>
      <c r="C53" s="91"/>
      <c r="D53" s="18"/>
      <c r="E53" s="58"/>
    </row>
    <row r="54" spans="1:5" x14ac:dyDescent="0.25">
      <c r="A54" s="117" t="s">
        <v>18</v>
      </c>
      <c r="B54" s="8" t="s">
        <v>71</v>
      </c>
      <c r="C54" s="91">
        <f>Manut.!B77</f>
        <v>119.96105000000001</v>
      </c>
      <c r="D54" s="18">
        <f>ROUND(C54*$C$29,2)</f>
        <v>119.96</v>
      </c>
    </row>
    <row r="55" spans="1:5" x14ac:dyDescent="0.25">
      <c r="A55" s="117" t="s">
        <v>20</v>
      </c>
      <c r="B55" s="32" t="s">
        <v>72</v>
      </c>
      <c r="C55" s="110">
        <f>Epis!D11</f>
        <v>16.010000000000002</v>
      </c>
      <c r="D55" s="18">
        <f>C55</f>
        <v>16.010000000000002</v>
      </c>
      <c r="E55" s="58"/>
    </row>
    <row r="56" spans="1:5" x14ac:dyDescent="0.25">
      <c r="A56" s="744" t="s">
        <v>73</v>
      </c>
      <c r="B56" s="745"/>
      <c r="C56" s="29"/>
      <c r="D56" s="23">
        <f>ROUND(SUM(D52:D55),2)</f>
        <v>177.3</v>
      </c>
      <c r="E56" s="58"/>
    </row>
    <row r="58" spans="1:5" ht="12.75" x14ac:dyDescent="0.2">
      <c r="A58" s="746" t="s">
        <v>74</v>
      </c>
      <c r="B58" s="747"/>
      <c r="C58" s="747"/>
      <c r="D58" s="748"/>
    </row>
    <row r="59" spans="1:5" ht="12.75" x14ac:dyDescent="0.2">
      <c r="A59" s="740" t="s">
        <v>75</v>
      </c>
      <c r="B59" s="740"/>
      <c r="C59" s="15" t="s">
        <v>68</v>
      </c>
      <c r="D59" s="16" t="s">
        <v>40</v>
      </c>
    </row>
    <row r="60" spans="1:5" x14ac:dyDescent="0.25">
      <c r="A60" s="116" t="s">
        <v>13</v>
      </c>
      <c r="B60" s="32" t="s">
        <v>76</v>
      </c>
      <c r="C60" s="29">
        <v>0.2</v>
      </c>
      <c r="D60" s="18">
        <f>ROUND($D$38*C60,2)</f>
        <v>280.14</v>
      </c>
    </row>
    <row r="61" spans="1:5" x14ac:dyDescent="0.25">
      <c r="A61" s="116" t="s">
        <v>15</v>
      </c>
      <c r="B61" s="32" t="s">
        <v>77</v>
      </c>
      <c r="C61" s="29">
        <v>1.4999999999999999E-2</v>
      </c>
      <c r="D61" s="18">
        <f>ROUND($D$38*C61,2)</f>
        <v>21.01</v>
      </c>
    </row>
    <row r="62" spans="1:5" x14ac:dyDescent="0.25">
      <c r="A62" s="116" t="s">
        <v>18</v>
      </c>
      <c r="B62" s="32" t="s">
        <v>78</v>
      </c>
      <c r="C62" s="29">
        <v>0.01</v>
      </c>
      <c r="D62" s="18">
        <f t="shared" ref="D62:D67" si="0">ROUND($D$38*C62,2)</f>
        <v>14.01</v>
      </c>
    </row>
    <row r="63" spans="1:5" x14ac:dyDescent="0.25">
      <c r="A63" s="116" t="s">
        <v>20</v>
      </c>
      <c r="B63" s="32" t="s">
        <v>79</v>
      </c>
      <c r="C63" s="29">
        <v>2E-3</v>
      </c>
      <c r="D63" s="18">
        <f t="shared" si="0"/>
        <v>2.8</v>
      </c>
    </row>
    <row r="64" spans="1:5" x14ac:dyDescent="0.25">
      <c r="A64" s="116" t="s">
        <v>45</v>
      </c>
      <c r="B64" s="32" t="s">
        <v>80</v>
      </c>
      <c r="C64" s="29">
        <v>2.5000000000000001E-2</v>
      </c>
      <c r="D64" s="18">
        <f t="shared" si="0"/>
        <v>35.020000000000003</v>
      </c>
    </row>
    <row r="65" spans="1:6" x14ac:dyDescent="0.25">
      <c r="A65" s="116" t="s">
        <v>47</v>
      </c>
      <c r="B65" s="32" t="s">
        <v>81</v>
      </c>
      <c r="C65" s="29">
        <v>0.08</v>
      </c>
      <c r="D65" s="18">
        <f t="shared" si="0"/>
        <v>112.06</v>
      </c>
    </row>
    <row r="66" spans="1:6" x14ac:dyDescent="0.25">
      <c r="A66" s="116" t="s">
        <v>49</v>
      </c>
      <c r="B66" s="32" t="s">
        <v>82</v>
      </c>
      <c r="C66" s="29">
        <f>2%*F70</f>
        <v>0.03</v>
      </c>
      <c r="D66" s="18">
        <f t="shared" si="0"/>
        <v>42.02</v>
      </c>
    </row>
    <row r="67" spans="1:6" x14ac:dyDescent="0.25">
      <c r="A67" s="116" t="s">
        <v>51</v>
      </c>
      <c r="B67" s="32" t="s">
        <v>83</v>
      </c>
      <c r="C67" s="29">
        <v>6.0000000000000001E-3</v>
      </c>
      <c r="D67" s="18">
        <f t="shared" si="0"/>
        <v>8.4</v>
      </c>
    </row>
    <row r="68" spans="1:6" ht="12.75" x14ac:dyDescent="0.2">
      <c r="A68" s="744" t="s">
        <v>84</v>
      </c>
      <c r="B68" s="750"/>
      <c r="C68" s="34">
        <f>SUM(C60:C67)</f>
        <v>0.3680000000000001</v>
      </c>
      <c r="D68" s="23">
        <f>ROUND(SUM(D60:D67),2)</f>
        <v>515.46</v>
      </c>
    </row>
    <row r="69" spans="1:6" x14ac:dyDescent="0.25">
      <c r="A69" s="1"/>
      <c r="B69" s="1"/>
    </row>
    <row r="70" spans="1:6" ht="12.75" x14ac:dyDescent="0.2">
      <c r="A70" s="740" t="s">
        <v>85</v>
      </c>
      <c r="B70" s="740"/>
      <c r="C70" s="15" t="s">
        <v>68</v>
      </c>
      <c r="D70" s="16" t="s">
        <v>40</v>
      </c>
      <c r="F70" s="59">
        <v>1.5</v>
      </c>
    </row>
    <row r="71" spans="1:6" x14ac:dyDescent="0.25">
      <c r="A71" s="116" t="s">
        <v>13</v>
      </c>
      <c r="B71" s="32" t="s">
        <v>87</v>
      </c>
      <c r="C71" s="29">
        <v>8.3299999999999999E-2</v>
      </c>
      <c r="D71" s="18">
        <f>ROUND($D$38*C71,2)</f>
        <v>116.68</v>
      </c>
    </row>
    <row r="72" spans="1:6" x14ac:dyDescent="0.25">
      <c r="A72" s="116" t="s">
        <v>15</v>
      </c>
      <c r="B72" s="32" t="s">
        <v>88</v>
      </c>
      <c r="C72" s="29">
        <f>C87/3</f>
        <v>2.7766666666666665E-2</v>
      </c>
      <c r="D72" s="18">
        <f>ROUND($D$38*C72,2)</f>
        <v>38.89</v>
      </c>
    </row>
    <row r="73" spans="1:6" ht="12.75" x14ac:dyDescent="0.2">
      <c r="A73" s="729" t="s">
        <v>89</v>
      </c>
      <c r="B73" s="729"/>
      <c r="C73" s="34">
        <f>SUM(C71:C72)</f>
        <v>0.11106666666666666</v>
      </c>
      <c r="D73" s="23">
        <f>ROUND(SUM(D71:D72),2)</f>
        <v>155.57</v>
      </c>
    </row>
    <row r="74" spans="1:6" x14ac:dyDescent="0.25">
      <c r="A74" s="116" t="s">
        <v>18</v>
      </c>
      <c r="B74" s="32" t="s">
        <v>90</v>
      </c>
      <c r="C74" s="29">
        <f>C68*C73</f>
        <v>4.0872533333333343E-2</v>
      </c>
      <c r="D74" s="18">
        <f>ROUND($D$38*C74,2)</f>
        <v>57.25</v>
      </c>
    </row>
    <row r="75" spans="1:6" ht="12.75" x14ac:dyDescent="0.2">
      <c r="A75" s="729" t="s">
        <v>91</v>
      </c>
      <c r="B75" s="729"/>
      <c r="C75" s="34">
        <f>C74+C73</f>
        <v>0.1519392</v>
      </c>
      <c r="D75" s="23">
        <f>ROUND(D74+D73,2)</f>
        <v>212.82</v>
      </c>
    </row>
    <row r="76" spans="1:6" x14ac:dyDescent="0.25">
      <c r="A76" s="1"/>
      <c r="B76" s="1"/>
      <c r="E76" s="60"/>
    </row>
    <row r="77" spans="1:6" ht="12.75" x14ac:dyDescent="0.2">
      <c r="A77" s="737" t="s">
        <v>92</v>
      </c>
      <c r="B77" s="739"/>
      <c r="C77" s="15" t="s">
        <v>68</v>
      </c>
      <c r="D77" s="16" t="s">
        <v>40</v>
      </c>
    </row>
    <row r="78" spans="1:6" x14ac:dyDescent="0.25">
      <c r="A78" s="116" t="s">
        <v>13</v>
      </c>
      <c r="B78" s="32" t="s">
        <v>93</v>
      </c>
      <c r="C78" s="29">
        <v>1E-3</v>
      </c>
      <c r="D78" s="18">
        <f t="shared" ref="D78:D83" si="1">ROUND($D$38*C78,2)</f>
        <v>1.4</v>
      </c>
    </row>
    <row r="79" spans="1:6" x14ac:dyDescent="0.25">
      <c r="A79" s="116" t="s">
        <v>15</v>
      </c>
      <c r="B79" s="32" t="s">
        <v>94</v>
      </c>
      <c r="C79" s="29">
        <f>C65*C78</f>
        <v>8.0000000000000007E-5</v>
      </c>
      <c r="D79" s="18">
        <f t="shared" si="1"/>
        <v>0.11</v>
      </c>
    </row>
    <row r="80" spans="1:6" x14ac:dyDescent="0.25">
      <c r="A80" s="116" t="s">
        <v>18</v>
      </c>
      <c r="B80" s="32" t="s">
        <v>95</v>
      </c>
      <c r="C80" s="29">
        <f>C65*10%</f>
        <v>8.0000000000000002E-3</v>
      </c>
      <c r="D80" s="18">
        <f t="shared" si="1"/>
        <v>11.21</v>
      </c>
    </row>
    <row r="81" spans="1:5" x14ac:dyDescent="0.25">
      <c r="A81" s="117" t="s">
        <v>20</v>
      </c>
      <c r="B81" s="8" t="s">
        <v>96</v>
      </c>
      <c r="C81" s="29">
        <v>1.9400000000000001E-2</v>
      </c>
      <c r="D81" s="18">
        <f t="shared" si="1"/>
        <v>27.17</v>
      </c>
    </row>
    <row r="82" spans="1:5" x14ac:dyDescent="0.25">
      <c r="A82" s="117" t="s">
        <v>45</v>
      </c>
      <c r="B82" s="8" t="s">
        <v>97</v>
      </c>
      <c r="C82" s="29">
        <f>C68*C81</f>
        <v>7.1392000000000027E-3</v>
      </c>
      <c r="D82" s="18">
        <f t="shared" si="1"/>
        <v>10</v>
      </c>
    </row>
    <row r="83" spans="1:5" x14ac:dyDescent="0.25">
      <c r="A83" s="117" t="s">
        <v>47</v>
      </c>
      <c r="B83" s="8" t="s">
        <v>98</v>
      </c>
      <c r="C83" s="29">
        <v>4.4200000000000003E-2</v>
      </c>
      <c r="D83" s="18">
        <f t="shared" si="1"/>
        <v>61.91</v>
      </c>
    </row>
    <row r="84" spans="1:5" ht="12.75" x14ac:dyDescent="0.2">
      <c r="A84" s="729" t="s">
        <v>91</v>
      </c>
      <c r="B84" s="729"/>
      <c r="C84" s="34">
        <f>SUM(C78:C83)</f>
        <v>7.9819200000000007E-2</v>
      </c>
      <c r="D84" s="23">
        <f>ROUND(SUM(D78:D83),2)</f>
        <v>111.8</v>
      </c>
    </row>
    <row r="85" spans="1:5" x14ac:dyDescent="0.25">
      <c r="E85" s="60"/>
    </row>
    <row r="86" spans="1:5" ht="12.75" x14ac:dyDescent="0.2">
      <c r="A86" s="737" t="s">
        <v>99</v>
      </c>
      <c r="B86" s="739"/>
      <c r="C86" s="15" t="s">
        <v>68</v>
      </c>
      <c r="D86" s="16" t="s">
        <v>40</v>
      </c>
      <c r="E86" s="60"/>
    </row>
    <row r="87" spans="1:5" x14ac:dyDescent="0.25">
      <c r="A87" s="117" t="s">
        <v>13</v>
      </c>
      <c r="B87" s="8" t="s">
        <v>100</v>
      </c>
      <c r="C87" s="29">
        <v>8.3299999999999999E-2</v>
      </c>
      <c r="D87" s="18">
        <f t="shared" ref="D87:D94" si="2">ROUND($D$38*C87,2)</f>
        <v>116.68</v>
      </c>
      <c r="E87" s="60"/>
    </row>
    <row r="88" spans="1:5" x14ac:dyDescent="0.25">
      <c r="A88" s="117" t="s">
        <v>15</v>
      </c>
      <c r="B88" s="8" t="s">
        <v>101</v>
      </c>
      <c r="C88" s="29">
        <v>2.3999999999999998E-3</v>
      </c>
      <c r="D88" s="18">
        <f t="shared" si="2"/>
        <v>3.36</v>
      </c>
    </row>
    <row r="89" spans="1:5" x14ac:dyDescent="0.25">
      <c r="A89" s="117" t="s">
        <v>18</v>
      </c>
      <c r="B89" s="32" t="s">
        <v>102</v>
      </c>
      <c r="C89" s="29">
        <v>2.0000000000000001E-4</v>
      </c>
      <c r="D89" s="18">
        <f t="shared" si="2"/>
        <v>0.28000000000000003</v>
      </c>
    </row>
    <row r="90" spans="1:5" x14ac:dyDescent="0.25">
      <c r="A90" s="117" t="s">
        <v>20</v>
      </c>
      <c r="B90" s="8" t="s">
        <v>103</v>
      </c>
      <c r="C90" s="29">
        <v>1.4E-3</v>
      </c>
      <c r="D90" s="18">
        <f t="shared" si="2"/>
        <v>1.96</v>
      </c>
    </row>
    <row r="91" spans="1:5" x14ac:dyDescent="0.25">
      <c r="A91" s="117" t="s">
        <v>45</v>
      </c>
      <c r="B91" s="8" t="s">
        <v>104</v>
      </c>
      <c r="C91" s="29">
        <v>4.0000000000000002E-4</v>
      </c>
      <c r="D91" s="18">
        <f t="shared" si="2"/>
        <v>0.56000000000000005</v>
      </c>
    </row>
    <row r="92" spans="1:5" x14ac:dyDescent="0.25">
      <c r="A92" s="117" t="s">
        <v>47</v>
      </c>
      <c r="B92" s="32" t="s">
        <v>105</v>
      </c>
      <c r="C92" s="29">
        <v>2.0000000000000001E-4</v>
      </c>
      <c r="D92" s="18">
        <f t="shared" si="2"/>
        <v>0.28000000000000003</v>
      </c>
    </row>
    <row r="93" spans="1:5" ht="12.75" x14ac:dyDescent="0.2">
      <c r="A93" s="729" t="s">
        <v>89</v>
      </c>
      <c r="B93" s="729"/>
      <c r="C93" s="34">
        <f>SUM(C87:C92)</f>
        <v>8.7900000000000006E-2</v>
      </c>
      <c r="D93" s="23">
        <f>ROUND($D$38*C93,2)</f>
        <v>123.12</v>
      </c>
    </row>
    <row r="94" spans="1:5" x14ac:dyDescent="0.25">
      <c r="A94" s="117" t="s">
        <v>49</v>
      </c>
      <c r="B94" s="8" t="s">
        <v>106</v>
      </c>
      <c r="C94" s="29">
        <f>C68*C93</f>
        <v>3.2347200000000013E-2</v>
      </c>
      <c r="D94" s="18">
        <f t="shared" si="2"/>
        <v>45.31</v>
      </c>
    </row>
    <row r="95" spans="1:5" ht="12.75" x14ac:dyDescent="0.2">
      <c r="A95" s="729" t="s">
        <v>91</v>
      </c>
      <c r="B95" s="729"/>
      <c r="C95" s="34">
        <f>C94+C93</f>
        <v>0.12024720000000003</v>
      </c>
      <c r="D95" s="23">
        <f>ROUND(D94+D93,2)</f>
        <v>168.43</v>
      </c>
    </row>
    <row r="97" spans="1:6" ht="12.75" x14ac:dyDescent="0.2">
      <c r="A97" s="736" t="s">
        <v>107</v>
      </c>
      <c r="B97" s="736"/>
      <c r="C97" s="736"/>
      <c r="D97" s="736"/>
    </row>
    <row r="98" spans="1:6" ht="12.75" x14ac:dyDescent="0.2">
      <c r="A98" s="113">
        <v>4</v>
      </c>
      <c r="B98" s="740" t="s">
        <v>108</v>
      </c>
      <c r="C98" s="740"/>
      <c r="D98" s="16" t="s">
        <v>40</v>
      </c>
    </row>
    <row r="99" spans="1:6" x14ac:dyDescent="0.25">
      <c r="A99" s="117" t="s">
        <v>109</v>
      </c>
      <c r="B99" s="37" t="s">
        <v>110</v>
      </c>
      <c r="C99" s="38">
        <f>C75</f>
        <v>0.1519392</v>
      </c>
      <c r="D99" s="18">
        <f>ROUND($D$38*C99,2)</f>
        <v>212.82</v>
      </c>
      <c r="E99" s="60"/>
    </row>
    <row r="100" spans="1:6" x14ac:dyDescent="0.25">
      <c r="A100" s="117" t="s">
        <v>111</v>
      </c>
      <c r="B100" s="37" t="s">
        <v>112</v>
      </c>
      <c r="C100" s="38">
        <f>C68</f>
        <v>0.3680000000000001</v>
      </c>
      <c r="D100" s="18">
        <f>ROUND($D$38*C100,2)</f>
        <v>515.46</v>
      </c>
    </row>
    <row r="101" spans="1:6" x14ac:dyDescent="0.25">
      <c r="A101" s="116" t="s">
        <v>113</v>
      </c>
      <c r="B101" s="37" t="s">
        <v>114</v>
      </c>
      <c r="C101" s="38">
        <f>C84</f>
        <v>7.9819200000000007E-2</v>
      </c>
      <c r="D101" s="18">
        <f>ROUND($D$38*C101,2)</f>
        <v>111.8</v>
      </c>
    </row>
    <row r="102" spans="1:6" x14ac:dyDescent="0.25">
      <c r="A102" s="116" t="s">
        <v>115</v>
      </c>
      <c r="B102" s="37" t="s">
        <v>116</v>
      </c>
      <c r="C102" s="38">
        <f>C95</f>
        <v>0.12024720000000003</v>
      </c>
      <c r="D102" s="18">
        <f>ROUND($D$38*C102,2)</f>
        <v>168.43</v>
      </c>
    </row>
    <row r="103" spans="1:6" x14ac:dyDescent="0.25">
      <c r="A103" s="116" t="s">
        <v>117</v>
      </c>
      <c r="B103" s="37" t="s">
        <v>118</v>
      </c>
      <c r="C103" s="114"/>
      <c r="D103" s="18"/>
    </row>
    <row r="104" spans="1:6" ht="12.75" x14ac:dyDescent="0.2">
      <c r="A104" s="117"/>
      <c r="B104" s="115" t="s">
        <v>91</v>
      </c>
      <c r="C104" s="41">
        <f>SUM(C99:C103)</f>
        <v>0.72000560000000002</v>
      </c>
      <c r="D104" s="23">
        <f>ROUND($D$38*C104,2)</f>
        <v>1008.51</v>
      </c>
    </row>
    <row r="105" spans="1:6" x14ac:dyDescent="0.25">
      <c r="D105" s="42">
        <f>ROUND(D104+D56+D48+D38,2)</f>
        <v>3034.84</v>
      </c>
    </row>
    <row r="106" spans="1:6" ht="12.75" x14ac:dyDescent="0.2">
      <c r="A106" s="113">
        <v>5</v>
      </c>
      <c r="B106" s="24" t="s">
        <v>119</v>
      </c>
      <c r="C106" s="15" t="s">
        <v>68</v>
      </c>
      <c r="D106" s="16" t="s">
        <v>40</v>
      </c>
      <c r="E106" s="60"/>
    </row>
    <row r="107" spans="1:6" x14ac:dyDescent="0.25">
      <c r="A107" s="117" t="s">
        <v>13</v>
      </c>
      <c r="B107" s="8" t="s">
        <v>120</v>
      </c>
      <c r="C107" s="29">
        <v>0.01</v>
      </c>
      <c r="D107" s="18">
        <f>ROUND($D$105*C107,2)</f>
        <v>30.35</v>
      </c>
    </row>
    <row r="108" spans="1:6" x14ac:dyDescent="0.25">
      <c r="A108" s="117" t="s">
        <v>15</v>
      </c>
      <c r="B108" s="8" t="s">
        <v>121</v>
      </c>
      <c r="C108" s="29"/>
      <c r="D108" s="18"/>
      <c r="E108" s="58"/>
    </row>
    <row r="109" spans="1:6" x14ac:dyDescent="0.25">
      <c r="A109" s="43" t="s">
        <v>122</v>
      </c>
      <c r="B109" s="8" t="s">
        <v>123</v>
      </c>
      <c r="C109" s="29">
        <v>0</v>
      </c>
      <c r="D109" s="18">
        <v>0</v>
      </c>
    </row>
    <row r="110" spans="1:6" x14ac:dyDescent="0.25">
      <c r="A110" s="43" t="s">
        <v>124</v>
      </c>
      <c r="B110" s="8" t="s">
        <v>125</v>
      </c>
      <c r="C110" s="29">
        <v>0</v>
      </c>
      <c r="D110" s="18">
        <v>0</v>
      </c>
    </row>
    <row r="111" spans="1:6" x14ac:dyDescent="0.25">
      <c r="A111" s="43" t="s">
        <v>126</v>
      </c>
      <c r="B111" s="8" t="s">
        <v>127</v>
      </c>
      <c r="C111" s="29">
        <v>1.6500000000000001E-2</v>
      </c>
      <c r="D111" s="18">
        <f>ROUND($F$114*C111,2)</f>
        <v>59.28</v>
      </c>
    </row>
    <row r="112" spans="1:6" x14ac:dyDescent="0.25">
      <c r="A112" s="43" t="s">
        <v>128</v>
      </c>
      <c r="B112" s="8" t="s">
        <v>129</v>
      </c>
      <c r="C112" s="29">
        <v>7.5999999999999998E-2</v>
      </c>
      <c r="D112" s="18">
        <f>ROUND($F$114*C112,2)</f>
        <v>273.02999999999997</v>
      </c>
      <c r="F112" s="61">
        <f>SUM(C109:C113)</f>
        <v>0.14250000000000002</v>
      </c>
    </row>
    <row r="113" spans="1:9" x14ac:dyDescent="0.25">
      <c r="A113" s="43" t="s">
        <v>130</v>
      </c>
      <c r="B113" s="8" t="s">
        <v>131</v>
      </c>
      <c r="C113" s="45">
        <v>0.05</v>
      </c>
      <c r="D113" s="18">
        <f>ROUND($F$114*C113,2)</f>
        <v>179.62</v>
      </c>
      <c r="F113" s="62">
        <f>ROUND(D114+D107+D105,2)</f>
        <v>3080.52</v>
      </c>
    </row>
    <row r="114" spans="1:9" x14ac:dyDescent="0.25">
      <c r="A114" s="117" t="s">
        <v>18</v>
      </c>
      <c r="B114" s="8" t="s">
        <v>132</v>
      </c>
      <c r="C114" s="29">
        <v>5.0000000000000001E-3</v>
      </c>
      <c r="D114" s="18">
        <f>ROUND(($D$105+D107)*C114,2)</f>
        <v>15.33</v>
      </c>
      <c r="F114" s="63">
        <f>ROUND(F113/(1-F112),2)</f>
        <v>3592.44</v>
      </c>
    </row>
    <row r="115" spans="1:9" ht="12.75" x14ac:dyDescent="0.2">
      <c r="A115" s="744" t="s">
        <v>91</v>
      </c>
      <c r="B115" s="749"/>
      <c r="C115" s="745"/>
      <c r="D115" s="23">
        <f>ROUND(SUM(D107:D114),2)</f>
        <v>557.61</v>
      </c>
    </row>
    <row r="116" spans="1:9" x14ac:dyDescent="0.25">
      <c r="D116" s="42"/>
    </row>
    <row r="117" spans="1:9" ht="12.75" x14ac:dyDescent="0.2">
      <c r="A117" s="736" t="s">
        <v>133</v>
      </c>
      <c r="B117" s="736"/>
      <c r="C117" s="736"/>
      <c r="D117" s="736"/>
    </row>
    <row r="118" spans="1:9" ht="12.75" x14ac:dyDescent="0.2">
      <c r="A118" s="729" t="s">
        <v>134</v>
      </c>
      <c r="B118" s="729"/>
      <c r="C118" s="729"/>
      <c r="D118" s="729"/>
    </row>
    <row r="119" spans="1:9" x14ac:dyDescent="0.25">
      <c r="A119" s="117" t="s">
        <v>13</v>
      </c>
      <c r="B119" s="731" t="s">
        <v>135</v>
      </c>
      <c r="C119" s="731"/>
      <c r="D119" s="18">
        <f>D38</f>
        <v>1400.7</v>
      </c>
    </row>
    <row r="120" spans="1:9" x14ac:dyDescent="0.25">
      <c r="A120" s="117" t="s">
        <v>15</v>
      </c>
      <c r="B120" s="731" t="s">
        <v>136</v>
      </c>
      <c r="C120" s="731"/>
      <c r="D120" s="18">
        <f>D48</f>
        <v>448.33</v>
      </c>
    </row>
    <row r="121" spans="1:9" x14ac:dyDescent="0.25">
      <c r="A121" s="117" t="s">
        <v>18</v>
      </c>
      <c r="B121" s="731" t="s">
        <v>137</v>
      </c>
      <c r="C121" s="731"/>
      <c r="D121" s="18">
        <f>D56</f>
        <v>177.3</v>
      </c>
    </row>
    <row r="122" spans="1:9" x14ac:dyDescent="0.25">
      <c r="A122" s="117" t="s">
        <v>20</v>
      </c>
      <c r="B122" s="731" t="s">
        <v>138</v>
      </c>
      <c r="C122" s="731"/>
      <c r="D122" s="18">
        <f>D104</f>
        <v>1008.51</v>
      </c>
    </row>
    <row r="123" spans="1:9" ht="12.75" x14ac:dyDescent="0.2">
      <c r="A123" s="729" t="s">
        <v>89</v>
      </c>
      <c r="B123" s="729"/>
      <c r="C123" s="729"/>
      <c r="D123" s="23">
        <f>ROUND(SUM(D119:D122),2)</f>
        <v>3034.84</v>
      </c>
    </row>
    <row r="124" spans="1:9" ht="18.75" x14ac:dyDescent="0.3">
      <c r="A124" s="117" t="s">
        <v>45</v>
      </c>
      <c r="B124" s="751" t="s">
        <v>139</v>
      </c>
      <c r="C124" s="751"/>
      <c r="D124" s="18">
        <f>D115</f>
        <v>557.61</v>
      </c>
      <c r="F124" s="64"/>
      <c r="G124" s="1"/>
      <c r="H124" s="1"/>
    </row>
    <row r="125" spans="1:9" ht="18.75" x14ac:dyDescent="0.3">
      <c r="A125" s="729" t="s">
        <v>140</v>
      </c>
      <c r="B125" s="729"/>
      <c r="C125" s="729"/>
      <c r="D125" s="23">
        <f>ROUND(D124+D123,2)</f>
        <v>3592.45</v>
      </c>
      <c r="F125" s="64"/>
    </row>
    <row r="126" spans="1:9" ht="18.75" x14ac:dyDescent="0.3">
      <c r="F126" s="64"/>
    </row>
    <row r="127" spans="1:9" ht="18.75" x14ac:dyDescent="0.3">
      <c r="A127" s="727" t="s">
        <v>141</v>
      </c>
      <c r="B127" s="727"/>
      <c r="C127" s="727"/>
      <c r="D127" s="727"/>
      <c r="F127" s="64"/>
      <c r="I127" s="1"/>
    </row>
    <row r="128" spans="1:9" ht="18.75" x14ac:dyDescent="0.3">
      <c r="A128" s="731" t="s">
        <v>142</v>
      </c>
      <c r="B128" s="731"/>
      <c r="C128" s="731"/>
      <c r="D128" s="18"/>
      <c r="F128" s="64"/>
      <c r="I128" s="1"/>
    </row>
    <row r="129" spans="1:9" ht="18.75" x14ac:dyDescent="0.3">
      <c r="A129" s="731" t="s">
        <v>143</v>
      </c>
      <c r="B129" s="731"/>
      <c r="C129" s="731"/>
      <c r="D129" s="18">
        <f>D125</f>
        <v>3592.45</v>
      </c>
      <c r="E129" s="65"/>
      <c r="F129" s="64"/>
      <c r="I129" s="1"/>
    </row>
    <row r="130" spans="1:9" ht="18.75" x14ac:dyDescent="0.3">
      <c r="A130" s="731" t="s">
        <v>144</v>
      </c>
      <c r="B130" s="731"/>
      <c r="C130" s="731"/>
      <c r="D130" s="18">
        <v>1</v>
      </c>
      <c r="E130" s="65"/>
      <c r="F130" s="64"/>
      <c r="I130" s="1"/>
    </row>
    <row r="131" spans="1:9" ht="18.75" x14ac:dyDescent="0.3">
      <c r="A131" s="731" t="s">
        <v>145</v>
      </c>
      <c r="B131" s="731"/>
      <c r="C131" s="731"/>
      <c r="D131" s="18">
        <f>ROUND(D130*D129,2)</f>
        <v>3592.45</v>
      </c>
      <c r="E131" s="65"/>
      <c r="F131" s="64"/>
      <c r="I131" s="1"/>
    </row>
    <row r="132" spans="1:9" ht="18.75" x14ac:dyDescent="0.3">
      <c r="A132" s="731" t="s">
        <v>146</v>
      </c>
      <c r="B132" s="731"/>
      <c r="C132" s="731"/>
      <c r="D132" s="18">
        <v>1</v>
      </c>
      <c r="E132" s="65"/>
      <c r="F132" s="64"/>
      <c r="I132" s="1"/>
    </row>
    <row r="133" spans="1:9" ht="18.75" x14ac:dyDescent="0.3">
      <c r="A133" s="740" t="s">
        <v>147</v>
      </c>
      <c r="B133" s="740"/>
      <c r="C133" s="740"/>
      <c r="D133" s="23">
        <f>ROUND(D132*D131,2)</f>
        <v>3592.45</v>
      </c>
      <c r="E133" s="65"/>
      <c r="F133" s="64"/>
    </row>
    <row r="134" spans="1:9" ht="18.75" x14ac:dyDescent="0.3">
      <c r="E134" s="65"/>
      <c r="F134" s="64"/>
    </row>
    <row r="135" spans="1:9" ht="18.75" x14ac:dyDescent="0.3">
      <c r="A135" s="727" t="s">
        <v>148</v>
      </c>
      <c r="B135" s="727"/>
      <c r="C135" s="727"/>
      <c r="D135" s="727"/>
      <c r="F135" s="64"/>
    </row>
    <row r="136" spans="1:9" x14ac:dyDescent="0.25">
      <c r="A136" s="117" t="s">
        <v>13</v>
      </c>
      <c r="B136" s="731" t="s">
        <v>149</v>
      </c>
      <c r="C136" s="731"/>
      <c r="D136" s="18">
        <f>D129</f>
        <v>3592.45</v>
      </c>
    </row>
    <row r="137" spans="1:9" x14ac:dyDescent="0.25">
      <c r="A137" s="117" t="s">
        <v>15</v>
      </c>
      <c r="B137" s="731" t="s">
        <v>150</v>
      </c>
      <c r="C137" s="731"/>
      <c r="D137" s="18">
        <f>D133</f>
        <v>3592.45</v>
      </c>
    </row>
    <row r="138" spans="1:9" ht="12.75" x14ac:dyDescent="0.2">
      <c r="A138" s="113" t="s">
        <v>18</v>
      </c>
      <c r="B138" s="740" t="s">
        <v>151</v>
      </c>
      <c r="C138" s="740"/>
      <c r="D138" s="23">
        <f>ROUND(D137*12,2)</f>
        <v>43109.4</v>
      </c>
      <c r="F138" s="9"/>
    </row>
    <row r="139" spans="1:9" x14ac:dyDescent="0.25">
      <c r="A139" s="30"/>
      <c r="F139" s="9"/>
    </row>
    <row r="140" spans="1:9" x14ac:dyDescent="0.25">
      <c r="A140" s="30"/>
    </row>
    <row r="141" spans="1:9" x14ac:dyDescent="0.25">
      <c r="A141" s="753" t="s">
        <v>484</v>
      </c>
      <c r="B141" s="754"/>
    </row>
    <row r="142" spans="1:9" x14ac:dyDescent="0.25">
      <c r="A142" s="30"/>
      <c r="F142" s="9"/>
    </row>
    <row r="143" spans="1:9" x14ac:dyDescent="0.25">
      <c r="A143" s="30"/>
      <c r="F143" s="9"/>
      <c r="G143" s="50"/>
    </row>
    <row r="144" spans="1:9" x14ac:dyDescent="0.25">
      <c r="A144" s="755" t="s">
        <v>153</v>
      </c>
      <c r="B144" s="755"/>
      <c r="F144" s="9"/>
      <c r="G144" s="51"/>
    </row>
    <row r="145" spans="1:8" x14ac:dyDescent="0.25">
      <c r="A145" s="756" t="s">
        <v>154</v>
      </c>
      <c r="B145" s="756"/>
      <c r="F145" s="9"/>
    </row>
    <row r="146" spans="1:8" x14ac:dyDescent="0.25">
      <c r="A146" s="752" t="s">
        <v>155</v>
      </c>
      <c r="B146" s="752"/>
      <c r="F146" s="9"/>
    </row>
    <row r="147" spans="1:8" x14ac:dyDescent="0.25">
      <c r="F147" s="52"/>
      <c r="H147" s="1"/>
    </row>
    <row r="148" spans="1:8" x14ac:dyDescent="0.25">
      <c r="F148" s="9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52"/>
    </row>
    <row r="156" spans="1:8" x14ac:dyDescent="0.25">
      <c r="F156" s="9"/>
    </row>
  </sheetData>
  <mergeCells count="67">
    <mergeCell ref="A146:B146"/>
    <mergeCell ref="A130:C130"/>
    <mergeCell ref="A131:C131"/>
    <mergeCell ref="A132:C132"/>
    <mergeCell ref="A133:C133"/>
    <mergeCell ref="A135:D135"/>
    <mergeCell ref="B136:C136"/>
    <mergeCell ref="B137:C137"/>
    <mergeCell ref="B138:C138"/>
    <mergeCell ref="A141:B141"/>
    <mergeCell ref="A144:B144"/>
    <mergeCell ref="A145:B145"/>
    <mergeCell ref="A129:C129"/>
    <mergeCell ref="A117:D117"/>
    <mergeCell ref="A118:D118"/>
    <mergeCell ref="B119:C119"/>
    <mergeCell ref="B120:C120"/>
    <mergeCell ref="B121:C121"/>
    <mergeCell ref="B122:C122"/>
    <mergeCell ref="A123:C123"/>
    <mergeCell ref="B124:C124"/>
    <mergeCell ref="A125:C125"/>
    <mergeCell ref="A127:D127"/>
    <mergeCell ref="A128:C128"/>
    <mergeCell ref="A115:C115"/>
    <mergeCell ref="A68:B68"/>
    <mergeCell ref="A70:B70"/>
    <mergeCell ref="A73:B73"/>
    <mergeCell ref="A75:B75"/>
    <mergeCell ref="A77:B77"/>
    <mergeCell ref="A84:B84"/>
    <mergeCell ref="A86:B86"/>
    <mergeCell ref="A93:B93"/>
    <mergeCell ref="A95:B95"/>
    <mergeCell ref="A97:D97"/>
    <mergeCell ref="B98:C98"/>
    <mergeCell ref="A59:B59"/>
    <mergeCell ref="C23:D23"/>
    <mergeCell ref="C24:D24"/>
    <mergeCell ref="C25:D25"/>
    <mergeCell ref="C26:D26"/>
    <mergeCell ref="A27:D27"/>
    <mergeCell ref="A38:B38"/>
    <mergeCell ref="A40:D40"/>
    <mergeCell ref="A48:B48"/>
    <mergeCell ref="A50:D50"/>
    <mergeCell ref="A56:B56"/>
    <mergeCell ref="A58:D58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8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9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" t="s">
        <v>13</v>
      </c>
      <c r="B8" s="8" t="s">
        <v>14</v>
      </c>
      <c r="C8" s="728">
        <v>41094</v>
      </c>
      <c r="D8" s="725"/>
    </row>
    <row r="9" spans="1:4" ht="12.75" x14ac:dyDescent="0.2">
      <c r="A9" s="7" t="s">
        <v>15</v>
      </c>
      <c r="B9" s="8" t="s">
        <v>16</v>
      </c>
      <c r="C9" s="729" t="s">
        <v>17</v>
      </c>
      <c r="D9" s="729"/>
    </row>
    <row r="10" spans="1:4" ht="12.75" x14ac:dyDescent="0.2">
      <c r="A10" s="7" t="s">
        <v>18</v>
      </c>
      <c r="B10" s="8" t="s">
        <v>19</v>
      </c>
      <c r="C10" s="783">
        <v>2012</v>
      </c>
      <c r="D10" s="783"/>
    </row>
    <row r="11" spans="1:4" ht="12.75" x14ac:dyDescent="0.2">
      <c r="A11" s="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499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0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">
        <v>1</v>
      </c>
      <c r="B22" s="8" t="s">
        <v>32</v>
      </c>
      <c r="C22" s="786" t="s">
        <v>489</v>
      </c>
      <c r="D22" s="787"/>
    </row>
    <row r="23" spans="1:5" x14ac:dyDescent="0.25">
      <c r="A23" s="43">
        <v>2</v>
      </c>
      <c r="B23" s="526" t="s">
        <v>33</v>
      </c>
      <c r="C23" s="769">
        <v>1120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2013'!J8</f>
        <v>1140.29</v>
      </c>
      <c r="E29" s="536"/>
    </row>
    <row r="30" spans="1:5" x14ac:dyDescent="0.25">
      <c r="A30" s="43" t="s">
        <v>15</v>
      </c>
      <c r="B30" s="526" t="s">
        <v>42</v>
      </c>
      <c r="C30" s="537"/>
      <c r="D30" s="553" t="s">
        <v>156</v>
      </c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57.014499999999998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1197.3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76.78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374.78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73" t="s">
        <v>66</v>
      </c>
      <c r="B51" s="774"/>
      <c r="C51" s="774"/>
      <c r="D51" s="775"/>
      <c r="E51" s="527"/>
    </row>
    <row r="52" spans="1:5" ht="13.5" customHeight="1" x14ac:dyDescent="0.2">
      <c r="A52" s="530">
        <v>3</v>
      </c>
      <c r="B52" s="546" t="s">
        <v>67</v>
      </c>
      <c r="C52" s="532"/>
      <c r="D52" s="533" t="s">
        <v>40</v>
      </c>
      <c r="E52" s="527"/>
    </row>
    <row r="53" spans="1:5" x14ac:dyDescent="0.25">
      <c r="A53" s="7" t="s">
        <v>13</v>
      </c>
      <c r="B53" s="8" t="s">
        <v>69</v>
      </c>
      <c r="C53" s="145">
        <f>'Uniforme 2'!D10</f>
        <v>41.333333333333336</v>
      </c>
      <c r="D53" s="18">
        <f>C53</f>
        <v>41.333333333333336</v>
      </c>
    </row>
    <row r="54" spans="1:5" x14ac:dyDescent="0.25">
      <c r="A54" s="7" t="s">
        <v>15</v>
      </c>
      <c r="B54" s="32" t="s">
        <v>204</v>
      </c>
      <c r="C54" s="91">
        <f>'Mat Maq Costal'!E4</f>
        <v>99.5</v>
      </c>
      <c r="D54" s="18">
        <f>ROUND(C54*$C$29,2)</f>
        <v>99.5</v>
      </c>
      <c r="E54" s="28"/>
    </row>
    <row r="55" spans="1:5" x14ac:dyDescent="0.25">
      <c r="A55" s="7" t="s">
        <v>18</v>
      </c>
      <c r="B55" s="8" t="s">
        <v>71</v>
      </c>
      <c r="C55" s="91">
        <f>'Mat Maq Costal'!B34</f>
        <v>57.951666666666668</v>
      </c>
      <c r="D55" s="18">
        <f>ROUND(C55*$C$29,2)</f>
        <v>57.95</v>
      </c>
    </row>
    <row r="56" spans="1:5" x14ac:dyDescent="0.25">
      <c r="A56" s="7" t="s">
        <v>20</v>
      </c>
      <c r="B56" s="32" t="s">
        <v>72</v>
      </c>
      <c r="C56" s="110">
        <f>Epis!D11</f>
        <v>16.010000000000002</v>
      </c>
      <c r="D56" s="18">
        <v>16.010000000000002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214.79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239.46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17.96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11.97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2.39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29.93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95.78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35.92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7.18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440.59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99.74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33.25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132.99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48.94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181.93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1.2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0.1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9.58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23.23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8.5500000000000007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52.92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95.58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99.74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2.87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0.24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1.68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0.48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0.24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105.24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38.729999999999997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143.97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181.92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440.61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95.57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143.97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862.06</v>
      </c>
    </row>
    <row r="106" spans="1:5" x14ac:dyDescent="0.25">
      <c r="D106" s="42">
        <f>ROUND(D105+D57+D49+D39,2)</f>
        <v>2648.93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26.49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49.99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230.25</v>
      </c>
      <c r="F113" s="44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60.59</v>
      </c>
      <c r="F114" s="46">
        <f>ROUND(D115+D108+D106,2)</f>
        <v>2688.8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13.38</v>
      </c>
      <c r="F115" s="47">
        <f>ROUND(F114/(1-F113),2)</f>
        <v>3029.63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380.7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1197.3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374.78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214.79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862.06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2648.93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380.7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3029.63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3029.63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3029.63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3029.63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7" t="s">
        <v>13</v>
      </c>
      <c r="B137" s="731" t="s">
        <v>149</v>
      </c>
      <c r="C137" s="731"/>
      <c r="D137" s="18">
        <f>D130</f>
        <v>3029.63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3029.63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36355.56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40" max="4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18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499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1120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2013'!J8</f>
        <v>1140.29</v>
      </c>
      <c r="E29" s="536"/>
    </row>
    <row r="30" spans="1:5" x14ac:dyDescent="0.25">
      <c r="A30" s="43" t="s">
        <v>15</v>
      </c>
      <c r="B30" s="526" t="s">
        <v>42</v>
      </c>
      <c r="C30" s="537"/>
      <c r="D30" s="553" t="s">
        <v>156</v>
      </c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57.014499999999998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1197.3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76.78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374.78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/>
      <c r="D52" s="16" t="s">
        <v>40</v>
      </c>
    </row>
    <row r="53" spans="1:5" x14ac:dyDescent="0.25">
      <c r="A53" s="117" t="s">
        <v>13</v>
      </c>
      <c r="B53" s="8" t="s">
        <v>69</v>
      </c>
      <c r="C53" s="91">
        <f>'Uniforme 2'!D10</f>
        <v>41.333333333333336</v>
      </c>
      <c r="D53" s="18">
        <f>C53</f>
        <v>41.333333333333336</v>
      </c>
    </row>
    <row r="54" spans="1:5" x14ac:dyDescent="0.25">
      <c r="A54" s="117" t="s">
        <v>15</v>
      </c>
      <c r="B54" s="32" t="s">
        <v>204</v>
      </c>
      <c r="C54" s="91">
        <f>'Mat Maq Costal'!E4</f>
        <v>99.5</v>
      </c>
      <c r="D54" s="18">
        <f>ROUND(C54*$C$29,2)</f>
        <v>99.5</v>
      </c>
      <c r="E54" s="28"/>
    </row>
    <row r="55" spans="1:5" x14ac:dyDescent="0.25">
      <c r="A55" s="117" t="s">
        <v>18</v>
      </c>
      <c r="B55" s="8" t="s">
        <v>71</v>
      </c>
      <c r="C55" s="91">
        <f>'Mat Maq Costal'!B34</f>
        <v>57.951666666666668</v>
      </c>
      <c r="D55" s="18">
        <f>ROUND(C55*$C$29,2)</f>
        <v>57.95</v>
      </c>
    </row>
    <row r="56" spans="1:5" x14ac:dyDescent="0.25">
      <c r="A56" s="117" t="s">
        <v>20</v>
      </c>
      <c r="B56" s="32" t="s">
        <v>72</v>
      </c>
      <c r="C56" s="110">
        <f>Epis!D11</f>
        <v>16.010000000000002</v>
      </c>
      <c r="D56" s="18">
        <v>16.010000000000002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214.79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239.46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17.96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11.97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2.39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29.93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95.78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35.92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7.18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440.59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99.74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33.25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132.99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48.94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181.93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0.1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9.58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23.23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8.5500000000000007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52.92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95.58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99.74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2.87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0.24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1.68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0.48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0.24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105.24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38.729999999999997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143.97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181.92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440.61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95.57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143.97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862.06</v>
      </c>
    </row>
    <row r="106" spans="1:5" x14ac:dyDescent="0.25">
      <c r="D106" s="42">
        <f>ROUND(D105+D57+D49+D39,2)</f>
        <v>2648.93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26.49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50.56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232.88</v>
      </c>
      <c r="F113" s="44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91.92</v>
      </c>
      <c r="F114" s="46">
        <f>ROUND(D115+D108+D106,2)</f>
        <v>2688.8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13.38</v>
      </c>
      <c r="F115" s="47">
        <f>ROUND(F114/(1-F113),2)</f>
        <v>3064.16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415.23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1197.3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374.78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214.79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862.06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2648.93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415.23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3064.16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3064.16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3064.16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3064.16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3064.16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3064.16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36769.919999999998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91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499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1120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2013'!J8</f>
        <v>1140.29</v>
      </c>
      <c r="E29" s="536"/>
    </row>
    <row r="30" spans="1:5" x14ac:dyDescent="0.25">
      <c r="A30" s="43" t="s">
        <v>15</v>
      </c>
      <c r="B30" s="526" t="s">
        <v>42</v>
      </c>
      <c r="C30" s="537"/>
      <c r="D30" s="553" t="s">
        <v>156</v>
      </c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57.014499999999998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1197.3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76.78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374.78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/>
      <c r="D52" s="16" t="s">
        <v>40</v>
      </c>
    </row>
    <row r="53" spans="1:5" x14ac:dyDescent="0.25">
      <c r="A53" s="117" t="s">
        <v>13</v>
      </c>
      <c r="B53" s="8" t="s">
        <v>69</v>
      </c>
      <c r="C53" s="91">
        <f>'Uniforme 2'!D10</f>
        <v>41.333333333333336</v>
      </c>
      <c r="D53" s="18">
        <f>C53</f>
        <v>41.333333333333336</v>
      </c>
    </row>
    <row r="54" spans="1:5" x14ac:dyDescent="0.25">
      <c r="A54" s="117" t="s">
        <v>15</v>
      </c>
      <c r="B54" s="32" t="s">
        <v>204</v>
      </c>
      <c r="C54" s="91">
        <f>'Mat Maq Costal'!E4</f>
        <v>99.5</v>
      </c>
      <c r="D54" s="18">
        <f>ROUND(C54*$C$29,2)</f>
        <v>99.5</v>
      </c>
      <c r="E54" s="28"/>
    </row>
    <row r="55" spans="1:5" x14ac:dyDescent="0.25">
      <c r="A55" s="117" t="s">
        <v>18</v>
      </c>
      <c r="B55" s="8" t="s">
        <v>71</v>
      </c>
      <c r="C55" s="91">
        <f>'Mat Maq Costal'!B34</f>
        <v>57.951666666666668</v>
      </c>
      <c r="D55" s="18">
        <f>ROUND(C55*$C$29,2)</f>
        <v>57.95</v>
      </c>
    </row>
    <row r="56" spans="1:5" x14ac:dyDescent="0.25">
      <c r="A56" s="117" t="s">
        <v>20</v>
      </c>
      <c r="B56" s="32" t="s">
        <v>72</v>
      </c>
      <c r="C56" s="110">
        <f>Epis!D11</f>
        <v>16.010000000000002</v>
      </c>
      <c r="D56" s="18">
        <v>16.010000000000002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214.79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239.46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17.96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11.97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2.39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29.93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95.78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35.92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7.18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440.59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99.74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33.25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132.99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48.94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181.93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0.1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9.58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23.23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8.5500000000000007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52.92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95.58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99.74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2.87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0.24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1.68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0.48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0.24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105.24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38.729999999999997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143.97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181.92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440.61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95.57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143.97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862.06</v>
      </c>
    </row>
    <row r="106" spans="1:5" x14ac:dyDescent="0.25">
      <c r="D106" s="42">
        <f>ROUND(D105+D57+D49+D39,2)</f>
        <v>2648.93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26.49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51.14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235.56</v>
      </c>
      <c r="F113" s="44">
        <f>SUM(C110:C114)</f>
        <v>0.13250000000000001</v>
      </c>
    </row>
    <row r="114" spans="1:9" x14ac:dyDescent="0.25">
      <c r="A114" s="43" t="s">
        <v>130</v>
      </c>
      <c r="B114" s="8" t="s">
        <v>131</v>
      </c>
      <c r="C114" s="45">
        <v>0.04</v>
      </c>
      <c r="D114" s="18">
        <f>ROUND($F$115*C114,2)</f>
        <v>123.98</v>
      </c>
      <c r="F114" s="46">
        <f>ROUND(D115+D108+D106,2)</f>
        <v>2688.8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13.38</v>
      </c>
      <c r="F115" s="47">
        <f>ROUND(F114/(1-F113),2)</f>
        <v>3099.48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450.55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1197.3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374.78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214.79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862.06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2648.93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450.55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3099.48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3099.48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3099.48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3099.48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3099.48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3099.48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37193.760000000002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disablePrompts="1"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6"/>
  <sheetViews>
    <sheetView view="pageBreakPreview" topLeftCell="A106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117" t="s">
        <v>13</v>
      </c>
      <c r="B8" s="8" t="s">
        <v>14</v>
      </c>
      <c r="C8" s="728">
        <v>41094</v>
      </c>
      <c r="D8" s="725"/>
    </row>
    <row r="9" spans="1:4" ht="12.75" x14ac:dyDescent="0.2">
      <c r="A9" s="117" t="s">
        <v>15</v>
      </c>
      <c r="B9" s="8" t="s">
        <v>16</v>
      </c>
      <c r="C9" s="729" t="s">
        <v>17</v>
      </c>
      <c r="D9" s="729"/>
    </row>
    <row r="10" spans="1:4" ht="12.75" x14ac:dyDescent="0.2">
      <c r="A10" s="117" t="s">
        <v>18</v>
      </c>
      <c r="B10" s="8" t="s">
        <v>19</v>
      </c>
      <c r="C10" s="783">
        <v>2012</v>
      </c>
      <c r="D10" s="783"/>
    </row>
    <row r="11" spans="1:4" ht="12.75" x14ac:dyDescent="0.2">
      <c r="A11" s="11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499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12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11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1120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2013'!J8</f>
        <v>1140.29</v>
      </c>
      <c r="E29" s="536"/>
    </row>
    <row r="30" spans="1:5" x14ac:dyDescent="0.25">
      <c r="A30" s="43" t="s">
        <v>15</v>
      </c>
      <c r="B30" s="526" t="s">
        <v>42</v>
      </c>
      <c r="C30" s="537"/>
      <c r="D30" s="553" t="s">
        <v>156</v>
      </c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/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57.014499999999998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1197.3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76.78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  <c r="F44" s="9">
        <v>210</v>
      </c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  <c r="F45" s="9">
        <f>F44/25</f>
        <v>8.4</v>
      </c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374.78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/>
      <c r="D52" s="16" t="s">
        <v>40</v>
      </c>
    </row>
    <row r="53" spans="1:5" x14ac:dyDescent="0.25">
      <c r="A53" s="117" t="s">
        <v>13</v>
      </c>
      <c r="B53" s="8" t="s">
        <v>69</v>
      </c>
      <c r="C53" s="91">
        <f>'Uniforme 2'!D10</f>
        <v>41.333333333333336</v>
      </c>
      <c r="D53" s="18">
        <f>C53</f>
        <v>41.333333333333336</v>
      </c>
    </row>
    <row r="54" spans="1:5" x14ac:dyDescent="0.25">
      <c r="A54" s="117" t="s">
        <v>15</v>
      </c>
      <c r="B54" s="32" t="s">
        <v>204</v>
      </c>
      <c r="C54" s="91">
        <f>'Mat Maq Costal'!E4</f>
        <v>99.5</v>
      </c>
      <c r="D54" s="18">
        <f>ROUND(C54*$C$29,2)</f>
        <v>99.5</v>
      </c>
      <c r="E54" s="28"/>
    </row>
    <row r="55" spans="1:5" x14ac:dyDescent="0.25">
      <c r="A55" s="117" t="s">
        <v>18</v>
      </c>
      <c r="B55" s="8" t="s">
        <v>71</v>
      </c>
      <c r="C55" s="91">
        <f>'Mat Maq Costal'!B34</f>
        <v>57.951666666666668</v>
      </c>
      <c r="D55" s="18">
        <f>ROUND(C55*$C$29,2)</f>
        <v>57.95</v>
      </c>
    </row>
    <row r="56" spans="1:5" x14ac:dyDescent="0.25">
      <c r="A56" s="117" t="s">
        <v>20</v>
      </c>
      <c r="B56" s="32" t="s">
        <v>72</v>
      </c>
      <c r="C56" s="110">
        <f>Epis!D11</f>
        <v>16.010000000000002</v>
      </c>
      <c r="D56" s="18">
        <v>16.010000000000002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214.79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239.46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17.96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11.97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2.39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29.93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95.78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35.92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7.18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440.59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35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99.74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33.25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132.99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48.94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181.93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1.2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0.1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9.58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23.23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8.5500000000000007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52.92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95.58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99.74</v>
      </c>
      <c r="E88" s="36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2.87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0.24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1.68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0.48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0.24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105.24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38.729999999999997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143.97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181.92</v>
      </c>
      <c r="E100" s="36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440.61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95.57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143.97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862.06</v>
      </c>
    </row>
    <row r="106" spans="1:5" x14ac:dyDescent="0.25">
      <c r="D106" s="42">
        <f>ROUND(D105+D57+D49+D39,2)</f>
        <v>2648.93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26.49</v>
      </c>
    </row>
    <row r="109" spans="1:5" x14ac:dyDescent="0.25">
      <c r="A109" s="11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51.74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238.31</v>
      </c>
      <c r="F113" s="44">
        <f>SUM(C110:C114)</f>
        <v>0.14250000000000002</v>
      </c>
    </row>
    <row r="114" spans="1:9" x14ac:dyDescent="0.25">
      <c r="A114" s="43" t="s">
        <v>130</v>
      </c>
      <c r="B114" s="8" t="s">
        <v>131</v>
      </c>
      <c r="C114" s="45">
        <v>0.05</v>
      </c>
      <c r="D114" s="18">
        <f>ROUND($F$115*C114,2)</f>
        <v>156.78</v>
      </c>
      <c r="F114" s="46">
        <f>ROUND(D115+D108+D106,2)</f>
        <v>2688.8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13.38</v>
      </c>
      <c r="F115" s="47">
        <f>ROUND(F114/(1-F113),2)</f>
        <v>3135.63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486.7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1197.3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374.78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214.79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862.06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2648.93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486.7</v>
      </c>
      <c r="F125" s="48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3135.63</v>
      </c>
      <c r="F126" s="48"/>
    </row>
    <row r="127" spans="1:9" ht="18.75" x14ac:dyDescent="0.3">
      <c r="F127" s="48"/>
    </row>
    <row r="128" spans="1:9" ht="18.75" x14ac:dyDescent="0.3">
      <c r="A128" s="727" t="s">
        <v>141</v>
      </c>
      <c r="B128" s="727"/>
      <c r="C128" s="727"/>
      <c r="D128" s="727"/>
      <c r="F128" s="48"/>
      <c r="I128" s="1"/>
    </row>
    <row r="129" spans="1:9" ht="18.75" x14ac:dyDescent="0.3">
      <c r="A129" s="731" t="s">
        <v>142</v>
      </c>
      <c r="B129" s="731"/>
      <c r="C129" s="731"/>
      <c r="D129" s="18"/>
      <c r="F129" s="48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3135.63</v>
      </c>
      <c r="E130" s="49"/>
      <c r="F130" s="48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48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3135.63</v>
      </c>
      <c r="E132" s="49"/>
      <c r="F132" s="48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48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3135.63</v>
      </c>
      <c r="E134" s="49"/>
      <c r="F134" s="48"/>
    </row>
    <row r="135" spans="1:9" ht="18.75" x14ac:dyDescent="0.3">
      <c r="E135" s="49"/>
      <c r="F135" s="48"/>
    </row>
    <row r="136" spans="1:9" ht="18.75" x14ac:dyDescent="0.3">
      <c r="A136" s="727" t="s">
        <v>148</v>
      </c>
      <c r="B136" s="727"/>
      <c r="C136" s="727"/>
      <c r="D136" s="727"/>
      <c r="F136" s="48"/>
    </row>
    <row r="137" spans="1:9" x14ac:dyDescent="0.25">
      <c r="A137" s="117" t="s">
        <v>13</v>
      </c>
      <c r="B137" s="731" t="s">
        <v>149</v>
      </c>
      <c r="C137" s="731"/>
      <c r="D137" s="18">
        <f>D130</f>
        <v>3135.63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3135.63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37627.56</v>
      </c>
    </row>
    <row r="140" spans="1:9" x14ac:dyDescent="0.25">
      <c r="A140" s="30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</row>
    <row r="144" spans="1:9" x14ac:dyDescent="0.25">
      <c r="A144" s="30"/>
      <c r="G144" s="50"/>
    </row>
    <row r="145" spans="1:8" x14ac:dyDescent="0.25">
      <c r="A145" s="755" t="s">
        <v>153</v>
      </c>
      <c r="B145" s="755"/>
      <c r="G145" s="51"/>
    </row>
    <row r="146" spans="1:8" x14ac:dyDescent="0.25">
      <c r="A146" s="756" t="s">
        <v>154</v>
      </c>
      <c r="B146" s="756"/>
    </row>
    <row r="147" spans="1:8" x14ac:dyDescent="0.25">
      <c r="A147" s="752" t="s">
        <v>155</v>
      </c>
      <c r="B147" s="752"/>
    </row>
    <row r="148" spans="1:8" x14ac:dyDescent="0.25">
      <c r="F148" s="52"/>
      <c r="H148" s="1"/>
    </row>
    <row r="156" spans="1:8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disablePrompts="1"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2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7" style="4" bestFit="1" customWidth="1"/>
    <col min="5" max="5" width="25.570312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1" t="s">
        <v>13</v>
      </c>
      <c r="B8" s="8" t="s">
        <v>14</v>
      </c>
      <c r="C8" s="728">
        <v>41094</v>
      </c>
      <c r="D8" s="725"/>
    </row>
    <row r="9" spans="1:4" ht="12.75" x14ac:dyDescent="0.2">
      <c r="A9" s="71" t="s">
        <v>15</v>
      </c>
      <c r="B9" s="8" t="s">
        <v>16</v>
      </c>
      <c r="C9" s="729" t="s">
        <v>17</v>
      </c>
      <c r="D9" s="729"/>
    </row>
    <row r="10" spans="1:4" ht="12.75" x14ac:dyDescent="0.2">
      <c r="A10" s="71" t="s">
        <v>18</v>
      </c>
      <c r="B10" s="8" t="s">
        <v>19</v>
      </c>
      <c r="C10" s="783">
        <v>2012</v>
      </c>
      <c r="D10" s="783"/>
    </row>
    <row r="11" spans="1:4" ht="12.75" x14ac:dyDescent="0.2">
      <c r="A11" s="71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500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66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1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2013'!J11</f>
        <v>1809.85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  <c r="F33" s="46">
        <f>D29*1.18</f>
        <v>2135.6229999999996</v>
      </c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>
        <v>0</v>
      </c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90.492500000000007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1900.34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36.61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6" ht="13.5" customHeight="1" x14ac:dyDescent="0.25">
      <c r="A46" s="43" t="s">
        <v>20</v>
      </c>
      <c r="B46" s="549" t="s">
        <v>333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6" ht="13.5" customHeight="1" x14ac:dyDescent="0.25">
      <c r="A49" s="771" t="s">
        <v>65</v>
      </c>
      <c r="B49" s="772"/>
      <c r="C49" s="551"/>
      <c r="D49" s="542">
        <f>ROUND(SUM(D43:D48),2)</f>
        <v>334.61</v>
      </c>
      <c r="E49" s="527"/>
    </row>
    <row r="50" spans="1:6" ht="13.5" customHeight="1" x14ac:dyDescent="0.25">
      <c r="A50" s="30"/>
      <c r="F50" s="9"/>
    </row>
    <row r="51" spans="1:6" ht="13.5" customHeight="1" x14ac:dyDescent="0.2">
      <c r="A51" s="746" t="s">
        <v>66</v>
      </c>
      <c r="B51" s="747"/>
      <c r="C51" s="747"/>
      <c r="D51" s="748"/>
      <c r="F51" s="9"/>
    </row>
    <row r="52" spans="1:6" ht="13.5" customHeight="1" x14ac:dyDescent="0.2">
      <c r="A52" s="67">
        <v>3</v>
      </c>
      <c r="B52" s="24" t="s">
        <v>67</v>
      </c>
      <c r="C52" s="15" t="s">
        <v>68</v>
      </c>
      <c r="D52" s="16" t="s">
        <v>40</v>
      </c>
      <c r="F52" s="9"/>
    </row>
    <row r="53" spans="1:6" x14ac:dyDescent="0.25">
      <c r="A53" s="71" t="s">
        <v>13</v>
      </c>
      <c r="B53" s="8" t="s">
        <v>69</v>
      </c>
      <c r="C53" s="91">
        <f>'Uniforme 1'!D23</f>
        <v>51.875</v>
      </c>
      <c r="D53" s="18">
        <f>ROUND(C53*$C$29,2)</f>
        <v>51.88</v>
      </c>
      <c r="F53" s="9"/>
    </row>
    <row r="54" spans="1:6" x14ac:dyDescent="0.25">
      <c r="A54" s="71" t="s">
        <v>15</v>
      </c>
      <c r="B54" s="32" t="s">
        <v>332</v>
      </c>
      <c r="C54" s="31">
        <v>0</v>
      </c>
      <c r="D54" s="18">
        <f>ROUND(C54*$C$29,2)*4</f>
        <v>0</v>
      </c>
      <c r="E54" s="28"/>
      <c r="F54" s="9">
        <v>70</v>
      </c>
    </row>
    <row r="55" spans="1:6" x14ac:dyDescent="0.25">
      <c r="A55" s="71" t="s">
        <v>18</v>
      </c>
      <c r="B55" s="8" t="s">
        <v>71</v>
      </c>
      <c r="C55" s="31">
        <v>0</v>
      </c>
      <c r="D55" s="18">
        <f>ROUND(C55*$C$29,2)</f>
        <v>0</v>
      </c>
      <c r="F55" s="9">
        <v>20</v>
      </c>
    </row>
    <row r="56" spans="1:6" x14ac:dyDescent="0.25">
      <c r="A56" s="71" t="s">
        <v>20</v>
      </c>
      <c r="B56" s="32" t="s">
        <v>72</v>
      </c>
      <c r="C56" s="18">
        <v>0</v>
      </c>
      <c r="D56" s="18">
        <f>C56</f>
        <v>0</v>
      </c>
      <c r="E56" s="28"/>
      <c r="F56" s="9">
        <v>40</v>
      </c>
    </row>
    <row r="57" spans="1:6" x14ac:dyDescent="0.25">
      <c r="A57" s="744" t="s">
        <v>73</v>
      </c>
      <c r="B57" s="745"/>
      <c r="C57" s="29"/>
      <c r="D57" s="23">
        <f>ROUND(SUM(D53:D56),2)</f>
        <v>51.88</v>
      </c>
      <c r="E57" s="28"/>
      <c r="F57" s="9">
        <f>SUM(F54:F56)</f>
        <v>130</v>
      </c>
    </row>
    <row r="58" spans="1:6" x14ac:dyDescent="0.25">
      <c r="F58" s="9"/>
    </row>
    <row r="59" spans="1:6" ht="12.75" x14ac:dyDescent="0.2">
      <c r="A59" s="746" t="s">
        <v>74</v>
      </c>
      <c r="B59" s="747"/>
      <c r="C59" s="747"/>
      <c r="D59" s="748"/>
    </row>
    <row r="60" spans="1:6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6" x14ac:dyDescent="0.25">
      <c r="A61" s="70" t="s">
        <v>13</v>
      </c>
      <c r="B61" s="32" t="s">
        <v>76</v>
      </c>
      <c r="C61" s="29">
        <v>0.2</v>
      </c>
      <c r="D61" s="18">
        <f>ROUND($D$39*C61,2)</f>
        <v>380.07</v>
      </c>
    </row>
    <row r="62" spans="1:6" x14ac:dyDescent="0.25">
      <c r="A62" s="70" t="s">
        <v>15</v>
      </c>
      <c r="B62" s="32" t="s">
        <v>77</v>
      </c>
      <c r="C62" s="29">
        <v>1.4999999999999999E-2</v>
      </c>
      <c r="D62" s="18">
        <f>ROUND($D$39*C62,2)</f>
        <v>28.51</v>
      </c>
    </row>
    <row r="63" spans="1:6" x14ac:dyDescent="0.25">
      <c r="A63" s="70" t="s">
        <v>18</v>
      </c>
      <c r="B63" s="32" t="s">
        <v>78</v>
      </c>
      <c r="C63" s="29">
        <v>0.01</v>
      </c>
      <c r="D63" s="18">
        <f t="shared" ref="D63:D68" si="0">ROUND($D$39*C63,2)</f>
        <v>19</v>
      </c>
    </row>
    <row r="64" spans="1:6" x14ac:dyDescent="0.25">
      <c r="A64" s="70" t="s">
        <v>20</v>
      </c>
      <c r="B64" s="32" t="s">
        <v>79</v>
      </c>
      <c r="C64" s="29">
        <v>2E-3</v>
      </c>
      <c r="D64" s="18">
        <f t="shared" si="0"/>
        <v>3.8</v>
      </c>
    </row>
    <row r="65" spans="1:6" x14ac:dyDescent="0.25">
      <c r="A65" s="70" t="s">
        <v>45</v>
      </c>
      <c r="B65" s="32" t="s">
        <v>80</v>
      </c>
      <c r="C65" s="29">
        <v>2.5000000000000001E-2</v>
      </c>
      <c r="D65" s="18">
        <f t="shared" si="0"/>
        <v>47.51</v>
      </c>
    </row>
    <row r="66" spans="1:6" x14ac:dyDescent="0.25">
      <c r="A66" s="70" t="s">
        <v>47</v>
      </c>
      <c r="B66" s="32" t="s">
        <v>81</v>
      </c>
      <c r="C66" s="29">
        <v>0.08</v>
      </c>
      <c r="D66" s="18">
        <f t="shared" si="0"/>
        <v>152.03</v>
      </c>
    </row>
    <row r="67" spans="1:6" x14ac:dyDescent="0.25">
      <c r="A67" s="70" t="s">
        <v>49</v>
      </c>
      <c r="B67" s="32" t="s">
        <v>82</v>
      </c>
      <c r="C67" s="29">
        <f>2%*F71</f>
        <v>0.03</v>
      </c>
      <c r="D67" s="18">
        <f t="shared" si="0"/>
        <v>57.01</v>
      </c>
    </row>
    <row r="68" spans="1:6" x14ac:dyDescent="0.25">
      <c r="A68" s="70" t="s">
        <v>51</v>
      </c>
      <c r="B68" s="32" t="s">
        <v>83</v>
      </c>
      <c r="C68" s="29">
        <v>6.0000000000000001E-3</v>
      </c>
      <c r="D68" s="18">
        <f t="shared" si="0"/>
        <v>11.4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699.33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70" t="s">
        <v>13</v>
      </c>
      <c r="B72" s="32" t="s">
        <v>87</v>
      </c>
      <c r="C72" s="29">
        <v>8.3299999999999999E-2</v>
      </c>
      <c r="D72" s="18">
        <f>ROUND($D$39*C72,2)</f>
        <v>158.30000000000001</v>
      </c>
    </row>
    <row r="73" spans="1:6" x14ac:dyDescent="0.25">
      <c r="A73" s="70" t="s">
        <v>15</v>
      </c>
      <c r="B73" s="32" t="s">
        <v>88</v>
      </c>
      <c r="C73" s="29">
        <f>C88/3</f>
        <v>2.7766666666666665E-2</v>
      </c>
      <c r="D73" s="18">
        <f>ROUND($D$39*C73,2)</f>
        <v>52.77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211.07</v>
      </c>
    </row>
    <row r="75" spans="1:6" x14ac:dyDescent="0.25">
      <c r="A75" s="70" t="s">
        <v>18</v>
      </c>
      <c r="B75" s="32" t="s">
        <v>90</v>
      </c>
      <c r="C75" s="29">
        <f>C69*C74</f>
        <v>4.0872533333333343E-2</v>
      </c>
      <c r="D75" s="18">
        <f>ROUND($D$39*C75,2)</f>
        <v>77.67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288.74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70" t="s">
        <v>13</v>
      </c>
      <c r="B79" s="32" t="s">
        <v>93</v>
      </c>
      <c r="C79" s="29">
        <v>1E-3</v>
      </c>
      <c r="D79" s="18">
        <f t="shared" ref="D79:D84" si="1">ROUND($D$39*C79,2)</f>
        <v>1.9</v>
      </c>
    </row>
    <row r="80" spans="1:6" x14ac:dyDescent="0.25">
      <c r="A80" s="70" t="s">
        <v>15</v>
      </c>
      <c r="B80" s="32" t="s">
        <v>94</v>
      </c>
      <c r="C80" s="29">
        <f>C66*C79</f>
        <v>8.0000000000000007E-5</v>
      </c>
      <c r="D80" s="18">
        <f t="shared" si="1"/>
        <v>0.15</v>
      </c>
    </row>
    <row r="81" spans="1:5" x14ac:dyDescent="0.25">
      <c r="A81" s="70" t="s">
        <v>18</v>
      </c>
      <c r="B81" s="32" t="s">
        <v>95</v>
      </c>
      <c r="C81" s="29">
        <f>C66*10%</f>
        <v>8.0000000000000002E-3</v>
      </c>
      <c r="D81" s="18">
        <f t="shared" si="1"/>
        <v>15.2</v>
      </c>
    </row>
    <row r="82" spans="1:5" x14ac:dyDescent="0.25">
      <c r="A82" s="71" t="s">
        <v>20</v>
      </c>
      <c r="B82" s="8" t="s">
        <v>96</v>
      </c>
      <c r="C82" s="29">
        <v>1.9400000000000001E-2</v>
      </c>
      <c r="D82" s="18">
        <f t="shared" si="1"/>
        <v>36.869999999999997</v>
      </c>
    </row>
    <row r="83" spans="1:5" x14ac:dyDescent="0.25">
      <c r="A83" s="71" t="s">
        <v>45</v>
      </c>
      <c r="B83" s="8" t="s">
        <v>97</v>
      </c>
      <c r="C83" s="29">
        <f>C69*C82</f>
        <v>7.1392000000000027E-3</v>
      </c>
      <c r="D83" s="18">
        <f t="shared" si="1"/>
        <v>13.57</v>
      </c>
    </row>
    <row r="84" spans="1:5" x14ac:dyDescent="0.25">
      <c r="A84" s="71" t="s">
        <v>47</v>
      </c>
      <c r="B84" s="8" t="s">
        <v>98</v>
      </c>
      <c r="C84" s="29">
        <v>4.4200000000000003E-2</v>
      </c>
      <c r="D84" s="18">
        <f t="shared" si="1"/>
        <v>84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151.69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1" t="s">
        <v>13</v>
      </c>
      <c r="B88" s="8" t="s">
        <v>100</v>
      </c>
      <c r="C88" s="29">
        <v>8.3299999999999999E-2</v>
      </c>
      <c r="D88" s="18">
        <f t="shared" ref="D88:D95" si="2">ROUND($D$39*C88,2)</f>
        <v>158.30000000000001</v>
      </c>
      <c r="E88" s="36"/>
    </row>
    <row r="89" spans="1:5" x14ac:dyDescent="0.25">
      <c r="A89" s="71" t="s">
        <v>15</v>
      </c>
      <c r="B89" s="8" t="s">
        <v>101</v>
      </c>
      <c r="C89" s="29">
        <v>2.3999999999999998E-3</v>
      </c>
      <c r="D89" s="18">
        <f t="shared" si="2"/>
        <v>4.5599999999999996</v>
      </c>
    </row>
    <row r="90" spans="1:5" x14ac:dyDescent="0.25">
      <c r="A90" s="71" t="s">
        <v>18</v>
      </c>
      <c r="B90" s="32" t="s">
        <v>102</v>
      </c>
      <c r="C90" s="29">
        <v>2.0000000000000001E-4</v>
      </c>
      <c r="D90" s="18">
        <f t="shared" si="2"/>
        <v>0.38</v>
      </c>
    </row>
    <row r="91" spans="1:5" x14ac:dyDescent="0.25">
      <c r="A91" s="71" t="s">
        <v>20</v>
      </c>
      <c r="B91" s="8" t="s">
        <v>103</v>
      </c>
      <c r="C91" s="29">
        <v>1.4E-3</v>
      </c>
      <c r="D91" s="18">
        <f t="shared" si="2"/>
        <v>2.66</v>
      </c>
    </row>
    <row r="92" spans="1:5" x14ac:dyDescent="0.25">
      <c r="A92" s="71" t="s">
        <v>45</v>
      </c>
      <c r="B92" s="8" t="s">
        <v>104</v>
      </c>
      <c r="C92" s="29">
        <v>4.0000000000000002E-4</v>
      </c>
      <c r="D92" s="18">
        <f t="shared" si="2"/>
        <v>0.76</v>
      </c>
    </row>
    <row r="93" spans="1:5" x14ac:dyDescent="0.25">
      <c r="A93" s="71" t="s">
        <v>47</v>
      </c>
      <c r="B93" s="32" t="s">
        <v>105</v>
      </c>
      <c r="C93" s="29">
        <v>2.0000000000000001E-4</v>
      </c>
      <c r="D93" s="18">
        <f t="shared" si="2"/>
        <v>0.38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167.04</v>
      </c>
    </row>
    <row r="95" spans="1:5" x14ac:dyDescent="0.25">
      <c r="A95" s="71" t="s">
        <v>49</v>
      </c>
      <c r="B95" s="8" t="s">
        <v>106</v>
      </c>
      <c r="C95" s="29">
        <f>C69*C94</f>
        <v>3.2347200000000013E-2</v>
      </c>
      <c r="D95" s="18">
        <f t="shared" si="2"/>
        <v>61.47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228.51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67">
        <v>4</v>
      </c>
      <c r="B99" s="740" t="s">
        <v>108</v>
      </c>
      <c r="C99" s="740"/>
      <c r="D99" s="16" t="s">
        <v>40</v>
      </c>
    </row>
    <row r="100" spans="1:5" x14ac:dyDescent="0.25">
      <c r="A100" s="71" t="s">
        <v>109</v>
      </c>
      <c r="B100" s="37" t="s">
        <v>110</v>
      </c>
      <c r="C100" s="38">
        <f>C76</f>
        <v>0.1519392</v>
      </c>
      <c r="D100" s="18">
        <f>ROUND($D$39*C100,2)</f>
        <v>288.74</v>
      </c>
      <c r="E100" s="36"/>
    </row>
    <row r="101" spans="1:5" x14ac:dyDescent="0.25">
      <c r="A101" s="71" t="s">
        <v>111</v>
      </c>
      <c r="B101" s="37" t="s">
        <v>112</v>
      </c>
      <c r="C101" s="38">
        <f>C69</f>
        <v>0.3680000000000001</v>
      </c>
      <c r="D101" s="18">
        <f>ROUND($D$39*C101,2)</f>
        <v>699.33</v>
      </c>
    </row>
    <row r="102" spans="1:5" x14ac:dyDescent="0.25">
      <c r="A102" s="70" t="s">
        <v>113</v>
      </c>
      <c r="B102" s="37" t="s">
        <v>114</v>
      </c>
      <c r="C102" s="38">
        <f>C85</f>
        <v>7.9819200000000007E-2</v>
      </c>
      <c r="D102" s="18">
        <f>ROUND($D$39*C102,2)</f>
        <v>151.68</v>
      </c>
    </row>
    <row r="103" spans="1:5" x14ac:dyDescent="0.25">
      <c r="A103" s="70" t="s">
        <v>115</v>
      </c>
      <c r="B103" s="37" t="s">
        <v>116</v>
      </c>
      <c r="C103" s="38">
        <f>C96</f>
        <v>0.12024720000000003</v>
      </c>
      <c r="D103" s="18">
        <f>ROUND($D$39*C103,2)</f>
        <v>228.51</v>
      </c>
    </row>
    <row r="104" spans="1:5" x14ac:dyDescent="0.25">
      <c r="A104" s="70"/>
      <c r="B104" s="149"/>
      <c r="C104" s="68"/>
      <c r="D104" s="18"/>
    </row>
    <row r="105" spans="1:5" ht="12.75" x14ac:dyDescent="0.2">
      <c r="A105" s="71"/>
      <c r="B105" s="69" t="s">
        <v>91</v>
      </c>
      <c r="C105" s="41">
        <f>SUM(C100:C104)</f>
        <v>0.72000560000000002</v>
      </c>
      <c r="D105" s="23">
        <f>ROUND($D$39*C105,2)</f>
        <v>1368.26</v>
      </c>
    </row>
    <row r="106" spans="1:5" x14ac:dyDescent="0.25">
      <c r="D106" s="42">
        <f>ROUND(D105+D57+D49+D39,2)</f>
        <v>3655.09</v>
      </c>
    </row>
    <row r="107" spans="1:5" ht="12.75" x14ac:dyDescent="0.2">
      <c r="A107" s="67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1" t="s">
        <v>13</v>
      </c>
      <c r="B108" s="8" t="s">
        <v>120</v>
      </c>
      <c r="C108" s="29">
        <v>0.01</v>
      </c>
      <c r="D108" s="18">
        <f>ROUND($D$106*C108,2)</f>
        <v>36.549999999999997</v>
      </c>
    </row>
    <row r="109" spans="1:5" x14ac:dyDescent="0.25">
      <c r="A109" s="71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68.98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317.70999999999998</v>
      </c>
      <c r="F113" s="61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83.61</v>
      </c>
      <c r="F114" s="62">
        <f>ROUND(D115+D108+D106,2)</f>
        <v>3710.1</v>
      </c>
    </row>
    <row r="115" spans="1:9" x14ac:dyDescent="0.25">
      <c r="A115" s="71" t="s">
        <v>18</v>
      </c>
      <c r="B115" s="8" t="s">
        <v>132</v>
      </c>
      <c r="C115" s="29">
        <v>5.0000000000000001E-3</v>
      </c>
      <c r="D115" s="18">
        <f>ROUND(($D$106+D108)*C115,2)</f>
        <v>18.46</v>
      </c>
      <c r="F115" s="63">
        <f>ROUND(F114/(1-F113),2)</f>
        <v>4180.3900000000003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525.30999999999995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1" t="s">
        <v>13</v>
      </c>
      <c r="B120" s="731" t="s">
        <v>135</v>
      </c>
      <c r="C120" s="731"/>
      <c r="D120" s="18">
        <f>D39</f>
        <v>1900.34</v>
      </c>
    </row>
    <row r="121" spans="1:9" x14ac:dyDescent="0.25">
      <c r="A121" s="71" t="s">
        <v>15</v>
      </c>
      <c r="B121" s="731" t="s">
        <v>136</v>
      </c>
      <c r="C121" s="731"/>
      <c r="D121" s="18">
        <f>D49</f>
        <v>334.61</v>
      </c>
    </row>
    <row r="122" spans="1:9" x14ac:dyDescent="0.25">
      <c r="A122" s="71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71" t="s">
        <v>20</v>
      </c>
      <c r="B123" s="731" t="s">
        <v>138</v>
      </c>
      <c r="C123" s="731"/>
      <c r="D123" s="18">
        <f>D105</f>
        <v>1368.26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3655.09</v>
      </c>
    </row>
    <row r="125" spans="1:9" ht="18.75" x14ac:dyDescent="0.3">
      <c r="A125" s="71" t="s">
        <v>45</v>
      </c>
      <c r="B125" s="751" t="s">
        <v>139</v>
      </c>
      <c r="C125" s="751"/>
      <c r="D125" s="18">
        <f>D116</f>
        <v>525.30999999999995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4180.3999999999996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4180.3999999999996</v>
      </c>
      <c r="E130" s="49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4180.3999999999996</v>
      </c>
      <c r="E132" s="49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4180.3999999999996</v>
      </c>
      <c r="E134" s="49"/>
      <c r="F134" s="64"/>
    </row>
    <row r="135" spans="1:9" ht="19.5" thickBot="1" x14ac:dyDescent="0.35">
      <c r="A135" s="147"/>
      <c r="B135" s="147"/>
      <c r="C135" s="147"/>
      <c r="D135" s="148"/>
      <c r="E135" s="49"/>
      <c r="F135" s="64"/>
    </row>
    <row r="136" spans="1:9" ht="15.75" thickBot="1" x14ac:dyDescent="0.25">
      <c r="A136" s="788" t="s">
        <v>334</v>
      </c>
      <c r="B136" s="789"/>
      <c r="C136" s="789"/>
      <c r="D136" s="790"/>
    </row>
    <row r="137" spans="1:9" x14ac:dyDescent="0.2">
      <c r="A137" s="150"/>
      <c r="B137" s="140"/>
      <c r="C137" s="111"/>
      <c r="D137" s="151"/>
    </row>
    <row r="138" spans="1:9" x14ac:dyDescent="0.2">
      <c r="A138" s="791" t="s">
        <v>335</v>
      </c>
      <c r="B138" s="792"/>
      <c r="C138" s="792"/>
      <c r="D138" s="793"/>
      <c r="F138" s="9"/>
    </row>
    <row r="139" spans="1:9" x14ac:dyDescent="0.2">
      <c r="A139" s="152" t="s">
        <v>13</v>
      </c>
      <c r="B139" s="153" t="s">
        <v>336</v>
      </c>
      <c r="C139" s="140"/>
      <c r="D139" s="433">
        <v>250</v>
      </c>
      <c r="E139" s="28"/>
      <c r="F139" s="9"/>
      <c r="G139" s="50"/>
    </row>
    <row r="140" spans="1:9" x14ac:dyDescent="0.25">
      <c r="A140" s="152" t="s">
        <v>15</v>
      </c>
      <c r="B140" s="153" t="s">
        <v>337</v>
      </c>
      <c r="C140" s="140"/>
      <c r="D140" s="157" t="s">
        <v>636</v>
      </c>
      <c r="F140" s="9"/>
      <c r="G140" s="51"/>
    </row>
    <row r="141" spans="1:9" ht="15.75" thickBot="1" x14ac:dyDescent="0.3">
      <c r="A141" s="154" t="s">
        <v>18</v>
      </c>
      <c r="B141" s="155" t="s">
        <v>338</v>
      </c>
      <c r="C141" s="156" t="s">
        <v>339</v>
      </c>
      <c r="D141" s="158">
        <f>130*48</f>
        <v>6240</v>
      </c>
      <c r="F141" s="9"/>
      <c r="G141" s="51"/>
    </row>
    <row r="142" spans="1:9" x14ac:dyDescent="0.25">
      <c r="A142" s="2" t="s">
        <v>484</v>
      </c>
      <c r="F142" s="9"/>
      <c r="G142" s="51"/>
    </row>
    <row r="143" spans="1:9" x14ac:dyDescent="0.25">
      <c r="A143" s="727" t="s">
        <v>148</v>
      </c>
      <c r="B143" s="727"/>
      <c r="C143" s="727"/>
      <c r="D143" s="727"/>
      <c r="F143" s="9"/>
      <c r="G143" s="51"/>
    </row>
    <row r="144" spans="1:9" x14ac:dyDescent="0.25">
      <c r="A144" s="71" t="s">
        <v>13</v>
      </c>
      <c r="B144" s="731" t="s">
        <v>149</v>
      </c>
      <c r="C144" s="731"/>
      <c r="D144" s="18">
        <f>D130</f>
        <v>4180.3999999999996</v>
      </c>
      <c r="F144" s="9"/>
      <c r="G144" s="51"/>
    </row>
    <row r="145" spans="1:8" x14ac:dyDescent="0.25">
      <c r="A145" s="71" t="s">
        <v>15</v>
      </c>
      <c r="B145" s="731" t="s">
        <v>150</v>
      </c>
      <c r="C145" s="731"/>
      <c r="D145" s="18">
        <f>D134</f>
        <v>4180.3999999999996</v>
      </c>
      <c r="F145" s="9"/>
      <c r="G145" s="51"/>
    </row>
    <row r="146" spans="1:8" x14ac:dyDescent="0.25">
      <c r="A146" s="67" t="s">
        <v>18</v>
      </c>
      <c r="B146" s="740" t="s">
        <v>340</v>
      </c>
      <c r="C146" s="740"/>
      <c r="D146" s="23">
        <f>ROUND(D145*12,2)+D141</f>
        <v>56404.800000000003</v>
      </c>
      <c r="F146" s="9"/>
      <c r="G146" s="51"/>
    </row>
    <row r="147" spans="1:8" ht="12.75" x14ac:dyDescent="0.2">
      <c r="A147" s="146"/>
      <c r="B147" s="147"/>
      <c r="C147" s="147"/>
      <c r="D147" s="148">
        <f>D146/12</f>
        <v>4700.4000000000005</v>
      </c>
      <c r="F147" s="9"/>
    </row>
    <row r="148" spans="1:8" x14ac:dyDescent="0.25">
      <c r="A148" s="30"/>
      <c r="B148" s="120"/>
      <c r="F148" s="52"/>
      <c r="H148" s="1"/>
    </row>
    <row r="149" spans="1:8" x14ac:dyDescent="0.25">
      <c r="A149" s="119" t="s">
        <v>152</v>
      </c>
      <c r="F149" s="9"/>
    </row>
    <row r="150" spans="1:8" x14ac:dyDescent="0.25">
      <c r="A150" s="30"/>
      <c r="F150" s="9"/>
    </row>
    <row r="151" spans="1:8" x14ac:dyDescent="0.25">
      <c r="A151" s="30"/>
      <c r="B151" s="121"/>
      <c r="F151" s="9"/>
    </row>
    <row r="152" spans="1:8" x14ac:dyDescent="0.25">
      <c r="A152" s="121" t="s">
        <v>153</v>
      </c>
      <c r="B152" s="122"/>
      <c r="F152" s="9"/>
    </row>
    <row r="153" spans="1:8" x14ac:dyDescent="0.25">
      <c r="A153" s="122" t="s">
        <v>154</v>
      </c>
      <c r="B153" s="118"/>
      <c r="F153" s="9"/>
    </row>
    <row r="154" spans="1:8" x14ac:dyDescent="0.25">
      <c r="A154" s="118" t="s">
        <v>155</v>
      </c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5">
    <mergeCell ref="B144:C144"/>
    <mergeCell ref="B145:C145"/>
    <mergeCell ref="B146:C146"/>
    <mergeCell ref="A136:D136"/>
    <mergeCell ref="A138:D138"/>
    <mergeCell ref="A131:C131"/>
    <mergeCell ref="A132:C132"/>
    <mergeCell ref="A133:C133"/>
    <mergeCell ref="A134:C134"/>
    <mergeCell ref="A143:D143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9:D65569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105:D131105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41:D196641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7:D262177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13:D327713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9:D393249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85:D458785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21:D524321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7:D589857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93:D655393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9:D720929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65:D786465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2001:D852001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7:D917537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73:D983073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2" orientation="portrait" r:id="rId1"/>
  <headerFooter alignWithMargins="0"/>
  <rowBreaks count="1" manualBreakCount="1">
    <brk id="14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234"/>
  <sheetViews>
    <sheetView showGridLines="0" tabSelected="1" view="pageBreakPreview" zoomScale="85" zoomScaleNormal="100" zoomScaleSheetLayoutView="85" workbookViewId="0">
      <pane xSplit="3" ySplit="10" topLeftCell="D203" activePane="bottomRight" state="frozen"/>
      <selection activeCell="A7" sqref="A7"/>
      <selection pane="topRight" activeCell="D7" sqref="D7"/>
      <selection pane="bottomLeft" activeCell="A11" sqref="A11"/>
      <selection pane="bottomRight" activeCell="B231" sqref="B231:BA234"/>
    </sheetView>
  </sheetViews>
  <sheetFormatPr defaultRowHeight="15.75" x14ac:dyDescent="0.25"/>
  <cols>
    <col min="1" max="1" width="9.140625" style="246" hidden="1" customWidth="1"/>
    <col min="2" max="2" width="34.140625" style="246" customWidth="1"/>
    <col min="3" max="3" width="25.28515625" style="246" customWidth="1"/>
    <col min="4" max="4" width="24.85546875" style="246" hidden="1" customWidth="1"/>
    <col min="5" max="5" width="18.5703125" style="246" hidden="1" customWidth="1"/>
    <col min="6" max="7" width="24.85546875" style="246" hidden="1" customWidth="1"/>
    <col min="8" max="10" width="19.7109375" style="246" hidden="1" customWidth="1"/>
    <col min="11" max="11" width="22" style="248" hidden="1" customWidth="1"/>
    <col min="12" max="12" width="24.28515625" style="246" hidden="1" customWidth="1"/>
    <col min="13" max="13" width="40.85546875" style="246" hidden="1" customWidth="1"/>
    <col min="14" max="14" width="123.42578125" style="246" hidden="1" customWidth="1"/>
    <col min="15" max="15" width="14.42578125" style="246" hidden="1" customWidth="1"/>
    <col min="16" max="16" width="21.85546875" style="246" hidden="1" customWidth="1"/>
    <col min="17" max="17" width="25.7109375" style="246" hidden="1" customWidth="1"/>
    <col min="18" max="18" width="14.5703125" style="246" hidden="1" customWidth="1"/>
    <col min="19" max="19" width="16.5703125" style="246" hidden="1" customWidth="1"/>
    <col min="20" max="20" width="9.140625" style="246" hidden="1" customWidth="1"/>
    <col min="21" max="21" width="20" style="246" hidden="1" customWidth="1"/>
    <col min="22" max="22" width="18" style="246" hidden="1" customWidth="1"/>
    <col min="23" max="23" width="14.5703125" style="246" hidden="1" customWidth="1"/>
    <col min="24" max="24" width="16.5703125" style="246" hidden="1" customWidth="1"/>
    <col min="25" max="25" width="9.140625" style="246" hidden="1" customWidth="1"/>
    <col min="26" max="26" width="23.5703125" style="246" hidden="1" customWidth="1"/>
    <col min="27" max="29" width="19.7109375" style="246" hidden="1" customWidth="1"/>
    <col min="30" max="30" width="112.85546875" style="246" hidden="1" customWidth="1"/>
    <col min="31" max="34" width="23.28515625" style="246" hidden="1" customWidth="1"/>
    <col min="35" max="35" width="112.85546875" style="246" hidden="1" customWidth="1"/>
    <col min="36" max="36" width="12.5703125" style="246" hidden="1" customWidth="1"/>
    <col min="37" max="37" width="46.5703125" style="246" hidden="1" customWidth="1"/>
    <col min="38" max="38" width="16" style="246" hidden="1" customWidth="1"/>
    <col min="39" max="39" width="25.5703125" style="246" hidden="1" customWidth="1"/>
    <col min="40" max="40" width="70.28515625" style="246" hidden="1" customWidth="1"/>
    <col min="41" max="41" width="23.5703125" style="246" hidden="1" customWidth="1"/>
    <col min="42" max="42" width="19.7109375" style="439" hidden="1" customWidth="1"/>
    <col min="43" max="43" width="22.5703125" style="246" hidden="1" customWidth="1"/>
    <col min="44" max="44" width="25.140625" style="246" hidden="1" customWidth="1"/>
    <col min="45" max="45" width="70.28515625" style="246" hidden="1" customWidth="1"/>
    <col min="46" max="46" width="23.5703125" style="246" hidden="1" customWidth="1"/>
    <col min="47" max="47" width="19.7109375" style="439" hidden="1" customWidth="1"/>
    <col min="48" max="48" width="22.5703125" style="246" hidden="1" customWidth="1"/>
    <col min="49" max="49" width="25.140625" style="246" hidden="1" customWidth="1"/>
    <col min="50" max="50" width="23.5703125" style="246" customWidth="1"/>
    <col min="51" max="51" width="19.7109375" style="439" customWidth="1"/>
    <col min="52" max="52" width="22.5703125" style="246" bestFit="1" customWidth="1"/>
    <col min="53" max="53" width="25.140625" style="246" bestFit="1" customWidth="1"/>
    <col min="54" max="54" width="18.42578125" style="246" customWidth="1"/>
    <col min="55" max="55" width="17" style="246" bestFit="1" customWidth="1"/>
    <col min="56" max="57" width="15.140625" style="246" bestFit="1" customWidth="1"/>
    <col min="58" max="59" width="9.140625" style="246"/>
    <col min="60" max="60" width="15.140625" style="246" bestFit="1" customWidth="1"/>
    <col min="61" max="61" width="9.140625" style="246"/>
    <col min="62" max="62" width="15.140625" style="246" bestFit="1" customWidth="1"/>
    <col min="63" max="16384" width="9.140625" style="246"/>
  </cols>
  <sheetData>
    <row r="1" spans="2:53" x14ac:dyDescent="0.25">
      <c r="C1" s="247" t="s">
        <v>451</v>
      </c>
      <c r="AK1" s="439"/>
    </row>
    <row r="2" spans="2:53" x14ac:dyDescent="0.25">
      <c r="C2" s="249" t="s">
        <v>452</v>
      </c>
      <c r="AK2" s="439"/>
    </row>
    <row r="3" spans="2:53" x14ac:dyDescent="0.25">
      <c r="C3" s="249" t="s">
        <v>453</v>
      </c>
      <c r="AK3" s="439"/>
    </row>
    <row r="4" spans="2:53" x14ac:dyDescent="0.25">
      <c r="C4" s="249" t="s">
        <v>454</v>
      </c>
      <c r="AK4" s="439"/>
    </row>
    <row r="5" spans="2:53" x14ac:dyDescent="0.25">
      <c r="C5" s="249"/>
      <c r="AK5" s="439"/>
    </row>
    <row r="6" spans="2:53" x14ac:dyDescent="0.25">
      <c r="C6" s="249" t="s">
        <v>455</v>
      </c>
      <c r="AK6" s="439"/>
    </row>
    <row r="7" spans="2:53" x14ac:dyDescent="0.25"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AF7" s="439"/>
      <c r="AK7" s="439"/>
    </row>
    <row r="8" spans="2:53" x14ac:dyDescent="0.25">
      <c r="C8" s="251"/>
      <c r="D8" s="251"/>
      <c r="E8" s="251"/>
      <c r="F8" s="251"/>
      <c r="G8" s="251"/>
      <c r="K8" s="252"/>
      <c r="L8" s="251"/>
      <c r="M8" s="251"/>
      <c r="N8" s="251"/>
      <c r="O8" s="253"/>
      <c r="P8" s="722"/>
      <c r="Q8" s="722"/>
      <c r="R8" s="722"/>
      <c r="S8" s="722"/>
      <c r="U8" s="722"/>
      <c r="V8" s="722"/>
      <c r="W8" s="722"/>
      <c r="X8" s="722"/>
      <c r="AA8" s="717" t="s">
        <v>570</v>
      </c>
      <c r="AB8" s="717"/>
      <c r="AC8" s="717"/>
      <c r="AE8" s="411" t="s">
        <v>655</v>
      </c>
      <c r="AF8" s="411"/>
      <c r="AG8" s="411"/>
      <c r="AK8" s="411" t="s">
        <v>657</v>
      </c>
      <c r="AL8" s="411"/>
      <c r="AP8" s="411" t="s">
        <v>693</v>
      </c>
      <c r="AQ8" s="411"/>
      <c r="AU8" s="411" t="s">
        <v>709</v>
      </c>
      <c r="AV8" s="411"/>
      <c r="AY8" s="411" t="s">
        <v>713</v>
      </c>
      <c r="AZ8" s="411"/>
    </row>
    <row r="9" spans="2:53" x14ac:dyDescent="0.25">
      <c r="B9" s="255" t="s">
        <v>294</v>
      </c>
      <c r="C9" s="254" t="s">
        <v>503</v>
      </c>
      <c r="E9" s="717" t="s">
        <v>566</v>
      </c>
      <c r="F9" s="717"/>
      <c r="G9" s="717"/>
      <c r="H9" s="717" t="s">
        <v>569</v>
      </c>
      <c r="I9" s="717"/>
      <c r="J9" s="717"/>
      <c r="AA9" s="246" t="s">
        <v>645</v>
      </c>
      <c r="AF9" s="439"/>
      <c r="AK9" s="439"/>
    </row>
    <row r="10" spans="2:53" ht="47.25" x14ac:dyDescent="0.25">
      <c r="B10" s="256" t="s">
        <v>159</v>
      </c>
      <c r="C10" s="257" t="s">
        <v>160</v>
      </c>
      <c r="D10" s="257" t="s">
        <v>161</v>
      </c>
      <c r="E10" s="257" t="s">
        <v>168</v>
      </c>
      <c r="F10" s="257" t="s">
        <v>167</v>
      </c>
      <c r="G10" s="257" t="s">
        <v>162</v>
      </c>
      <c r="H10" s="257" t="s">
        <v>168</v>
      </c>
      <c r="I10" s="257" t="s">
        <v>167</v>
      </c>
      <c r="J10" s="257" t="s">
        <v>162</v>
      </c>
      <c r="K10" s="257" t="s">
        <v>515</v>
      </c>
      <c r="L10" s="257" t="s">
        <v>520</v>
      </c>
      <c r="N10" s="246" t="s">
        <v>548</v>
      </c>
      <c r="P10" s="257" t="s">
        <v>161</v>
      </c>
      <c r="Q10" s="257" t="s">
        <v>509</v>
      </c>
      <c r="R10" s="257" t="s">
        <v>167</v>
      </c>
      <c r="S10" s="257" t="s">
        <v>162</v>
      </c>
      <c r="U10" s="257" t="s">
        <v>161</v>
      </c>
      <c r="V10" s="257" t="s">
        <v>168</v>
      </c>
      <c r="W10" s="257" t="s">
        <v>167</v>
      </c>
      <c r="X10" s="257" t="s">
        <v>162</v>
      </c>
      <c r="Z10" s="257" t="s">
        <v>571</v>
      </c>
      <c r="AA10" s="257" t="s">
        <v>168</v>
      </c>
      <c r="AB10" s="257" t="s">
        <v>167</v>
      </c>
      <c r="AC10" s="257" t="s">
        <v>162</v>
      </c>
      <c r="AE10" s="257" t="s">
        <v>628</v>
      </c>
      <c r="AF10" s="440" t="s">
        <v>168</v>
      </c>
      <c r="AG10" s="257" t="s">
        <v>167</v>
      </c>
      <c r="AH10" s="257" t="s">
        <v>162</v>
      </c>
      <c r="AJ10" s="257" t="s">
        <v>628</v>
      </c>
      <c r="AK10" s="440" t="s">
        <v>168</v>
      </c>
      <c r="AL10" s="257" t="s">
        <v>167</v>
      </c>
      <c r="AM10" s="257" t="s">
        <v>162</v>
      </c>
      <c r="AO10" s="257" t="s">
        <v>628</v>
      </c>
      <c r="AP10" s="440" t="s">
        <v>168</v>
      </c>
      <c r="AQ10" s="257" t="s">
        <v>167</v>
      </c>
      <c r="AR10" s="257" t="s">
        <v>162</v>
      </c>
      <c r="AT10" s="257" t="s">
        <v>628</v>
      </c>
      <c r="AU10" s="440" t="s">
        <v>168</v>
      </c>
      <c r="AV10" s="257" t="s">
        <v>167</v>
      </c>
      <c r="AW10" s="257" t="s">
        <v>162</v>
      </c>
      <c r="AX10" s="257" t="s">
        <v>628</v>
      </c>
      <c r="AY10" s="440" t="s">
        <v>168</v>
      </c>
      <c r="AZ10" s="257" t="s">
        <v>167</v>
      </c>
      <c r="BA10" s="257" t="s">
        <v>162</v>
      </c>
    </row>
    <row r="11" spans="2:53" x14ac:dyDescent="0.25">
      <c r="B11" s="258">
        <v>1</v>
      </c>
      <c r="C11" s="259" t="s">
        <v>291</v>
      </c>
      <c r="D11" s="260">
        <v>1</v>
      </c>
      <c r="E11" s="261">
        <v>3436.83</v>
      </c>
      <c r="F11" s="262">
        <v>3436.83</v>
      </c>
      <c r="G11" s="262">
        <v>41241.96</v>
      </c>
      <c r="H11" s="261">
        <f>'Super 2'!$D$137</f>
        <v>4482.8100000000004</v>
      </c>
      <c r="I11" s="262">
        <f>D11*H11</f>
        <v>4482.8100000000004</v>
      </c>
      <c r="J11" s="262">
        <f>I11*12</f>
        <v>53793.72</v>
      </c>
      <c r="K11" s="263">
        <f>I11*3</f>
        <v>13448.43</v>
      </c>
      <c r="L11" s="264" t="s">
        <v>519</v>
      </c>
      <c r="N11" s="246">
        <f>D24</f>
        <v>1</v>
      </c>
      <c r="P11" s="265">
        <v>0</v>
      </c>
      <c r="Q11" s="261">
        <v>0</v>
      </c>
      <c r="R11" s="262">
        <f>P11*Q11</f>
        <v>0</v>
      </c>
      <c r="S11" s="262">
        <f>R11*12</f>
        <v>0</v>
      </c>
      <c r="U11" s="265">
        <v>0</v>
      </c>
      <c r="V11" s="261">
        <f>'Super 2'!$D$137</f>
        <v>4482.8100000000004</v>
      </c>
      <c r="W11" s="262">
        <f>U11*V11</f>
        <v>0</v>
      </c>
      <c r="X11" s="262">
        <f>W11*12</f>
        <v>0</v>
      </c>
      <c r="Z11" s="260">
        <v>1</v>
      </c>
      <c r="AA11" s="441">
        <v>3436.83</v>
      </c>
      <c r="AB11" s="441">
        <v>3436.83</v>
      </c>
      <c r="AC11" s="441">
        <v>41241.96</v>
      </c>
      <c r="AD11" s="262"/>
      <c r="AE11" s="260">
        <v>1</v>
      </c>
      <c r="AF11" s="441">
        <v>3875.84</v>
      </c>
      <c r="AG11" s="441">
        <v>3875.84</v>
      </c>
      <c r="AH11" s="441">
        <v>46510.080000000002</v>
      </c>
      <c r="AJ11" s="260">
        <v>1</v>
      </c>
      <c r="AK11" s="441">
        <v>3875.84</v>
      </c>
      <c r="AL11" s="441">
        <v>3875.84</v>
      </c>
      <c r="AM11" s="441">
        <v>46510.080000000002</v>
      </c>
      <c r="AO11" s="260">
        <v>1</v>
      </c>
      <c r="AP11" s="441">
        <v>3875.84</v>
      </c>
      <c r="AQ11" s="441">
        <v>3875.84</v>
      </c>
      <c r="AR11" s="441">
        <v>46510.080000000002</v>
      </c>
      <c r="AT11" s="260">
        <f>AT24</f>
        <v>1</v>
      </c>
      <c r="AU11" s="441">
        <f>'Super 2'!D137</f>
        <v>4482.8100000000004</v>
      </c>
      <c r="AV11" s="441">
        <f>AV24</f>
        <v>4482.8100000000004</v>
      </c>
      <c r="AW11" s="441">
        <f>AV11*12</f>
        <v>53793.72</v>
      </c>
      <c r="AX11" s="260">
        <f>AX24</f>
        <v>1</v>
      </c>
      <c r="AY11" s="441">
        <f>'Super 2'!D137</f>
        <v>4482.8100000000004</v>
      </c>
      <c r="AZ11" s="441">
        <f>AZ24</f>
        <v>4482.8100000000004</v>
      </c>
      <c r="BA11" s="441">
        <f>AZ11*12</f>
        <v>53793.72</v>
      </c>
    </row>
    <row r="12" spans="2:53" x14ac:dyDescent="0.25">
      <c r="B12" s="258">
        <v>2</v>
      </c>
      <c r="C12" s="259" t="s">
        <v>2</v>
      </c>
      <c r="D12" s="260">
        <f>D25+D26+D38+D46+D50+D54+D58+D62+D68</f>
        <v>13</v>
      </c>
      <c r="E12" s="261">
        <v>1970.65</v>
      </c>
      <c r="F12" s="262">
        <v>25618.45</v>
      </c>
      <c r="G12" s="262">
        <v>307421.40000000002</v>
      </c>
      <c r="H12" s="261">
        <f>'Recepção 2'!$D$137</f>
        <v>2622.17</v>
      </c>
      <c r="I12" s="262">
        <f>D12*H12</f>
        <v>34088.21</v>
      </c>
      <c r="J12" s="262">
        <f>I12*12</f>
        <v>409058.52</v>
      </c>
      <c r="K12" s="266" t="s">
        <v>519</v>
      </c>
      <c r="L12" s="264">
        <f>I12*2</f>
        <v>68176.42</v>
      </c>
      <c r="N12" s="267">
        <f>D25+D26+D38+D46+D50+D54+D58+D62+D68</f>
        <v>13</v>
      </c>
      <c r="P12" s="260">
        <v>12</v>
      </c>
      <c r="Q12" s="261">
        <f>R12/P12</f>
        <v>2084.75</v>
      </c>
      <c r="R12" s="262">
        <f>2110.7+(4*1999.16)+(2*2110.69)+2110.71+2110.78+2109.23+2109.2+2248.36</f>
        <v>25017</v>
      </c>
      <c r="S12" s="262">
        <f>R12*12</f>
        <v>300204</v>
      </c>
      <c r="U12" s="265">
        <v>12</v>
      </c>
      <c r="V12" s="261">
        <f>'Recepção 2'!$D$137</f>
        <v>2622.17</v>
      </c>
      <c r="W12" s="262">
        <f>U12*V12</f>
        <v>31466.04</v>
      </c>
      <c r="X12" s="262">
        <f>W12*12</f>
        <v>377592.48</v>
      </c>
      <c r="Z12" s="260">
        <v>13</v>
      </c>
      <c r="AA12" s="441">
        <v>1970.65</v>
      </c>
      <c r="AB12" s="441">
        <v>25618.45</v>
      </c>
      <c r="AC12" s="441">
        <v>307421.40000000002</v>
      </c>
      <c r="AD12" s="262"/>
      <c r="AE12" s="260">
        <v>13</v>
      </c>
      <c r="AF12" s="441">
        <v>2211.4299999999998</v>
      </c>
      <c r="AG12" s="441">
        <v>28748.589999999997</v>
      </c>
      <c r="AH12" s="441">
        <v>344983.07999999996</v>
      </c>
      <c r="AJ12" s="260">
        <v>13</v>
      </c>
      <c r="AK12" s="441">
        <v>2211.4299999999998</v>
      </c>
      <c r="AL12" s="441">
        <v>28748.589999999997</v>
      </c>
      <c r="AM12" s="441">
        <v>344983.07999999996</v>
      </c>
      <c r="AO12" s="260">
        <v>14</v>
      </c>
      <c r="AP12" s="441">
        <v>2211.4299999999998</v>
      </c>
      <c r="AQ12" s="441">
        <v>30960.019999999997</v>
      </c>
      <c r="AR12" s="441">
        <v>371520.24</v>
      </c>
      <c r="AT12" s="260">
        <f>AT25+AT26+AT38+AT46+AT50+AT54+AT58+AT62+AT68+AT39</f>
        <v>14</v>
      </c>
      <c r="AU12" s="441">
        <f>'Recepção 2'!D137</f>
        <v>2622.17</v>
      </c>
      <c r="AV12" s="441">
        <f t="shared" ref="AV12:AV17" si="0">AU12*AT12</f>
        <v>36710.380000000005</v>
      </c>
      <c r="AW12" s="441">
        <f t="shared" ref="AW12:AW20" si="1">AV12*12</f>
        <v>440524.56000000006</v>
      </c>
      <c r="AX12" s="260">
        <f>AX25+AX26+AX38+AX46+AX50+AX54+AX58+AX62+AX68+AX39</f>
        <v>13</v>
      </c>
      <c r="AY12" s="441">
        <f>'Recepção 2'!D137</f>
        <v>2622.17</v>
      </c>
      <c r="AZ12" s="441">
        <f t="shared" ref="AZ12:AZ14" si="2">AY12*AX12</f>
        <v>34088.21</v>
      </c>
      <c r="BA12" s="441">
        <f t="shared" ref="BA12:BA14" si="3">AZ12*12</f>
        <v>409058.52</v>
      </c>
    </row>
    <row r="13" spans="2:53" x14ac:dyDescent="0.25">
      <c r="B13" s="258">
        <v>3</v>
      </c>
      <c r="C13" s="259" t="s">
        <v>163</v>
      </c>
      <c r="D13" s="260">
        <v>5</v>
      </c>
      <c r="E13" s="261">
        <v>1420.39</v>
      </c>
      <c r="F13" s="262">
        <v>7101.9500000000007</v>
      </c>
      <c r="G13" s="262">
        <v>85223.400000000009</v>
      </c>
      <c r="H13" s="261">
        <f>'Copeira 2'!$D$137</f>
        <v>2320.86</v>
      </c>
      <c r="I13" s="262">
        <f t="shared" ref="I13:I19" si="4">D13*H13</f>
        <v>11604.300000000001</v>
      </c>
      <c r="J13" s="262">
        <f t="shared" ref="J13:J20" si="5">I13*12</f>
        <v>139251.6</v>
      </c>
      <c r="K13" s="266" t="s">
        <v>519</v>
      </c>
      <c r="L13" s="264">
        <f>I13*2</f>
        <v>23208.600000000002</v>
      </c>
      <c r="N13" s="246">
        <f>D40+D41+D69</f>
        <v>5</v>
      </c>
      <c r="P13" s="260">
        <v>4</v>
      </c>
      <c r="Q13" s="261">
        <f>R13/P13</f>
        <v>1551.9799999999998</v>
      </c>
      <c r="R13" s="261">
        <f>(1573.85*3)+(1486.37)</f>
        <v>6207.9199999999992</v>
      </c>
      <c r="S13" s="262">
        <f t="shared" ref="S13:S20" si="6">R13*12</f>
        <v>74495.039999999994</v>
      </c>
      <c r="U13" s="265">
        <v>4</v>
      </c>
      <c r="V13" s="261">
        <f>'Copeira 2'!$D$137</f>
        <v>2320.86</v>
      </c>
      <c r="W13" s="262">
        <f t="shared" ref="W13:W20" si="7">U13*V13</f>
        <v>9283.44</v>
      </c>
      <c r="X13" s="262">
        <f t="shared" ref="X13:X20" si="8">W13*12</f>
        <v>111401.28</v>
      </c>
      <c r="Z13" s="260">
        <v>5</v>
      </c>
      <c r="AA13" s="441">
        <v>1420.39</v>
      </c>
      <c r="AB13" s="441">
        <v>7101.9500000000007</v>
      </c>
      <c r="AC13" s="441">
        <v>85223.400000000009</v>
      </c>
      <c r="AD13" s="262">
        <f>AB41+AB40+AB69</f>
        <v>7101.9500000000007</v>
      </c>
      <c r="AE13" s="260">
        <v>5</v>
      </c>
      <c r="AF13" s="441">
        <v>1567.88</v>
      </c>
      <c r="AG13" s="441">
        <v>7839.4000000000005</v>
      </c>
      <c r="AH13" s="441">
        <v>94072.8</v>
      </c>
      <c r="AI13" s="380"/>
      <c r="AJ13" s="260">
        <v>5</v>
      </c>
      <c r="AK13" s="441">
        <v>1567.88</v>
      </c>
      <c r="AL13" s="441">
        <v>7839.4000000000005</v>
      </c>
      <c r="AM13" s="441">
        <v>94072.8</v>
      </c>
      <c r="AN13" s="380"/>
      <c r="AO13" s="260">
        <v>5</v>
      </c>
      <c r="AP13" s="441">
        <v>1567.88</v>
      </c>
      <c r="AQ13" s="441">
        <v>7839.4000000000005</v>
      </c>
      <c r="AR13" s="441">
        <v>94072.8</v>
      </c>
      <c r="AS13" s="380"/>
      <c r="AT13" s="260">
        <f>AT40+AT41+AT69</f>
        <v>5</v>
      </c>
      <c r="AU13" s="441">
        <f>'Copeira 2'!D137</f>
        <v>2320.86</v>
      </c>
      <c r="AV13" s="441">
        <f t="shared" si="0"/>
        <v>11604.300000000001</v>
      </c>
      <c r="AW13" s="441">
        <f t="shared" si="1"/>
        <v>139251.6</v>
      </c>
      <c r="AX13" s="260">
        <f>AX40+AX41+AX69</f>
        <v>5</v>
      </c>
      <c r="AY13" s="441">
        <f>'Copeira 2'!D137</f>
        <v>2320.86</v>
      </c>
      <c r="AZ13" s="441">
        <f t="shared" si="2"/>
        <v>11604.300000000001</v>
      </c>
      <c r="BA13" s="441">
        <f t="shared" si="3"/>
        <v>139251.6</v>
      </c>
    </row>
    <row r="14" spans="2:53" x14ac:dyDescent="0.25">
      <c r="B14" s="258">
        <v>4</v>
      </c>
      <c r="C14" s="259" t="s">
        <v>3</v>
      </c>
      <c r="D14" s="260">
        <v>4</v>
      </c>
      <c r="E14" s="261">
        <v>2469.9499999999998</v>
      </c>
      <c r="F14" s="262">
        <v>9879.7999999999993</v>
      </c>
      <c r="G14" s="262">
        <v>118557.59999999999</v>
      </c>
      <c r="H14" s="261">
        <f>'Porteiro 2'!$D$137</f>
        <v>3292.56</v>
      </c>
      <c r="I14" s="262">
        <f t="shared" si="4"/>
        <v>13170.24</v>
      </c>
      <c r="J14" s="262">
        <f t="shared" si="5"/>
        <v>158042.88</v>
      </c>
      <c r="K14" s="266" t="s">
        <v>519</v>
      </c>
      <c r="L14" s="264">
        <f t="shared" ref="L14:L20" si="9">I14*2</f>
        <v>26340.48</v>
      </c>
      <c r="N14" s="246">
        <f>D70</f>
        <v>4</v>
      </c>
      <c r="P14" s="260">
        <v>4</v>
      </c>
      <c r="Q14" s="261">
        <f>R14/P14</f>
        <v>2687.9900000000002</v>
      </c>
      <c r="R14" s="262">
        <f>2676.02+(3*2691.98)</f>
        <v>10751.960000000001</v>
      </c>
      <c r="S14" s="262">
        <f t="shared" si="6"/>
        <v>129023.52000000002</v>
      </c>
      <c r="U14" s="265">
        <v>4</v>
      </c>
      <c r="V14" s="261">
        <f>'Porteiro 2'!$D$137</f>
        <v>3292.56</v>
      </c>
      <c r="W14" s="262">
        <f t="shared" si="7"/>
        <v>13170.24</v>
      </c>
      <c r="X14" s="262">
        <f t="shared" si="8"/>
        <v>158042.88</v>
      </c>
      <c r="Z14" s="260">
        <v>4</v>
      </c>
      <c r="AA14" s="441">
        <v>2469.9499999999998</v>
      </c>
      <c r="AB14" s="441">
        <v>9879.7999999999993</v>
      </c>
      <c r="AC14" s="441">
        <v>118557.59999999999</v>
      </c>
      <c r="AD14" s="262"/>
      <c r="AE14" s="260">
        <v>4</v>
      </c>
      <c r="AF14" s="441">
        <v>2785.89</v>
      </c>
      <c r="AG14" s="441">
        <v>11143.56</v>
      </c>
      <c r="AH14" s="441">
        <v>133722.72</v>
      </c>
      <c r="AJ14" s="260">
        <v>4</v>
      </c>
      <c r="AK14" s="441">
        <v>2785.89</v>
      </c>
      <c r="AL14" s="441">
        <v>11143.56</v>
      </c>
      <c r="AM14" s="441">
        <v>133722.72</v>
      </c>
      <c r="AO14" s="260">
        <v>6</v>
      </c>
      <c r="AP14" s="441">
        <v>2785.89</v>
      </c>
      <c r="AQ14" s="441">
        <v>16715.34</v>
      </c>
      <c r="AR14" s="441">
        <v>200584.08000000002</v>
      </c>
      <c r="AT14" s="260">
        <f>AT70</f>
        <v>6</v>
      </c>
      <c r="AU14" s="441">
        <f>'Porteiro 2'!$D$137</f>
        <v>3292.56</v>
      </c>
      <c r="AV14" s="441">
        <f t="shared" si="0"/>
        <v>19755.36</v>
      </c>
      <c r="AW14" s="441">
        <f t="shared" si="1"/>
        <v>237064.32000000001</v>
      </c>
      <c r="AX14" s="260">
        <f>AX70</f>
        <v>4</v>
      </c>
      <c r="AY14" s="441">
        <f>'Porteiro 2'!$D$137</f>
        <v>3292.56</v>
      </c>
      <c r="AZ14" s="441">
        <f t="shared" si="2"/>
        <v>13170.24</v>
      </c>
      <c r="BA14" s="441">
        <f t="shared" si="3"/>
        <v>158042.88</v>
      </c>
    </row>
    <row r="15" spans="2:53" x14ac:dyDescent="0.25">
      <c r="B15" s="258">
        <v>5</v>
      </c>
      <c r="C15" s="259" t="s">
        <v>292</v>
      </c>
      <c r="D15" s="260">
        <v>7</v>
      </c>
      <c r="E15" s="261">
        <v>1714.13</v>
      </c>
      <c r="F15" s="262">
        <v>11998.91</v>
      </c>
      <c r="G15" s="262">
        <v>143986.91999999998</v>
      </c>
      <c r="H15" s="261">
        <f>'ASG 2'!$D$137</f>
        <v>2295.14</v>
      </c>
      <c r="I15" s="262">
        <f t="shared" si="4"/>
        <v>16065.98</v>
      </c>
      <c r="J15" s="262">
        <f t="shared" si="5"/>
        <v>192791.76</v>
      </c>
      <c r="K15" s="266" t="s">
        <v>519</v>
      </c>
      <c r="L15" s="264">
        <f t="shared" si="9"/>
        <v>32131.96</v>
      </c>
      <c r="N15" s="246">
        <f>D27+D63+D71</f>
        <v>7</v>
      </c>
      <c r="P15" s="260">
        <v>5</v>
      </c>
      <c r="Q15" s="261">
        <f>R15/P15</f>
        <v>2386.09</v>
      </c>
      <c r="R15" s="262">
        <f>(2386.09*2)+(3*2386.09)</f>
        <v>11930.45</v>
      </c>
      <c r="S15" s="262">
        <f t="shared" si="6"/>
        <v>143165.40000000002</v>
      </c>
      <c r="U15" s="265">
        <v>5</v>
      </c>
      <c r="V15" s="261">
        <f>'ASG 2'!$D$137</f>
        <v>2295.14</v>
      </c>
      <c r="W15" s="262">
        <f t="shared" si="7"/>
        <v>11475.699999999999</v>
      </c>
      <c r="X15" s="262">
        <f t="shared" si="8"/>
        <v>137708.4</v>
      </c>
      <c r="Z15" s="260">
        <v>7</v>
      </c>
      <c r="AA15" s="441">
        <v>1714.13</v>
      </c>
      <c r="AB15" s="441">
        <v>11998.91</v>
      </c>
      <c r="AC15" s="441">
        <v>143986.91999999998</v>
      </c>
      <c r="AD15" s="262"/>
      <c r="AE15" s="260">
        <v>7</v>
      </c>
      <c r="AF15" s="441">
        <v>1912.22</v>
      </c>
      <c r="AG15" s="441">
        <v>13385.54</v>
      </c>
      <c r="AH15" s="441">
        <v>160626.48000000001</v>
      </c>
      <c r="AJ15" s="260">
        <v>8</v>
      </c>
      <c r="AK15" s="441">
        <v>1912.22</v>
      </c>
      <c r="AL15" s="441">
        <v>15297.76</v>
      </c>
      <c r="AM15" s="441">
        <v>183573.12</v>
      </c>
      <c r="AN15" s="272"/>
      <c r="AO15" s="260">
        <v>6</v>
      </c>
      <c r="AP15" s="441">
        <v>1912.22</v>
      </c>
      <c r="AQ15" s="441">
        <v>11473.32</v>
      </c>
      <c r="AR15" s="441">
        <v>137679.84</v>
      </c>
      <c r="AS15" s="272"/>
      <c r="AT15" s="260">
        <f>AT28+AT63+AT71</f>
        <v>6</v>
      </c>
      <c r="AU15" s="441">
        <f>'ASG 2'!$D$137</f>
        <v>2295.14</v>
      </c>
      <c r="AV15" s="441">
        <f>AU15*AT15</f>
        <v>13770.84</v>
      </c>
      <c r="AW15" s="441">
        <f>AV15*12</f>
        <v>165250.08000000002</v>
      </c>
      <c r="AX15" s="260">
        <f>AX28+AX63+AX71</f>
        <v>4</v>
      </c>
      <c r="AY15" s="441">
        <f>'ASG 2'!$D$137</f>
        <v>2295.14</v>
      </c>
      <c r="AZ15" s="441">
        <f>AY15*AX15</f>
        <v>9180.56</v>
      </c>
      <c r="BA15" s="441">
        <f>AZ15*12</f>
        <v>110166.72</v>
      </c>
    </row>
    <row r="16" spans="2:53" x14ac:dyDescent="0.25">
      <c r="B16" s="258">
        <v>7</v>
      </c>
      <c r="C16" s="259" t="s">
        <v>165</v>
      </c>
      <c r="D16" s="260">
        <v>1</v>
      </c>
      <c r="E16" s="261">
        <v>2466.3000000000002</v>
      </c>
      <c r="F16" s="262">
        <v>2466.3000000000002</v>
      </c>
      <c r="G16" s="262">
        <v>29595.600000000002</v>
      </c>
      <c r="H16" s="261">
        <f>'Almoxarife 2'!$D$137</f>
        <v>3331.13</v>
      </c>
      <c r="I16" s="262">
        <f t="shared" si="4"/>
        <v>3331.13</v>
      </c>
      <c r="J16" s="262">
        <f t="shared" si="5"/>
        <v>39973.56</v>
      </c>
      <c r="K16" s="263" t="s">
        <v>519</v>
      </c>
      <c r="L16" s="264">
        <f t="shared" si="9"/>
        <v>6662.26</v>
      </c>
      <c r="N16" s="246">
        <f>D29</f>
        <v>1</v>
      </c>
      <c r="P16" s="260">
        <v>0</v>
      </c>
      <c r="Q16" s="261">
        <v>0</v>
      </c>
      <c r="R16" s="262">
        <f>P16*Q16</f>
        <v>0</v>
      </c>
      <c r="S16" s="262">
        <f t="shared" si="6"/>
        <v>0</v>
      </c>
      <c r="U16" s="265">
        <v>0</v>
      </c>
      <c r="V16" s="261">
        <f>'Almoxarife 2'!$D$137</f>
        <v>3331.13</v>
      </c>
      <c r="W16" s="262">
        <f t="shared" si="7"/>
        <v>0</v>
      </c>
      <c r="X16" s="262">
        <f t="shared" si="8"/>
        <v>0</v>
      </c>
      <c r="Z16" s="260">
        <v>1</v>
      </c>
      <c r="AA16" s="441">
        <v>2814.05</v>
      </c>
      <c r="AB16" s="441">
        <v>2814.05</v>
      </c>
      <c r="AC16" s="441">
        <v>33768.600000000006</v>
      </c>
      <c r="AE16" s="260">
        <v>1</v>
      </c>
      <c r="AF16" s="441">
        <v>2814.05</v>
      </c>
      <c r="AG16" s="441">
        <v>2814.05</v>
      </c>
      <c r="AH16" s="441">
        <v>33768.600000000006</v>
      </c>
      <c r="AJ16" s="260">
        <v>1</v>
      </c>
      <c r="AK16" s="441">
        <v>2814.05</v>
      </c>
      <c r="AL16" s="441">
        <v>2814.05</v>
      </c>
      <c r="AM16" s="441">
        <v>33768.600000000006</v>
      </c>
      <c r="AO16" s="260">
        <v>1</v>
      </c>
      <c r="AP16" s="441">
        <v>2814.05</v>
      </c>
      <c r="AQ16" s="441">
        <v>2814.05</v>
      </c>
      <c r="AR16" s="441">
        <v>33768.600000000006</v>
      </c>
      <c r="AT16" s="260">
        <v>1</v>
      </c>
      <c r="AU16" s="441">
        <f>'Almoxarife 2'!$D$137</f>
        <v>3331.13</v>
      </c>
      <c r="AV16" s="441">
        <f t="shared" si="0"/>
        <v>3331.13</v>
      </c>
      <c r="AW16" s="441">
        <f t="shared" si="1"/>
        <v>39973.56</v>
      </c>
      <c r="AX16" s="260">
        <v>1</v>
      </c>
      <c r="AY16" s="441">
        <f>'Almoxarife 2'!$D$137</f>
        <v>3331.13</v>
      </c>
      <c r="AZ16" s="441">
        <f t="shared" ref="AZ16:AZ17" si="10">AY16*AX16</f>
        <v>3331.13</v>
      </c>
      <c r="BA16" s="441">
        <f t="shared" ref="BA16:BA20" si="11">AZ16*12</f>
        <v>39973.56</v>
      </c>
    </row>
    <row r="17" spans="2:53" x14ac:dyDescent="0.25">
      <c r="B17" s="258">
        <v>8</v>
      </c>
      <c r="C17" s="259" t="s">
        <v>293</v>
      </c>
      <c r="D17" s="260">
        <v>5</v>
      </c>
      <c r="E17" s="261">
        <v>2948.04</v>
      </c>
      <c r="F17" s="262">
        <v>14740.2</v>
      </c>
      <c r="G17" s="262">
        <v>176882.40000000002</v>
      </c>
      <c r="H17" s="261">
        <f>'Oficial 2'!$D$136</f>
        <v>3471.01</v>
      </c>
      <c r="I17" s="262">
        <f t="shared" si="4"/>
        <v>17355.050000000003</v>
      </c>
      <c r="J17" s="262">
        <f t="shared" si="5"/>
        <v>208260.60000000003</v>
      </c>
      <c r="K17" s="266" t="s">
        <v>519</v>
      </c>
      <c r="L17" s="264">
        <f>I17*2</f>
        <v>34710.100000000006</v>
      </c>
      <c r="N17" s="250">
        <f>D30+D73</f>
        <v>4</v>
      </c>
      <c r="P17" s="260">
        <v>4</v>
      </c>
      <c r="Q17" s="261">
        <f>R17/P17</f>
        <v>2851.8649999999998</v>
      </c>
      <c r="R17" s="262">
        <f>(2851.86*2)+(2*2851.87)</f>
        <v>11407.46</v>
      </c>
      <c r="S17" s="262">
        <f t="shared" si="6"/>
        <v>136889.51999999999</v>
      </c>
      <c r="U17" s="265">
        <v>4</v>
      </c>
      <c r="V17" s="261">
        <f>'Oficial 2'!$D$136</f>
        <v>3471.01</v>
      </c>
      <c r="W17" s="262">
        <f t="shared" si="7"/>
        <v>13884.04</v>
      </c>
      <c r="X17" s="262">
        <f t="shared" si="8"/>
        <v>166608.48000000001</v>
      </c>
      <c r="Z17" s="401">
        <v>4</v>
      </c>
      <c r="AA17" s="441">
        <v>3194.68</v>
      </c>
      <c r="AB17" s="441">
        <v>12778.72</v>
      </c>
      <c r="AC17" s="441">
        <v>153344.63999999998</v>
      </c>
      <c r="AE17" s="260">
        <v>4</v>
      </c>
      <c r="AF17" s="446">
        <v>3194.68</v>
      </c>
      <c r="AG17" s="441">
        <v>12778.72</v>
      </c>
      <c r="AH17" s="441">
        <v>153344.63999999998</v>
      </c>
      <c r="AI17" s="272">
        <f>AG17+AG79+AG87+AG106+AG113+AG131+AG140+AG150+AG160+AG169+AG178</f>
        <v>48507.72</v>
      </c>
      <c r="AJ17" s="260">
        <v>4</v>
      </c>
      <c r="AK17" s="446">
        <v>2953.93</v>
      </c>
      <c r="AL17" s="441">
        <v>11815.72</v>
      </c>
      <c r="AM17" s="441">
        <v>141788.63999999998</v>
      </c>
      <c r="AO17" s="260">
        <v>4</v>
      </c>
      <c r="AP17" s="446">
        <v>2953.93</v>
      </c>
      <c r="AQ17" s="441">
        <v>11815.72</v>
      </c>
      <c r="AR17" s="441">
        <v>141788.63999999998</v>
      </c>
      <c r="AT17" s="260">
        <f>AT30+AT64+AT73+AT218</f>
        <v>4</v>
      </c>
      <c r="AU17" s="446">
        <f>'Oficial 2'!$D$136</f>
        <v>3471.01</v>
      </c>
      <c r="AV17" s="441">
        <f t="shared" si="0"/>
        <v>13884.04</v>
      </c>
      <c r="AW17" s="441">
        <f t="shared" si="1"/>
        <v>166608.48000000001</v>
      </c>
      <c r="AX17" s="260">
        <f>AX30+AX64+AX73+AX218</f>
        <v>4</v>
      </c>
      <c r="AY17" s="446">
        <f>'Oficial 2'!$D$136</f>
        <v>3471.01</v>
      </c>
      <c r="AZ17" s="441">
        <f t="shared" si="10"/>
        <v>13884.04</v>
      </c>
      <c r="BA17" s="441">
        <f t="shared" si="11"/>
        <v>166608.48000000001</v>
      </c>
    </row>
    <row r="18" spans="2:53" x14ac:dyDescent="0.25">
      <c r="B18" s="258">
        <v>9</v>
      </c>
      <c r="C18" s="259" t="s">
        <v>580</v>
      </c>
      <c r="D18" s="260">
        <v>0</v>
      </c>
      <c r="E18" s="261" t="s">
        <v>345</v>
      </c>
      <c r="F18" s="262" t="s">
        <v>345</v>
      </c>
      <c r="G18" s="262" t="s">
        <v>345</v>
      </c>
      <c r="H18" s="261" t="s">
        <v>345</v>
      </c>
      <c r="I18" s="262" t="s">
        <v>345</v>
      </c>
      <c r="J18" s="262" t="s">
        <v>345</v>
      </c>
      <c r="K18" s="266"/>
      <c r="L18" s="264"/>
      <c r="N18" s="250"/>
      <c r="P18" s="260"/>
      <c r="Q18" s="261"/>
      <c r="R18" s="262"/>
      <c r="S18" s="262"/>
      <c r="U18" s="265"/>
      <c r="V18" s="261"/>
      <c r="W18" s="262"/>
      <c r="X18" s="262"/>
      <c r="Z18" s="401">
        <v>1</v>
      </c>
      <c r="AA18" s="441">
        <v>2292.4299999999998</v>
      </c>
      <c r="AB18" s="441">
        <v>2292.4299999999998</v>
      </c>
      <c r="AC18" s="441">
        <v>27509.159999999996</v>
      </c>
      <c r="AE18" s="260">
        <v>1</v>
      </c>
      <c r="AF18" s="446">
        <v>2560.02</v>
      </c>
      <c r="AG18" s="441">
        <v>2560.02</v>
      </c>
      <c r="AH18" s="441">
        <v>30720.239999999998</v>
      </c>
      <c r="AJ18" s="260">
        <v>1</v>
      </c>
      <c r="AK18" s="446">
        <v>2560.02</v>
      </c>
      <c r="AL18" s="441">
        <v>2560.02</v>
      </c>
      <c r="AM18" s="441">
        <v>30720.239999999998</v>
      </c>
      <c r="AO18" s="260">
        <v>0</v>
      </c>
      <c r="AP18" s="446">
        <v>2560.02</v>
      </c>
      <c r="AQ18" s="441">
        <v>0</v>
      </c>
      <c r="AR18" s="441">
        <v>0</v>
      </c>
      <c r="AT18" s="260">
        <f>AT65</f>
        <v>0</v>
      </c>
      <c r="AU18" s="446">
        <f>'Op. de maq. 2'!D137</f>
        <v>3029.63</v>
      </c>
      <c r="AV18" s="441">
        <f>AU18*AT18</f>
        <v>0</v>
      </c>
      <c r="AW18" s="441">
        <f t="shared" si="1"/>
        <v>0</v>
      </c>
      <c r="AX18" s="260">
        <f>AX65</f>
        <v>0</v>
      </c>
      <c r="AY18" s="446">
        <f>'Op. de maq. 2'!D137</f>
        <v>3029.63</v>
      </c>
      <c r="AZ18" s="441">
        <f>AY18*AX18</f>
        <v>0</v>
      </c>
      <c r="BA18" s="441">
        <f t="shared" si="11"/>
        <v>0</v>
      </c>
    </row>
    <row r="19" spans="2:53" x14ac:dyDescent="0.25">
      <c r="B19" s="258">
        <v>11</v>
      </c>
      <c r="C19" s="259" t="s">
        <v>8</v>
      </c>
      <c r="D19" s="260">
        <v>16</v>
      </c>
      <c r="E19" s="261">
        <v>2924.41</v>
      </c>
      <c r="F19" s="262">
        <v>46790.559999999998</v>
      </c>
      <c r="G19" s="262">
        <v>561486.72</v>
      </c>
      <c r="H19" s="261">
        <f>'Orçam 2'!$D$137</f>
        <v>4148.87</v>
      </c>
      <c r="I19" s="262">
        <f t="shared" si="4"/>
        <v>66381.919999999998</v>
      </c>
      <c r="J19" s="262">
        <f t="shared" si="5"/>
        <v>796583.04</v>
      </c>
      <c r="K19" s="266" t="s">
        <v>519</v>
      </c>
      <c r="L19" s="264">
        <f t="shared" si="9"/>
        <v>132763.84</v>
      </c>
      <c r="N19" s="246">
        <f>D31+D32+D33+D35+D47+D51+D55+D59</f>
        <v>16</v>
      </c>
      <c r="P19" s="260">
        <v>12</v>
      </c>
      <c r="Q19" s="261">
        <f>R19/P19</f>
        <v>3059.7383333333332</v>
      </c>
      <c r="R19" s="262">
        <f>(3046.79*4)+(3065.63*3)+3065.63+(3065.62*2)+(3064.44)+3071.5</f>
        <v>36716.86</v>
      </c>
      <c r="S19" s="262">
        <f t="shared" si="6"/>
        <v>440602.32</v>
      </c>
      <c r="U19" s="265">
        <v>12</v>
      </c>
      <c r="V19" s="261">
        <f>'Orçam 2'!$D$137</f>
        <v>4148.87</v>
      </c>
      <c r="W19" s="262">
        <f t="shared" si="7"/>
        <v>49786.44</v>
      </c>
      <c r="X19" s="262">
        <f t="shared" si="8"/>
        <v>597437.28</v>
      </c>
      <c r="Z19" s="260">
        <v>16</v>
      </c>
      <c r="AA19" s="441">
        <v>2924.41</v>
      </c>
      <c r="AB19" s="441">
        <v>46790.559999999998</v>
      </c>
      <c r="AC19" s="441">
        <v>561486.72</v>
      </c>
      <c r="AE19" s="260">
        <v>16</v>
      </c>
      <c r="AF19" s="441">
        <v>3343.55</v>
      </c>
      <c r="AG19" s="441">
        <v>53496.800000000003</v>
      </c>
      <c r="AH19" s="441">
        <v>641961.60000000009</v>
      </c>
      <c r="AJ19" s="260">
        <v>16</v>
      </c>
      <c r="AK19" s="441">
        <v>3343.55</v>
      </c>
      <c r="AL19" s="441">
        <v>53496.800000000003</v>
      </c>
      <c r="AM19" s="441">
        <v>641961.60000000009</v>
      </c>
      <c r="AO19" s="260">
        <v>16</v>
      </c>
      <c r="AP19" s="441">
        <v>3343.55</v>
      </c>
      <c r="AQ19" s="441">
        <v>53496.800000000003</v>
      </c>
      <c r="AR19" s="441">
        <v>641961.60000000009</v>
      </c>
      <c r="AT19" s="260">
        <f>AT31+AT32+AT33+AT35+AT47+AT51+AT55+AT59+AT34+AT42</f>
        <v>16</v>
      </c>
      <c r="AU19" s="441">
        <f>'Orçam 2'!$D$137</f>
        <v>4148.87</v>
      </c>
      <c r="AV19" s="441">
        <f>AU19*AT19</f>
        <v>66381.919999999998</v>
      </c>
      <c r="AW19" s="441">
        <f t="shared" si="1"/>
        <v>796583.04</v>
      </c>
      <c r="AX19" s="260">
        <f>AX31+AX32+AX33+AX35+AX47+AX51+AX55+AX59+AX34+AX42</f>
        <v>4</v>
      </c>
      <c r="AY19" s="441">
        <f>'Orçam 2'!$D$137</f>
        <v>4148.87</v>
      </c>
      <c r="AZ19" s="441">
        <f>AY19*AX19</f>
        <v>16595.48</v>
      </c>
      <c r="BA19" s="441">
        <f t="shared" si="11"/>
        <v>199145.76</v>
      </c>
    </row>
    <row r="20" spans="2:53" x14ac:dyDescent="0.25">
      <c r="B20" s="258">
        <v>12</v>
      </c>
      <c r="C20" s="259" t="s">
        <v>5</v>
      </c>
      <c r="D20" s="260">
        <v>2</v>
      </c>
      <c r="E20" s="261">
        <v>3522.26</v>
      </c>
      <c r="F20" s="262">
        <v>7044.52</v>
      </c>
      <c r="G20" s="262">
        <v>84534.24</v>
      </c>
      <c r="H20" s="261">
        <f>'Cerim. 2'!$D$147</f>
        <v>4700.4000000000005</v>
      </c>
      <c r="I20" s="262">
        <f>D20*H20</f>
        <v>9400.8000000000011</v>
      </c>
      <c r="J20" s="262">
        <f t="shared" si="5"/>
        <v>112809.60000000001</v>
      </c>
      <c r="K20" s="266" t="s">
        <v>519</v>
      </c>
      <c r="L20" s="264">
        <f t="shared" si="9"/>
        <v>18801.600000000002</v>
      </c>
      <c r="N20" s="246">
        <f>D43</f>
        <v>2</v>
      </c>
      <c r="P20" s="260">
        <v>2</v>
      </c>
      <c r="Q20" s="261">
        <v>3061.61</v>
      </c>
      <c r="R20" s="262">
        <f>P20*Q20</f>
        <v>6123.22</v>
      </c>
      <c r="S20" s="262">
        <f t="shared" si="6"/>
        <v>73478.64</v>
      </c>
      <c r="U20" s="265">
        <v>2</v>
      </c>
      <c r="V20" s="261">
        <f>'Cerim. 2'!$D$147</f>
        <v>4700.4000000000005</v>
      </c>
      <c r="W20" s="262">
        <f t="shared" si="7"/>
        <v>9400.8000000000011</v>
      </c>
      <c r="X20" s="262">
        <f t="shared" si="8"/>
        <v>112809.60000000001</v>
      </c>
      <c r="Z20" s="260">
        <v>2</v>
      </c>
      <c r="AA20" s="441">
        <v>3522.26</v>
      </c>
      <c r="AB20" s="441">
        <v>7044.52</v>
      </c>
      <c r="AC20" s="441">
        <v>84534.24</v>
      </c>
      <c r="AE20" s="260">
        <v>2</v>
      </c>
      <c r="AF20" s="441">
        <v>3955.64</v>
      </c>
      <c r="AG20" s="441">
        <v>7911.28</v>
      </c>
      <c r="AH20" s="441">
        <v>94935.360000000001</v>
      </c>
      <c r="AJ20" s="260">
        <v>2</v>
      </c>
      <c r="AK20" s="441">
        <v>3955.64</v>
      </c>
      <c r="AL20" s="441">
        <v>7911.28</v>
      </c>
      <c r="AM20" s="441">
        <v>94935.360000000001</v>
      </c>
      <c r="AO20" s="260">
        <v>2</v>
      </c>
      <c r="AP20" s="441">
        <v>3955.64</v>
      </c>
      <c r="AQ20" s="441">
        <v>7911.28</v>
      </c>
      <c r="AR20" s="441">
        <v>94935.360000000001</v>
      </c>
      <c r="AT20" s="260">
        <f>AT43</f>
        <v>2</v>
      </c>
      <c r="AU20" s="441">
        <f>'Cerim. 2'!$D$147</f>
        <v>4700.4000000000005</v>
      </c>
      <c r="AV20" s="441">
        <f>AU20*AT20</f>
        <v>9400.8000000000011</v>
      </c>
      <c r="AW20" s="441">
        <f t="shared" si="1"/>
        <v>112809.60000000001</v>
      </c>
      <c r="AX20" s="260">
        <v>1</v>
      </c>
      <c r="AY20" s="441">
        <f>'Cerim. 2'!$D$147</f>
        <v>4700.4000000000005</v>
      </c>
      <c r="AZ20" s="441">
        <f>AY20*AX20</f>
        <v>4700.4000000000005</v>
      </c>
      <c r="BA20" s="441">
        <f t="shared" si="11"/>
        <v>56404.800000000003</v>
      </c>
    </row>
    <row r="21" spans="2:53" x14ac:dyDescent="0.25">
      <c r="B21" s="716"/>
      <c r="C21" s="716"/>
      <c r="D21" s="268">
        <f>SUM(D11:D20)</f>
        <v>54</v>
      </c>
      <c r="E21" s="358"/>
      <c r="F21" s="369">
        <f>SUM(F11:F20)</f>
        <v>129077.52</v>
      </c>
      <c r="G21" s="369">
        <f>SUM(G11:G20)</f>
        <v>1548930.24</v>
      </c>
      <c r="H21" s="269"/>
      <c r="I21" s="270">
        <f>SUM(I11:I20)</f>
        <v>175880.44</v>
      </c>
      <c r="J21" s="270">
        <f>SUM(J11:J20)</f>
        <v>2110565.2800000003</v>
      </c>
      <c r="K21" s="271">
        <f>SUM(K11:K20)</f>
        <v>13448.43</v>
      </c>
      <c r="L21" s="271">
        <f>SUM(L11:L20)</f>
        <v>342795.26</v>
      </c>
      <c r="N21" s="268">
        <f>SUM(N11:N20)</f>
        <v>53</v>
      </c>
      <c r="P21" s="268">
        <f>SUM(P11:P20)</f>
        <v>43</v>
      </c>
      <c r="Q21" s="269"/>
      <c r="R21" s="270">
        <f>SUM(R11:R20)</f>
        <v>108154.87</v>
      </c>
      <c r="S21" s="270">
        <f>SUM(S11:S20)</f>
        <v>1297858.44</v>
      </c>
      <c r="U21" s="268">
        <f>SUM(U11:U20)</f>
        <v>43</v>
      </c>
      <c r="V21" s="269"/>
      <c r="W21" s="270">
        <f>SUM(W11:W20)</f>
        <v>138466.69999999998</v>
      </c>
      <c r="X21" s="270">
        <f>SUM(X11:X20)</f>
        <v>1661600.4000000001</v>
      </c>
      <c r="Z21" s="423">
        <v>54</v>
      </c>
      <c r="AA21" s="269"/>
      <c r="AB21" s="270">
        <v>129756.22</v>
      </c>
      <c r="AC21" s="270">
        <v>1557074.64</v>
      </c>
      <c r="AD21" s="380" t="e">
        <f>#REF!+#REF!+#REF!+#REF!+#REF!+#REF!+#REF!+#REF!</f>
        <v>#REF!</v>
      </c>
      <c r="AE21" s="464">
        <v>54</v>
      </c>
      <c r="AF21" s="443"/>
      <c r="AG21" s="271">
        <v>144553.80000000002</v>
      </c>
      <c r="AH21" s="271">
        <v>1734645.6</v>
      </c>
      <c r="AI21" s="380"/>
      <c r="AJ21" s="470">
        <v>55</v>
      </c>
      <c r="AK21" s="443"/>
      <c r="AL21" s="271">
        <v>145503.01999999999</v>
      </c>
      <c r="AM21" s="271">
        <v>1746036.24</v>
      </c>
      <c r="AN21" s="380"/>
      <c r="AO21" s="575">
        <v>55</v>
      </c>
      <c r="AP21" s="443"/>
      <c r="AQ21" s="271">
        <v>146901.77000000002</v>
      </c>
      <c r="AR21" s="271">
        <v>1762821.24</v>
      </c>
      <c r="AS21" s="272"/>
      <c r="AT21" s="376">
        <f>SUM(AT11:AT20)</f>
        <v>55</v>
      </c>
      <c r="AU21" s="443"/>
      <c r="AV21" s="271">
        <f>SUM(AV11:AV20)</f>
        <v>179321.58000000002</v>
      </c>
      <c r="AW21" s="271">
        <f>SUM(AW11:AW20)</f>
        <v>2151858.96</v>
      </c>
      <c r="AX21" s="608">
        <f>SUM(AX11:AX20)</f>
        <v>37</v>
      </c>
      <c r="AY21" s="443"/>
      <c r="AZ21" s="271">
        <f>SUM(AZ11:AZ20)</f>
        <v>111037.17</v>
      </c>
      <c r="BA21" s="271">
        <f>SUM(BA11:BA20)</f>
        <v>1332446.04</v>
      </c>
    </row>
    <row r="22" spans="2:53" x14ac:dyDescent="0.25">
      <c r="B22" s="254"/>
      <c r="C22" s="255" t="s">
        <v>521</v>
      </c>
      <c r="D22" s="254" t="s">
        <v>503</v>
      </c>
      <c r="E22" s="254"/>
      <c r="F22" s="254"/>
      <c r="G22" s="254"/>
      <c r="H22" s="254"/>
      <c r="I22" s="254"/>
      <c r="J22" s="254"/>
      <c r="AA22" s="254"/>
      <c r="AB22" s="351"/>
      <c r="AC22" s="254"/>
      <c r="AF22" s="444"/>
      <c r="AG22" s="351"/>
      <c r="AH22" s="254"/>
      <c r="AK22" s="444"/>
      <c r="AL22" s="351"/>
      <c r="AM22" s="254"/>
      <c r="AP22" s="444"/>
      <c r="AQ22" s="351"/>
      <c r="AR22" s="254"/>
      <c r="AS22" s="272">
        <f>AG21-(AP65)-(2*AP71)+(AP70*2)+(AP68)</f>
        <v>145952.55000000002</v>
      </c>
      <c r="AU22" s="444"/>
      <c r="AV22" s="351"/>
      <c r="AW22" s="254"/>
      <c r="AY22" s="444"/>
      <c r="AZ22" s="351"/>
      <c r="BA22" s="254"/>
    </row>
    <row r="23" spans="2:53" ht="47.25" x14ac:dyDescent="0.25">
      <c r="B23" s="256" t="s">
        <v>159</v>
      </c>
      <c r="C23" s="257" t="s">
        <v>160</v>
      </c>
      <c r="D23" s="257" t="s">
        <v>161</v>
      </c>
      <c r="E23" s="257" t="s">
        <v>168</v>
      </c>
      <c r="F23" s="257" t="s">
        <v>167</v>
      </c>
      <c r="G23" s="257" t="s">
        <v>162</v>
      </c>
      <c r="H23" s="257" t="s">
        <v>168</v>
      </c>
      <c r="I23" s="257" t="s">
        <v>167</v>
      </c>
      <c r="J23" s="257" t="s">
        <v>162</v>
      </c>
      <c r="K23" s="257" t="s">
        <v>515</v>
      </c>
      <c r="L23" s="257" t="s">
        <v>520</v>
      </c>
      <c r="M23" s="257" t="s">
        <v>518</v>
      </c>
      <c r="N23" s="257" t="s">
        <v>548</v>
      </c>
      <c r="Z23" s="257" t="s">
        <v>571</v>
      </c>
      <c r="AA23" s="257" t="s">
        <v>168</v>
      </c>
      <c r="AB23" s="257" t="s">
        <v>167</v>
      </c>
      <c r="AC23" s="257" t="s">
        <v>162</v>
      </c>
      <c r="AE23" s="257" t="s">
        <v>628</v>
      </c>
      <c r="AF23" s="440" t="s">
        <v>168</v>
      </c>
      <c r="AG23" s="257" t="s">
        <v>167</v>
      </c>
      <c r="AH23" s="257" t="s">
        <v>162</v>
      </c>
      <c r="AJ23" s="257" t="s">
        <v>628</v>
      </c>
      <c r="AK23" s="440" t="s">
        <v>168</v>
      </c>
      <c r="AL23" s="257" t="s">
        <v>167</v>
      </c>
      <c r="AM23" s="257" t="s">
        <v>162</v>
      </c>
      <c r="AO23" s="257" t="s">
        <v>628</v>
      </c>
      <c r="AP23" s="440" t="s">
        <v>168</v>
      </c>
      <c r="AQ23" s="257" t="s">
        <v>167</v>
      </c>
      <c r="AR23" s="257" t="s">
        <v>162</v>
      </c>
      <c r="AT23" s="257" t="s">
        <v>628</v>
      </c>
      <c r="AU23" s="440" t="s">
        <v>168</v>
      </c>
      <c r="AV23" s="257" t="s">
        <v>167</v>
      </c>
      <c r="AW23" s="257" t="s">
        <v>162</v>
      </c>
      <c r="AX23" s="257" t="s">
        <v>628</v>
      </c>
      <c r="AY23" s="440" t="s">
        <v>168</v>
      </c>
      <c r="AZ23" s="257" t="s">
        <v>167</v>
      </c>
      <c r="BA23" s="257" t="s">
        <v>162</v>
      </c>
    </row>
    <row r="24" spans="2:53" x14ac:dyDescent="0.25">
      <c r="B24" s="258">
        <v>1</v>
      </c>
      <c r="C24" s="273" t="s">
        <v>522</v>
      </c>
      <c r="D24" s="260">
        <v>1</v>
      </c>
      <c r="E24" s="260">
        <v>3436.83</v>
      </c>
      <c r="F24" s="260">
        <v>3436.83</v>
      </c>
      <c r="G24" s="260">
        <v>41241.96</v>
      </c>
      <c r="H24" s="261">
        <f>'Super 2'!$D$137</f>
        <v>4482.8100000000004</v>
      </c>
      <c r="I24" s="262">
        <f t="shared" ref="I24:I35" si="12">D24*H24</f>
        <v>4482.8100000000004</v>
      </c>
      <c r="J24" s="262">
        <f t="shared" ref="J24:J36" si="13">I24*12</f>
        <v>53793.72</v>
      </c>
      <c r="K24" s="263">
        <f>I24*3</f>
        <v>13448.43</v>
      </c>
      <c r="L24" s="264" t="s">
        <v>519</v>
      </c>
      <c r="M24" s="274">
        <v>802534</v>
      </c>
      <c r="N24" s="246" t="s">
        <v>549</v>
      </c>
      <c r="Z24" s="260">
        <v>1</v>
      </c>
      <c r="AA24" s="261">
        <v>3436.83</v>
      </c>
      <c r="AB24" s="262">
        <v>3436.83</v>
      </c>
      <c r="AC24" s="262">
        <v>41241.96</v>
      </c>
      <c r="AE24" s="260">
        <v>1</v>
      </c>
      <c r="AF24" s="446">
        <v>3875.84</v>
      </c>
      <c r="AG24" s="310">
        <v>3875.84</v>
      </c>
      <c r="AH24" s="310">
        <v>46510.080000000002</v>
      </c>
      <c r="AJ24" s="260">
        <v>1</v>
      </c>
      <c r="AK24" s="446">
        <v>3875.84</v>
      </c>
      <c r="AL24" s="310">
        <v>3875.84</v>
      </c>
      <c r="AM24" s="310">
        <v>46510.080000000002</v>
      </c>
      <c r="AO24" s="260">
        <v>1</v>
      </c>
      <c r="AP24" s="446">
        <v>3875.84</v>
      </c>
      <c r="AQ24" s="310">
        <v>3875.84</v>
      </c>
      <c r="AR24" s="310">
        <v>46510.080000000002</v>
      </c>
      <c r="AT24" s="260">
        <v>1</v>
      </c>
      <c r="AU24" s="446">
        <f>'Super 2'!$D$137</f>
        <v>4482.8100000000004</v>
      </c>
      <c r="AV24" s="310">
        <f>AU24*AT24</f>
        <v>4482.8100000000004</v>
      </c>
      <c r="AW24" s="310">
        <f t="shared" ref="AW24:AW35" si="14">AV24*12</f>
        <v>53793.72</v>
      </c>
      <c r="AX24" s="260">
        <v>1</v>
      </c>
      <c r="AY24" s="446">
        <f>'Super 2'!$D$137</f>
        <v>4482.8100000000004</v>
      </c>
      <c r="AZ24" s="310">
        <f>AY24*AX24</f>
        <v>4482.8100000000004</v>
      </c>
      <c r="BA24" s="310">
        <f t="shared" ref="BA24:BA35" si="15">AZ24*12</f>
        <v>53793.72</v>
      </c>
    </row>
    <row r="25" spans="2:53" x14ac:dyDescent="0.25">
      <c r="B25" s="258">
        <v>2</v>
      </c>
      <c r="C25" s="273" t="s">
        <v>526</v>
      </c>
      <c r="D25" s="260">
        <v>1</v>
      </c>
      <c r="E25" s="260">
        <v>1970.65</v>
      </c>
      <c r="F25" s="260">
        <v>1970.65</v>
      </c>
      <c r="G25" s="260">
        <v>23647.800000000003</v>
      </c>
      <c r="H25" s="261">
        <f>'Recepção 2'!$D$137</f>
        <v>2622.17</v>
      </c>
      <c r="I25" s="262">
        <f t="shared" si="12"/>
        <v>2622.17</v>
      </c>
      <c r="J25" s="262">
        <f t="shared" si="13"/>
        <v>31466.04</v>
      </c>
      <c r="K25" s="266" t="s">
        <v>519</v>
      </c>
      <c r="L25" s="264">
        <f t="shared" ref="L25:L35" si="16">I25*2</f>
        <v>5244.34</v>
      </c>
      <c r="M25" s="274">
        <v>802043</v>
      </c>
      <c r="N25" s="246" t="s">
        <v>554</v>
      </c>
      <c r="Z25" s="260">
        <v>1</v>
      </c>
      <c r="AA25" s="261">
        <v>1970.65</v>
      </c>
      <c r="AB25" s="262">
        <v>1970.65</v>
      </c>
      <c r="AC25" s="262">
        <v>23647.800000000003</v>
      </c>
      <c r="AE25" s="260">
        <v>1</v>
      </c>
      <c r="AF25" s="446">
        <v>2211.4299999999998</v>
      </c>
      <c r="AG25" s="310">
        <v>2211.4299999999998</v>
      </c>
      <c r="AH25" s="310">
        <v>26537.159999999996</v>
      </c>
      <c r="AI25" s="246" t="s">
        <v>646</v>
      </c>
      <c r="AJ25" s="260">
        <v>1</v>
      </c>
      <c r="AK25" s="446">
        <v>2211.4299999999998</v>
      </c>
      <c r="AL25" s="310">
        <v>2211.4299999999998</v>
      </c>
      <c r="AM25" s="310">
        <v>26537.159999999996</v>
      </c>
      <c r="AO25" s="260">
        <v>1</v>
      </c>
      <c r="AP25" s="446">
        <v>2211.4299999999998</v>
      </c>
      <c r="AQ25" s="310">
        <v>2211.4299999999998</v>
      </c>
      <c r="AR25" s="310">
        <v>26537.159999999996</v>
      </c>
      <c r="AT25" s="260">
        <v>1</v>
      </c>
      <c r="AU25" s="446">
        <f>'Recepção 2'!$D$137</f>
        <v>2622.17</v>
      </c>
      <c r="AV25" s="310">
        <f>AU25*AT25</f>
        <v>2622.17</v>
      </c>
      <c r="AW25" s="310">
        <f t="shared" si="14"/>
        <v>31466.04</v>
      </c>
      <c r="AX25" s="260">
        <v>1</v>
      </c>
      <c r="AY25" s="446">
        <f>'Recepção 2'!$D$137</f>
        <v>2622.17</v>
      </c>
      <c r="AZ25" s="310">
        <f>AY25*AX25</f>
        <v>2622.17</v>
      </c>
      <c r="BA25" s="310">
        <f t="shared" si="15"/>
        <v>31466.04</v>
      </c>
    </row>
    <row r="26" spans="2:53" x14ac:dyDescent="0.25">
      <c r="B26" s="323">
        <v>2</v>
      </c>
      <c r="C26" s="307" t="s">
        <v>647</v>
      </c>
      <c r="D26" s="314">
        <v>3</v>
      </c>
      <c r="E26" s="314">
        <v>1970.65</v>
      </c>
      <c r="F26" s="314">
        <v>5911.9500000000007</v>
      </c>
      <c r="G26" s="314">
        <v>70943.400000000009</v>
      </c>
      <c r="H26" s="317">
        <f>'Recepção 2'!$D$137</f>
        <v>2622.17</v>
      </c>
      <c r="I26" s="318">
        <f t="shared" si="12"/>
        <v>7866.51</v>
      </c>
      <c r="J26" s="318">
        <f t="shared" si="13"/>
        <v>94398.12</v>
      </c>
      <c r="K26" s="319" t="s">
        <v>519</v>
      </c>
      <c r="L26" s="320">
        <f t="shared" si="16"/>
        <v>15733.02</v>
      </c>
      <c r="M26" s="275" t="s">
        <v>562</v>
      </c>
      <c r="N26" s="321" t="s">
        <v>541</v>
      </c>
      <c r="Z26" s="314">
        <v>1</v>
      </c>
      <c r="AA26" s="317">
        <v>1970.65</v>
      </c>
      <c r="AB26" s="262">
        <v>1970.65</v>
      </c>
      <c r="AC26" s="318">
        <v>23647.800000000003</v>
      </c>
      <c r="AD26" s="267" t="s">
        <v>589</v>
      </c>
      <c r="AE26" s="260">
        <v>1</v>
      </c>
      <c r="AF26" s="446">
        <v>2211.4299999999998</v>
      </c>
      <c r="AG26" s="310">
        <v>2211.4299999999998</v>
      </c>
      <c r="AH26" s="310">
        <v>26537.159999999996</v>
      </c>
      <c r="AI26" s="267" t="s">
        <v>648</v>
      </c>
      <c r="AJ26" s="260">
        <v>1</v>
      </c>
      <c r="AK26" s="446">
        <v>2211.4299999999998</v>
      </c>
      <c r="AL26" s="310">
        <v>2211.4299999999998</v>
      </c>
      <c r="AM26" s="310">
        <v>26537.159999999996</v>
      </c>
      <c r="AN26" s="250"/>
      <c r="AO26" s="260">
        <v>1</v>
      </c>
      <c r="AP26" s="446">
        <v>2211.4299999999998</v>
      </c>
      <c r="AQ26" s="310">
        <v>2211.4299999999998</v>
      </c>
      <c r="AR26" s="310">
        <v>26537.159999999996</v>
      </c>
      <c r="AS26" s="250"/>
      <c r="AT26" s="260">
        <v>1</v>
      </c>
      <c r="AU26" s="446">
        <f>'Recepção 2'!$D$137</f>
        <v>2622.17</v>
      </c>
      <c r="AV26" s="310">
        <f t="shared" ref="AV26:AV35" si="17">AU26*AT26</f>
        <v>2622.17</v>
      </c>
      <c r="AW26" s="310">
        <f t="shared" si="14"/>
        <v>31466.04</v>
      </c>
      <c r="AX26" s="260">
        <v>1</v>
      </c>
      <c r="AY26" s="446">
        <f>'Recepção 2'!$D$137</f>
        <v>2622.17</v>
      </c>
      <c r="AZ26" s="310">
        <f t="shared" ref="AZ26:AZ27" si="18">AY26*AX26</f>
        <v>2622.17</v>
      </c>
      <c r="BA26" s="310">
        <f t="shared" si="15"/>
        <v>31466.04</v>
      </c>
    </row>
    <row r="27" spans="2:53" x14ac:dyDescent="0.25">
      <c r="B27" s="258">
        <v>5</v>
      </c>
      <c r="C27" s="273" t="s">
        <v>528</v>
      </c>
      <c r="D27" s="260">
        <v>2</v>
      </c>
      <c r="E27" s="260">
        <v>1714.13</v>
      </c>
      <c r="F27" s="260">
        <v>3428.26</v>
      </c>
      <c r="G27" s="260">
        <v>41139.120000000003</v>
      </c>
      <c r="H27" s="261">
        <f>'ASG 2'!$D$137</f>
        <v>2295.14</v>
      </c>
      <c r="I27" s="262">
        <f t="shared" si="12"/>
        <v>4590.28</v>
      </c>
      <c r="J27" s="262">
        <f t="shared" si="13"/>
        <v>55083.360000000001</v>
      </c>
      <c r="K27" s="266" t="s">
        <v>519</v>
      </c>
      <c r="L27" s="264">
        <f t="shared" si="16"/>
        <v>9180.56</v>
      </c>
      <c r="M27" s="274">
        <v>802043</v>
      </c>
      <c r="N27" s="246" t="s">
        <v>554</v>
      </c>
      <c r="Z27" s="260">
        <v>2</v>
      </c>
      <c r="AA27" s="261">
        <v>1714.13</v>
      </c>
      <c r="AB27" s="262">
        <v>3428.26</v>
      </c>
      <c r="AC27" s="262">
        <v>41139.120000000003</v>
      </c>
      <c r="AD27" s="267" t="s">
        <v>590</v>
      </c>
      <c r="AE27" s="260">
        <v>2</v>
      </c>
      <c r="AF27" s="446">
        <v>1912.22</v>
      </c>
      <c r="AG27" s="310">
        <v>3824.44</v>
      </c>
      <c r="AH27" s="310">
        <v>45893.279999999999</v>
      </c>
      <c r="AI27" s="267" t="s">
        <v>653</v>
      </c>
      <c r="AJ27" s="260">
        <v>0</v>
      </c>
      <c r="AK27" s="446">
        <v>0</v>
      </c>
      <c r="AL27" s="310">
        <v>0</v>
      </c>
      <c r="AM27" s="310">
        <v>0</v>
      </c>
      <c r="AN27" s="250"/>
      <c r="AO27" s="260">
        <v>0</v>
      </c>
      <c r="AP27" s="446">
        <v>0</v>
      </c>
      <c r="AQ27" s="310">
        <v>0</v>
      </c>
      <c r="AR27" s="310">
        <v>0</v>
      </c>
      <c r="AS27" s="250"/>
      <c r="AT27" s="260">
        <v>0</v>
      </c>
      <c r="AU27" s="446">
        <v>0</v>
      </c>
      <c r="AV27" s="310">
        <f t="shared" si="17"/>
        <v>0</v>
      </c>
      <c r="AW27" s="310">
        <f t="shared" si="14"/>
        <v>0</v>
      </c>
      <c r="AX27" s="260">
        <v>0</v>
      </c>
      <c r="AY27" s="446">
        <f>'ASG 2'!D137</f>
        <v>2295.14</v>
      </c>
      <c r="AZ27" s="310">
        <f t="shared" si="18"/>
        <v>0</v>
      </c>
      <c r="BA27" s="310">
        <f t="shared" si="15"/>
        <v>0</v>
      </c>
    </row>
    <row r="28" spans="2:53" x14ac:dyDescent="0.25">
      <c r="B28" s="258">
        <v>5</v>
      </c>
      <c r="C28" s="273" t="s">
        <v>658</v>
      </c>
      <c r="D28" s="260"/>
      <c r="E28" s="260"/>
      <c r="F28" s="260"/>
      <c r="G28" s="260"/>
      <c r="H28" s="261"/>
      <c r="I28" s="262"/>
      <c r="J28" s="262"/>
      <c r="K28" s="266"/>
      <c r="L28" s="264"/>
      <c r="M28" s="274"/>
      <c r="Z28" s="260"/>
      <c r="AA28" s="261"/>
      <c r="AB28" s="262"/>
      <c r="AC28" s="262"/>
      <c r="AD28" s="267"/>
      <c r="AE28" s="260"/>
      <c r="AF28" s="446"/>
      <c r="AG28" s="310"/>
      <c r="AH28" s="310"/>
      <c r="AI28" s="267"/>
      <c r="AJ28" s="260">
        <v>1</v>
      </c>
      <c r="AK28" s="446">
        <v>1912.22</v>
      </c>
      <c r="AL28" s="310">
        <v>1912.22</v>
      </c>
      <c r="AM28" s="310">
        <v>22946.639999999999</v>
      </c>
      <c r="AN28" s="267" t="s">
        <v>662</v>
      </c>
      <c r="AO28" s="260">
        <v>1</v>
      </c>
      <c r="AP28" s="446">
        <v>1912.22</v>
      </c>
      <c r="AQ28" s="310">
        <v>1912.22</v>
      </c>
      <c r="AR28" s="310">
        <v>22946.639999999999</v>
      </c>
      <c r="AS28" s="267" t="s">
        <v>662</v>
      </c>
      <c r="AT28" s="260">
        <v>1</v>
      </c>
      <c r="AU28" s="446">
        <f>'ASG 2'!D137</f>
        <v>2295.14</v>
      </c>
      <c r="AV28" s="310">
        <f>AU28*AT28</f>
        <v>2295.14</v>
      </c>
      <c r="AW28" s="310">
        <f t="shared" si="14"/>
        <v>27541.68</v>
      </c>
      <c r="AX28" s="260">
        <v>1</v>
      </c>
      <c r="AY28" s="446">
        <f>'ASG 2'!D137</f>
        <v>2295.14</v>
      </c>
      <c r="AZ28" s="310">
        <f>AY28*AX28</f>
        <v>2295.14</v>
      </c>
      <c r="BA28" s="310">
        <f t="shared" si="15"/>
        <v>27541.68</v>
      </c>
    </row>
    <row r="29" spans="2:53" x14ac:dyDescent="0.25">
      <c r="B29" s="258">
        <v>7</v>
      </c>
      <c r="C29" s="259" t="s">
        <v>529</v>
      </c>
      <c r="D29" s="260">
        <v>1</v>
      </c>
      <c r="E29" s="260">
        <v>2466.3000000000002</v>
      </c>
      <c r="F29" s="260">
        <v>2466.3000000000002</v>
      </c>
      <c r="G29" s="260">
        <v>29595.600000000002</v>
      </c>
      <c r="H29" s="261">
        <f>'Almoxarife 2'!$D$137</f>
        <v>3331.13</v>
      </c>
      <c r="I29" s="262">
        <f t="shared" si="12"/>
        <v>3331.13</v>
      </c>
      <c r="J29" s="262">
        <f t="shared" si="13"/>
        <v>39973.56</v>
      </c>
      <c r="K29" s="263" t="s">
        <v>519</v>
      </c>
      <c r="L29" s="264">
        <f t="shared" si="16"/>
        <v>6662.26</v>
      </c>
      <c r="M29" s="274">
        <v>802043</v>
      </c>
      <c r="N29" s="246" t="s">
        <v>554</v>
      </c>
      <c r="Z29" s="260">
        <v>1</v>
      </c>
      <c r="AA29" s="261">
        <v>2814.05</v>
      </c>
      <c r="AB29" s="262">
        <v>2814.05</v>
      </c>
      <c r="AC29" s="262">
        <v>33768.600000000006</v>
      </c>
      <c r="AE29" s="260">
        <v>1</v>
      </c>
      <c r="AF29" s="446">
        <v>2814.05</v>
      </c>
      <c r="AG29" s="310">
        <v>2814.05</v>
      </c>
      <c r="AH29" s="310">
        <v>33768.600000000006</v>
      </c>
      <c r="AJ29" s="260">
        <v>1</v>
      </c>
      <c r="AK29" s="446">
        <v>2814.05</v>
      </c>
      <c r="AL29" s="310">
        <v>2814.05</v>
      </c>
      <c r="AM29" s="310">
        <v>33768.600000000006</v>
      </c>
      <c r="AO29" s="260">
        <v>1</v>
      </c>
      <c r="AP29" s="446">
        <v>2814.05</v>
      </c>
      <c r="AQ29" s="310">
        <v>2814.05</v>
      </c>
      <c r="AR29" s="310">
        <v>33768.600000000006</v>
      </c>
      <c r="AT29" s="260">
        <v>1</v>
      </c>
      <c r="AU29" s="446">
        <f>'Almoxarife 2'!$D$137</f>
        <v>3331.13</v>
      </c>
      <c r="AV29" s="310">
        <f t="shared" si="17"/>
        <v>3331.13</v>
      </c>
      <c r="AW29" s="310">
        <f t="shared" si="14"/>
        <v>39973.56</v>
      </c>
      <c r="AX29" s="260">
        <v>1</v>
      </c>
      <c r="AY29" s="446">
        <f>'Almoxarife 2'!$D$137</f>
        <v>3331.13</v>
      </c>
      <c r="AZ29" s="310">
        <f t="shared" ref="AZ29:AZ35" si="19">AY29*AX29</f>
        <v>3331.13</v>
      </c>
      <c r="BA29" s="310">
        <f t="shared" si="15"/>
        <v>39973.56</v>
      </c>
    </row>
    <row r="30" spans="2:53" x14ac:dyDescent="0.25">
      <c r="B30" s="258">
        <v>8</v>
      </c>
      <c r="C30" s="273" t="s">
        <v>525</v>
      </c>
      <c r="D30" s="260">
        <v>2</v>
      </c>
      <c r="E30" s="260">
        <v>2948.04</v>
      </c>
      <c r="F30" s="260">
        <v>5896.08</v>
      </c>
      <c r="G30" s="260">
        <v>70752.959999999992</v>
      </c>
      <c r="H30" s="261">
        <f>'Oficial 2'!$D$136</f>
        <v>3471.01</v>
      </c>
      <c r="I30" s="262">
        <f t="shared" si="12"/>
        <v>6942.02</v>
      </c>
      <c r="J30" s="262">
        <f t="shared" si="13"/>
        <v>83304.240000000005</v>
      </c>
      <c r="K30" s="266" t="s">
        <v>519</v>
      </c>
      <c r="L30" s="264">
        <f t="shared" si="16"/>
        <v>13884.04</v>
      </c>
      <c r="M30" s="274">
        <v>802044</v>
      </c>
      <c r="N30" s="246" t="s">
        <v>554</v>
      </c>
      <c r="Z30" s="401">
        <v>0</v>
      </c>
      <c r="AA30" s="402">
        <v>3194.68</v>
      </c>
      <c r="AB30" s="403">
        <v>0</v>
      </c>
      <c r="AC30" s="403">
        <v>0</v>
      </c>
      <c r="AD30" s="267" t="s">
        <v>591</v>
      </c>
      <c r="AE30" s="260">
        <v>0</v>
      </c>
      <c r="AF30" s="446">
        <v>3194.68</v>
      </c>
      <c r="AG30" s="310">
        <v>0</v>
      </c>
      <c r="AH30" s="310">
        <v>0</v>
      </c>
      <c r="AI30" s="267" t="s">
        <v>591</v>
      </c>
      <c r="AJ30" s="260">
        <v>0</v>
      </c>
      <c r="AK30" s="446">
        <v>0</v>
      </c>
      <c r="AL30" s="310">
        <v>0</v>
      </c>
      <c r="AM30" s="310">
        <v>0</v>
      </c>
      <c r="AN30" s="250"/>
      <c r="AO30" s="260">
        <v>0</v>
      </c>
      <c r="AP30" s="446">
        <v>0</v>
      </c>
      <c r="AQ30" s="310">
        <v>0</v>
      </c>
      <c r="AR30" s="310">
        <v>0</v>
      </c>
      <c r="AS30" s="250"/>
      <c r="AT30" s="260">
        <v>0</v>
      </c>
      <c r="AU30" s="446">
        <v>0</v>
      </c>
      <c r="AV30" s="310">
        <f t="shared" si="17"/>
        <v>0</v>
      </c>
      <c r="AW30" s="310">
        <f t="shared" si="14"/>
        <v>0</v>
      </c>
      <c r="AX30" s="260">
        <v>0</v>
      </c>
      <c r="AY30" s="446">
        <f>'Oficial 2'!D136</f>
        <v>3471.01</v>
      </c>
      <c r="AZ30" s="310">
        <f t="shared" si="19"/>
        <v>0</v>
      </c>
      <c r="BA30" s="310">
        <f t="shared" si="15"/>
        <v>0</v>
      </c>
    </row>
    <row r="31" spans="2:53" x14ac:dyDescent="0.25">
      <c r="B31" s="258">
        <v>11</v>
      </c>
      <c r="C31" s="307" t="s">
        <v>523</v>
      </c>
      <c r="D31" s="308">
        <v>2</v>
      </c>
      <c r="E31" s="368">
        <v>2924.41</v>
      </c>
      <c r="F31" s="368">
        <v>5848.82</v>
      </c>
      <c r="G31" s="368">
        <v>70185.84</v>
      </c>
      <c r="H31" s="309">
        <f>'Orçam 2'!$D$137</f>
        <v>4148.87</v>
      </c>
      <c r="I31" s="310">
        <f t="shared" si="12"/>
        <v>8297.74</v>
      </c>
      <c r="J31" s="310">
        <f t="shared" si="13"/>
        <v>99572.88</v>
      </c>
      <c r="K31" s="308" t="s">
        <v>519</v>
      </c>
      <c r="L31" s="311">
        <f t="shared" si="16"/>
        <v>16595.48</v>
      </c>
      <c r="M31" s="274">
        <v>802043</v>
      </c>
      <c r="N31" s="246" t="s">
        <v>554</v>
      </c>
      <c r="Z31" s="308">
        <v>2</v>
      </c>
      <c r="AA31" s="309">
        <v>2924.41</v>
      </c>
      <c r="AB31" s="262">
        <v>5848.82</v>
      </c>
      <c r="AC31" s="310">
        <v>70185.84</v>
      </c>
      <c r="AE31" s="308">
        <v>2</v>
      </c>
      <c r="AF31" s="445">
        <v>3343.55</v>
      </c>
      <c r="AG31" s="310">
        <v>6687.1</v>
      </c>
      <c r="AH31" s="310">
        <v>80245.200000000012</v>
      </c>
      <c r="AJ31" s="308">
        <v>2</v>
      </c>
      <c r="AK31" s="445">
        <v>3343.55</v>
      </c>
      <c r="AL31" s="310">
        <v>6687.1</v>
      </c>
      <c r="AM31" s="310">
        <v>80245.200000000012</v>
      </c>
      <c r="AO31" s="308">
        <v>2</v>
      </c>
      <c r="AP31" s="445">
        <v>3343.55</v>
      </c>
      <c r="AQ31" s="310">
        <v>6687.1</v>
      </c>
      <c r="AR31" s="310">
        <v>80245.200000000012</v>
      </c>
      <c r="AT31" s="308">
        <v>2</v>
      </c>
      <c r="AU31" s="445">
        <f>'Orçam 2'!$D$137</f>
        <v>4148.87</v>
      </c>
      <c r="AV31" s="310">
        <f t="shared" si="17"/>
        <v>8297.74</v>
      </c>
      <c r="AW31" s="310">
        <f t="shared" si="14"/>
        <v>99572.88</v>
      </c>
      <c r="AX31" s="308">
        <v>1</v>
      </c>
      <c r="AY31" s="445">
        <f>'Orçam 2'!$D$137</f>
        <v>4148.87</v>
      </c>
      <c r="AZ31" s="310">
        <f t="shared" si="19"/>
        <v>4148.87</v>
      </c>
      <c r="BA31" s="310">
        <f t="shared" si="15"/>
        <v>49786.44</v>
      </c>
    </row>
    <row r="32" spans="2:53" x14ac:dyDescent="0.25">
      <c r="B32" s="266">
        <v>11</v>
      </c>
      <c r="C32" s="307" t="s">
        <v>524</v>
      </c>
      <c r="D32" s="308">
        <v>1</v>
      </c>
      <c r="E32" s="368">
        <v>2924.41</v>
      </c>
      <c r="F32" s="368">
        <v>2924.41</v>
      </c>
      <c r="G32" s="368">
        <v>35092.92</v>
      </c>
      <c r="H32" s="309">
        <f>'Orçam 2'!$D$137</f>
        <v>4148.87</v>
      </c>
      <c r="I32" s="310">
        <f t="shared" si="12"/>
        <v>4148.87</v>
      </c>
      <c r="J32" s="310">
        <f t="shared" si="13"/>
        <v>49786.44</v>
      </c>
      <c r="K32" s="308" t="s">
        <v>519</v>
      </c>
      <c r="L32" s="311">
        <f t="shared" si="16"/>
        <v>8297.74</v>
      </c>
      <c r="M32" s="274">
        <v>802043</v>
      </c>
      <c r="N32" s="246" t="s">
        <v>554</v>
      </c>
      <c r="Z32" s="308">
        <v>1</v>
      </c>
      <c r="AA32" s="309">
        <v>2924.41</v>
      </c>
      <c r="AB32" s="262">
        <v>2924.41</v>
      </c>
      <c r="AC32" s="310">
        <v>35092.92</v>
      </c>
      <c r="AE32" s="308">
        <v>1</v>
      </c>
      <c r="AF32" s="445">
        <v>3343.55</v>
      </c>
      <c r="AG32" s="310">
        <v>3343.55</v>
      </c>
      <c r="AH32" s="310">
        <v>40122.600000000006</v>
      </c>
      <c r="AJ32" s="308">
        <v>1</v>
      </c>
      <c r="AK32" s="445">
        <v>3343.55</v>
      </c>
      <c r="AL32" s="310">
        <v>3343.55</v>
      </c>
      <c r="AM32" s="310">
        <v>40122.600000000006</v>
      </c>
      <c r="AO32" s="308">
        <v>1</v>
      </c>
      <c r="AP32" s="445">
        <v>3343.55</v>
      </c>
      <c r="AQ32" s="310">
        <v>3343.55</v>
      </c>
      <c r="AR32" s="310">
        <v>40122.600000000006</v>
      </c>
      <c r="AT32" s="308">
        <v>1</v>
      </c>
      <c r="AU32" s="445">
        <f>'Orçam 2'!$D$137</f>
        <v>4148.87</v>
      </c>
      <c r="AV32" s="310">
        <f t="shared" si="17"/>
        <v>4148.87</v>
      </c>
      <c r="AW32" s="310">
        <f t="shared" si="14"/>
        <v>49786.44</v>
      </c>
      <c r="AX32" s="308">
        <v>0</v>
      </c>
      <c r="AY32" s="445">
        <f>'Orçam 2'!$D$137</f>
        <v>4148.87</v>
      </c>
      <c r="AZ32" s="310">
        <f t="shared" si="19"/>
        <v>0</v>
      </c>
      <c r="BA32" s="310">
        <f t="shared" si="15"/>
        <v>0</v>
      </c>
    </row>
    <row r="33" spans="2:53" ht="31.5" x14ac:dyDescent="0.25">
      <c r="B33" s="266">
        <v>11</v>
      </c>
      <c r="C33" s="307" t="s">
        <v>665</v>
      </c>
      <c r="D33" s="308">
        <v>2</v>
      </c>
      <c r="E33" s="308">
        <v>2924.41</v>
      </c>
      <c r="F33" s="308">
        <v>5848.82</v>
      </c>
      <c r="G33" s="308">
        <v>70185.84</v>
      </c>
      <c r="H33" s="312">
        <f>'Orçam 2'!$D$137</f>
        <v>4148.87</v>
      </c>
      <c r="I33" s="310">
        <f t="shared" si="12"/>
        <v>8297.74</v>
      </c>
      <c r="J33" s="310">
        <f t="shared" si="13"/>
        <v>99572.88</v>
      </c>
      <c r="K33" s="308" t="s">
        <v>519</v>
      </c>
      <c r="L33" s="311">
        <f t="shared" si="16"/>
        <v>16595.48</v>
      </c>
      <c r="M33" s="274">
        <v>802043</v>
      </c>
      <c r="N33" s="246" t="s">
        <v>554</v>
      </c>
      <c r="Z33" s="308">
        <v>2</v>
      </c>
      <c r="AA33" s="312">
        <v>2924.41</v>
      </c>
      <c r="AB33" s="262">
        <v>5848.82</v>
      </c>
      <c r="AC33" s="310">
        <v>70185.84</v>
      </c>
      <c r="AE33" s="308">
        <v>2</v>
      </c>
      <c r="AF33" s="446">
        <v>3343.55</v>
      </c>
      <c r="AG33" s="310">
        <v>6687.1</v>
      </c>
      <c r="AH33" s="310">
        <v>80245.200000000012</v>
      </c>
      <c r="AJ33" s="308">
        <v>2</v>
      </c>
      <c r="AK33" s="446">
        <v>3343.55</v>
      </c>
      <c r="AL33" s="310">
        <v>6687.1</v>
      </c>
      <c r="AM33" s="310">
        <v>80245.200000000012</v>
      </c>
      <c r="AO33" s="308">
        <v>2</v>
      </c>
      <c r="AP33" s="446">
        <v>3343.55</v>
      </c>
      <c r="AQ33" s="310">
        <v>6687.1</v>
      </c>
      <c r="AR33" s="310">
        <v>80245.200000000012</v>
      </c>
      <c r="AT33" s="308">
        <v>2</v>
      </c>
      <c r="AU33" s="446">
        <f>'Orçam 2'!$D$137</f>
        <v>4148.87</v>
      </c>
      <c r="AV33" s="310">
        <f t="shared" si="17"/>
        <v>8297.74</v>
      </c>
      <c r="AW33" s="310">
        <f t="shared" si="14"/>
        <v>99572.88</v>
      </c>
      <c r="AX33" s="308">
        <v>1</v>
      </c>
      <c r="AY33" s="446">
        <f>'Orçam 2'!$D$137</f>
        <v>4148.87</v>
      </c>
      <c r="AZ33" s="310">
        <f t="shared" si="19"/>
        <v>4148.87</v>
      </c>
      <c r="BA33" s="310">
        <f t="shared" si="15"/>
        <v>49786.44</v>
      </c>
    </row>
    <row r="34" spans="2:53" ht="31.5" x14ac:dyDescent="0.25">
      <c r="B34" s="266">
        <v>11</v>
      </c>
      <c r="C34" s="307" t="s">
        <v>666</v>
      </c>
      <c r="D34" s="308"/>
      <c r="E34" s="368"/>
      <c r="F34" s="368"/>
      <c r="G34" s="368"/>
      <c r="H34" s="309"/>
      <c r="I34" s="310"/>
      <c r="J34" s="310"/>
      <c r="K34" s="308"/>
      <c r="L34" s="311"/>
      <c r="M34" s="274"/>
      <c r="Z34" s="308">
        <v>1</v>
      </c>
      <c r="AA34" s="309">
        <v>2924.41</v>
      </c>
      <c r="AB34" s="262">
        <v>2924.41</v>
      </c>
      <c r="AC34" s="310">
        <v>35092.92</v>
      </c>
      <c r="AD34" s="267" t="s">
        <v>587</v>
      </c>
      <c r="AE34" s="308">
        <v>1</v>
      </c>
      <c r="AF34" s="445">
        <v>3343.55</v>
      </c>
      <c r="AG34" s="310">
        <v>3343.55</v>
      </c>
      <c r="AH34" s="310">
        <v>40122.600000000006</v>
      </c>
      <c r="AI34" s="267" t="s">
        <v>587</v>
      </c>
      <c r="AJ34" s="308"/>
      <c r="AK34" s="445">
        <v>3343.55</v>
      </c>
      <c r="AL34" s="310">
        <v>0</v>
      </c>
      <c r="AM34" s="310">
        <v>0</v>
      </c>
      <c r="AN34" s="267" t="s">
        <v>664</v>
      </c>
      <c r="AO34" s="308"/>
      <c r="AP34" s="445">
        <v>3343.55</v>
      </c>
      <c r="AQ34" s="310">
        <v>0</v>
      </c>
      <c r="AR34" s="310">
        <v>0</v>
      </c>
      <c r="AS34" s="267" t="s">
        <v>664</v>
      </c>
      <c r="AT34" s="308"/>
      <c r="AU34" s="445">
        <f>'Orçam 2'!D137</f>
        <v>4148.87</v>
      </c>
      <c r="AV34" s="310">
        <f t="shared" si="17"/>
        <v>0</v>
      </c>
      <c r="AW34" s="310">
        <f t="shared" si="14"/>
        <v>0</v>
      </c>
      <c r="AX34" s="308">
        <v>0</v>
      </c>
      <c r="AY34" s="445">
        <f>'Orçam 2'!D137</f>
        <v>4148.87</v>
      </c>
      <c r="AZ34" s="310">
        <f t="shared" si="19"/>
        <v>0</v>
      </c>
      <c r="BA34" s="310">
        <f t="shared" si="15"/>
        <v>0</v>
      </c>
    </row>
    <row r="35" spans="2:53" x14ac:dyDescent="0.25">
      <c r="B35" s="258">
        <v>11</v>
      </c>
      <c r="C35" s="307" t="s">
        <v>527</v>
      </c>
      <c r="D35" s="308">
        <v>5</v>
      </c>
      <c r="E35" s="368">
        <v>2924.41</v>
      </c>
      <c r="F35" s="368">
        <v>14622.05</v>
      </c>
      <c r="G35" s="368">
        <v>175464.59999999998</v>
      </c>
      <c r="H35" s="309">
        <f>'Orçam 2'!$D$137</f>
        <v>4148.87</v>
      </c>
      <c r="I35" s="310">
        <f t="shared" si="12"/>
        <v>20744.349999999999</v>
      </c>
      <c r="J35" s="310">
        <f t="shared" si="13"/>
        <v>248932.19999999998</v>
      </c>
      <c r="K35" s="308" t="s">
        <v>519</v>
      </c>
      <c r="L35" s="311">
        <f t="shared" si="16"/>
        <v>41488.699999999997</v>
      </c>
      <c r="M35" s="275" t="s">
        <v>562</v>
      </c>
      <c r="N35" s="321" t="s">
        <v>555</v>
      </c>
      <c r="Z35" s="308">
        <v>5</v>
      </c>
      <c r="AA35" s="309">
        <v>2924.41</v>
      </c>
      <c r="AB35" s="262">
        <v>14622.05</v>
      </c>
      <c r="AC35" s="310">
        <v>175464.59999999998</v>
      </c>
      <c r="AE35" s="308">
        <v>5</v>
      </c>
      <c r="AF35" s="445">
        <v>3343.55</v>
      </c>
      <c r="AG35" s="310">
        <v>16717.75</v>
      </c>
      <c r="AH35" s="310">
        <v>200613</v>
      </c>
      <c r="AJ35" s="308">
        <v>5</v>
      </c>
      <c r="AK35" s="445">
        <v>3343.55</v>
      </c>
      <c r="AL35" s="310">
        <v>16717.75</v>
      </c>
      <c r="AM35" s="310">
        <v>200613</v>
      </c>
      <c r="AO35" s="308">
        <v>5</v>
      </c>
      <c r="AP35" s="445">
        <v>3343.55</v>
      </c>
      <c r="AQ35" s="310">
        <v>16717.75</v>
      </c>
      <c r="AR35" s="310">
        <v>200613</v>
      </c>
      <c r="AT35" s="308">
        <v>5</v>
      </c>
      <c r="AU35" s="445">
        <f>'Orçam 2'!$D$137</f>
        <v>4148.87</v>
      </c>
      <c r="AV35" s="310">
        <f t="shared" si="17"/>
        <v>20744.349999999999</v>
      </c>
      <c r="AW35" s="310">
        <f t="shared" si="14"/>
        <v>248932.19999999998</v>
      </c>
      <c r="AX35" s="319">
        <v>2</v>
      </c>
      <c r="AY35" s="445">
        <f>'Orçam 2'!$D$137</f>
        <v>4148.87</v>
      </c>
      <c r="AZ35" s="310">
        <f t="shared" si="19"/>
        <v>8297.74</v>
      </c>
      <c r="BA35" s="310">
        <f t="shared" si="15"/>
        <v>99572.88</v>
      </c>
    </row>
    <row r="36" spans="2:53" x14ac:dyDescent="0.25">
      <c r="B36" s="254"/>
      <c r="C36" s="255" t="s">
        <v>530</v>
      </c>
      <c r="D36" s="254" t="s">
        <v>503</v>
      </c>
      <c r="E36" s="254"/>
      <c r="F36" s="254"/>
      <c r="G36" s="254"/>
      <c r="H36" s="351" t="e">
        <f>I36+#REF!</f>
        <v>#REF!</v>
      </c>
      <c r="I36" s="351">
        <f>H35*2*2</f>
        <v>16595.48</v>
      </c>
      <c r="J36" s="254">
        <f t="shared" si="13"/>
        <v>199145.76</v>
      </c>
      <c r="L36" s="272"/>
      <c r="AA36" s="351"/>
      <c r="AB36" s="351"/>
      <c r="AC36" s="351"/>
      <c r="AF36" s="447"/>
      <c r="AG36" s="351"/>
      <c r="AH36" s="351"/>
      <c r="AK36" s="447"/>
      <c r="AL36" s="351"/>
      <c r="AM36" s="351"/>
      <c r="AP36" s="447"/>
      <c r="AQ36" s="351"/>
      <c r="AR36" s="351"/>
      <c r="AU36" s="447"/>
      <c r="AV36" s="351"/>
      <c r="AW36" s="351"/>
      <c r="AY36" s="447"/>
      <c r="AZ36" s="351"/>
      <c r="BA36" s="351"/>
    </row>
    <row r="37" spans="2:53" ht="47.25" x14ac:dyDescent="0.25">
      <c r="B37" s="256" t="s">
        <v>159</v>
      </c>
      <c r="C37" s="257" t="s">
        <v>160</v>
      </c>
      <c r="D37" s="257" t="s">
        <v>161</v>
      </c>
      <c r="E37" s="257" t="s">
        <v>168</v>
      </c>
      <c r="F37" s="257" t="s">
        <v>167</v>
      </c>
      <c r="G37" s="257" t="s">
        <v>162</v>
      </c>
      <c r="H37" s="257" t="s">
        <v>168</v>
      </c>
      <c r="I37" s="257" t="s">
        <v>167</v>
      </c>
      <c r="J37" s="257" t="s">
        <v>162</v>
      </c>
      <c r="K37" s="257" t="s">
        <v>515</v>
      </c>
      <c r="L37" s="257" t="s">
        <v>520</v>
      </c>
      <c r="M37" s="257" t="s">
        <v>518</v>
      </c>
      <c r="N37" s="257" t="s">
        <v>548</v>
      </c>
      <c r="Z37" s="257" t="s">
        <v>571</v>
      </c>
      <c r="AA37" s="257" t="s">
        <v>168</v>
      </c>
      <c r="AB37" s="257" t="s">
        <v>167</v>
      </c>
      <c r="AC37" s="257" t="s">
        <v>162</v>
      </c>
      <c r="AE37" s="257" t="s">
        <v>628</v>
      </c>
      <c r="AF37" s="440" t="s">
        <v>168</v>
      </c>
      <c r="AG37" s="257" t="s">
        <v>167</v>
      </c>
      <c r="AH37" s="257" t="s">
        <v>162</v>
      </c>
      <c r="AJ37" s="257" t="s">
        <v>628</v>
      </c>
      <c r="AK37" s="440" t="s">
        <v>168</v>
      </c>
      <c r="AL37" s="257" t="s">
        <v>167</v>
      </c>
      <c r="AM37" s="257" t="s">
        <v>162</v>
      </c>
      <c r="AN37" s="380"/>
      <c r="AO37" s="257" t="s">
        <v>628</v>
      </c>
      <c r="AP37" s="440" t="s">
        <v>168</v>
      </c>
      <c r="AQ37" s="257" t="s">
        <v>167</v>
      </c>
      <c r="AR37" s="257" t="s">
        <v>162</v>
      </c>
      <c r="AS37" s="380"/>
      <c r="AT37" s="257" t="s">
        <v>628</v>
      </c>
      <c r="AU37" s="440" t="s">
        <v>168</v>
      </c>
      <c r="AV37" s="257" t="s">
        <v>167</v>
      </c>
      <c r="AW37" s="257" t="s">
        <v>162</v>
      </c>
      <c r="AX37" s="257" t="s">
        <v>628</v>
      </c>
      <c r="AY37" s="440" t="s">
        <v>168</v>
      </c>
      <c r="AZ37" s="257" t="s">
        <v>167</v>
      </c>
      <c r="BA37" s="257" t="s">
        <v>162</v>
      </c>
    </row>
    <row r="38" spans="2:53" x14ac:dyDescent="0.25">
      <c r="B38" s="258">
        <v>2</v>
      </c>
      <c r="C38" s="259" t="s">
        <v>531</v>
      </c>
      <c r="D38" s="260">
        <v>1</v>
      </c>
      <c r="E38" s="261">
        <v>1970.65</v>
      </c>
      <c r="F38" s="262">
        <v>1970.65</v>
      </c>
      <c r="G38" s="262">
        <v>23647.800000000003</v>
      </c>
      <c r="H38" s="261">
        <f>'Recepção 2'!$D$137</f>
        <v>2622.17</v>
      </c>
      <c r="I38" s="262">
        <f>D38*H38</f>
        <v>2622.17</v>
      </c>
      <c r="J38" s="262">
        <f>I38*12</f>
        <v>31466.04</v>
      </c>
      <c r="K38" s="266" t="s">
        <v>519</v>
      </c>
      <c r="L38" s="264">
        <f>I38*2</f>
        <v>5244.34</v>
      </c>
      <c r="M38" s="274">
        <v>802040</v>
      </c>
      <c r="N38" s="246" t="s">
        <v>554</v>
      </c>
      <c r="Z38" s="260">
        <v>1</v>
      </c>
      <c r="AA38" s="261">
        <v>1970.65</v>
      </c>
      <c r="AB38" s="262">
        <v>1970.65</v>
      </c>
      <c r="AC38" s="262">
        <v>23647.800000000003</v>
      </c>
      <c r="AE38" s="260">
        <v>1</v>
      </c>
      <c r="AF38" s="446">
        <v>2211.4299999999998</v>
      </c>
      <c r="AG38" s="310">
        <v>2211.4299999999998</v>
      </c>
      <c r="AH38" s="310">
        <v>26537.159999999996</v>
      </c>
      <c r="AJ38" s="260">
        <v>1</v>
      </c>
      <c r="AK38" s="446">
        <v>2211.4299999999998</v>
      </c>
      <c r="AL38" s="310">
        <v>2211.4299999999998</v>
      </c>
      <c r="AM38" s="310">
        <v>26537.159999999996</v>
      </c>
      <c r="AO38" s="260">
        <v>1</v>
      </c>
      <c r="AP38" s="446">
        <v>2211.4299999999998</v>
      </c>
      <c r="AQ38" s="310">
        <v>2211.4299999999998</v>
      </c>
      <c r="AR38" s="310">
        <v>26537.159999999996</v>
      </c>
      <c r="AT38" s="260">
        <v>1</v>
      </c>
      <c r="AU38" s="446">
        <f>'Recepção 2'!$D$137</f>
        <v>2622.17</v>
      </c>
      <c r="AV38" s="310">
        <f t="shared" ref="AV38:AV43" si="20">AU38*AT38</f>
        <v>2622.17</v>
      </c>
      <c r="AW38" s="310">
        <f t="shared" ref="AW38:AW43" si="21">AV38*12</f>
        <v>31466.04</v>
      </c>
      <c r="AX38" s="260">
        <v>1</v>
      </c>
      <c r="AY38" s="446">
        <f>'Recepção 2'!$D$137</f>
        <v>2622.17</v>
      </c>
      <c r="AZ38" s="310">
        <f t="shared" ref="AZ38:AZ43" si="22">AY38*AX38</f>
        <v>2622.17</v>
      </c>
      <c r="BA38" s="310">
        <f t="shared" ref="BA38:BA43" si="23">AZ38*12</f>
        <v>31466.04</v>
      </c>
    </row>
    <row r="39" spans="2:53" x14ac:dyDescent="0.25">
      <c r="B39" s="315">
        <v>2</v>
      </c>
      <c r="C39" s="316" t="s">
        <v>584</v>
      </c>
      <c r="D39" s="314">
        <v>3</v>
      </c>
      <c r="E39" s="314">
        <v>1970.65</v>
      </c>
      <c r="F39" s="314">
        <v>5911.9500000000007</v>
      </c>
      <c r="G39" s="314">
        <v>70943.400000000009</v>
      </c>
      <c r="H39" s="317">
        <f>'Recepção 2'!$D$137</f>
        <v>2622.17</v>
      </c>
      <c r="I39" s="318">
        <f>D39*H39</f>
        <v>7866.51</v>
      </c>
      <c r="J39" s="318">
        <f>I39*12</f>
        <v>94398.12</v>
      </c>
      <c r="K39" s="319" t="s">
        <v>519</v>
      </c>
      <c r="L39" s="320">
        <f>I39*2</f>
        <v>15733.02</v>
      </c>
      <c r="M39" s="275" t="s">
        <v>562</v>
      </c>
      <c r="N39" s="321" t="s">
        <v>541</v>
      </c>
      <c r="Z39" s="314">
        <v>2</v>
      </c>
      <c r="AA39" s="317">
        <v>1970.65</v>
      </c>
      <c r="AB39" s="262">
        <v>3941.3</v>
      </c>
      <c r="AC39" s="318">
        <v>47295.600000000006</v>
      </c>
      <c r="AD39" s="267" t="s">
        <v>585</v>
      </c>
      <c r="AE39" s="260">
        <v>2</v>
      </c>
      <c r="AF39" s="446">
        <v>2211.4299999999998</v>
      </c>
      <c r="AG39" s="310">
        <v>4422.8599999999997</v>
      </c>
      <c r="AH39" s="310">
        <v>53074.319999999992</v>
      </c>
      <c r="AI39" s="267" t="s">
        <v>585</v>
      </c>
      <c r="AJ39" s="260">
        <v>2</v>
      </c>
      <c r="AK39" s="446">
        <v>2211.4299999999998</v>
      </c>
      <c r="AL39" s="310">
        <v>4422.8599999999997</v>
      </c>
      <c r="AM39" s="310">
        <v>53074.319999999992</v>
      </c>
      <c r="AN39" s="250"/>
      <c r="AO39" s="260">
        <v>2</v>
      </c>
      <c r="AP39" s="446">
        <v>2211.4299999999998</v>
      </c>
      <c r="AQ39" s="310">
        <v>4422.8599999999997</v>
      </c>
      <c r="AR39" s="310">
        <v>53074.319999999992</v>
      </c>
      <c r="AS39" s="250"/>
      <c r="AT39" s="260">
        <v>2</v>
      </c>
      <c r="AU39" s="446">
        <f>'Recepção 2'!$D$137</f>
        <v>2622.17</v>
      </c>
      <c r="AV39" s="310">
        <f t="shared" si="20"/>
        <v>5244.34</v>
      </c>
      <c r="AW39" s="310">
        <f t="shared" si="21"/>
        <v>62932.08</v>
      </c>
      <c r="AX39" s="260">
        <v>2</v>
      </c>
      <c r="AY39" s="446">
        <f>'Recepção 2'!$D$137</f>
        <v>2622.17</v>
      </c>
      <c r="AZ39" s="310">
        <f t="shared" si="22"/>
        <v>5244.34</v>
      </c>
      <c r="BA39" s="310">
        <f t="shared" si="23"/>
        <v>62932.08</v>
      </c>
    </row>
    <row r="40" spans="2:53" x14ac:dyDescent="0.25">
      <c r="B40" s="258">
        <v>3</v>
      </c>
      <c r="C40" s="259" t="s">
        <v>532</v>
      </c>
      <c r="D40" s="260">
        <v>2</v>
      </c>
      <c r="E40" s="261">
        <v>1420.39</v>
      </c>
      <c r="F40" s="262">
        <v>2840.78</v>
      </c>
      <c r="G40" s="262">
        <v>34089.360000000001</v>
      </c>
      <c r="H40" s="261">
        <f>'Copeira 2'!$D$137</f>
        <v>2320.86</v>
      </c>
      <c r="I40" s="262">
        <f>D40*H40</f>
        <v>4641.72</v>
      </c>
      <c r="J40" s="262">
        <f>I40*12</f>
        <v>55700.639999999999</v>
      </c>
      <c r="K40" s="266" t="s">
        <v>519</v>
      </c>
      <c r="L40" s="264">
        <f>I40*2</f>
        <v>9283.44</v>
      </c>
      <c r="M40" s="274">
        <v>802039</v>
      </c>
      <c r="N40" s="246" t="s">
        <v>554</v>
      </c>
      <c r="Z40" s="260">
        <v>2</v>
      </c>
      <c r="AA40" s="261">
        <v>1420.39</v>
      </c>
      <c r="AB40" s="262">
        <v>2840.78</v>
      </c>
      <c r="AC40" s="262">
        <v>34089.360000000001</v>
      </c>
      <c r="AE40" s="260">
        <v>2</v>
      </c>
      <c r="AF40" s="446">
        <v>1567.88</v>
      </c>
      <c r="AG40" s="310">
        <v>3135.76</v>
      </c>
      <c r="AH40" s="310">
        <v>37629.120000000003</v>
      </c>
      <c r="AJ40" s="260">
        <v>2</v>
      </c>
      <c r="AK40" s="446">
        <v>1567.88</v>
      </c>
      <c r="AL40" s="310">
        <v>3135.76</v>
      </c>
      <c r="AM40" s="310">
        <v>37629.120000000003</v>
      </c>
      <c r="AO40" s="260">
        <v>2</v>
      </c>
      <c r="AP40" s="446">
        <v>1567.88</v>
      </c>
      <c r="AQ40" s="310">
        <v>3135.76</v>
      </c>
      <c r="AR40" s="310">
        <v>37629.120000000003</v>
      </c>
      <c r="AT40" s="260">
        <v>2</v>
      </c>
      <c r="AU40" s="446">
        <f>'Copeira 2'!$D$137</f>
        <v>2320.86</v>
      </c>
      <c r="AV40" s="310">
        <f t="shared" si="20"/>
        <v>4641.72</v>
      </c>
      <c r="AW40" s="310">
        <f t="shared" si="21"/>
        <v>55700.639999999999</v>
      </c>
      <c r="AX40" s="260">
        <v>2</v>
      </c>
      <c r="AY40" s="446">
        <f>'Copeira 2'!$D$137</f>
        <v>2320.86</v>
      </c>
      <c r="AZ40" s="310">
        <f t="shared" si="22"/>
        <v>4641.72</v>
      </c>
      <c r="BA40" s="310">
        <f t="shared" si="23"/>
        <v>55700.639999999999</v>
      </c>
    </row>
    <row r="41" spans="2:53" x14ac:dyDescent="0.25">
      <c r="B41" s="258">
        <v>3</v>
      </c>
      <c r="C41" s="259" t="s">
        <v>533</v>
      </c>
      <c r="D41" s="260">
        <v>1</v>
      </c>
      <c r="E41" s="261">
        <v>1420.39</v>
      </c>
      <c r="F41" s="262">
        <v>1420.39</v>
      </c>
      <c r="G41" s="262">
        <v>17044.68</v>
      </c>
      <c r="H41" s="261">
        <f>'Copeira 2'!$D$137</f>
        <v>2320.86</v>
      </c>
      <c r="I41" s="262">
        <f>D41*H41</f>
        <v>2320.86</v>
      </c>
      <c r="J41" s="262">
        <f>I41*12</f>
        <v>27850.32</v>
      </c>
      <c r="K41" s="266" t="s">
        <v>519</v>
      </c>
      <c r="L41" s="264">
        <f>I41*2</f>
        <v>4641.72</v>
      </c>
      <c r="M41" s="274">
        <v>802042</v>
      </c>
      <c r="N41" s="246" t="s">
        <v>554</v>
      </c>
      <c r="Z41" s="260">
        <v>1</v>
      </c>
      <c r="AA41" s="261">
        <v>1420.39</v>
      </c>
      <c r="AB41" s="262">
        <v>1420.39</v>
      </c>
      <c r="AC41" s="262">
        <v>17044.68</v>
      </c>
      <c r="AE41" s="260">
        <v>1</v>
      </c>
      <c r="AF41" s="446">
        <v>1567.88</v>
      </c>
      <c r="AG41" s="310">
        <v>1567.88</v>
      </c>
      <c r="AH41" s="310">
        <v>18814.560000000001</v>
      </c>
      <c r="AJ41" s="260">
        <v>1</v>
      </c>
      <c r="AK41" s="446">
        <v>1567.88</v>
      </c>
      <c r="AL41" s="310">
        <v>1567.88</v>
      </c>
      <c r="AM41" s="310">
        <v>18814.560000000001</v>
      </c>
      <c r="AO41" s="260">
        <v>1</v>
      </c>
      <c r="AP41" s="446">
        <v>1567.88</v>
      </c>
      <c r="AQ41" s="310">
        <v>1567.88</v>
      </c>
      <c r="AR41" s="310">
        <v>18814.560000000001</v>
      </c>
      <c r="AT41" s="260">
        <v>1</v>
      </c>
      <c r="AU41" s="446">
        <f>'Copeira 2'!$D$137</f>
        <v>2320.86</v>
      </c>
      <c r="AV41" s="310">
        <f t="shared" si="20"/>
        <v>2320.86</v>
      </c>
      <c r="AW41" s="310">
        <f t="shared" si="21"/>
        <v>27850.32</v>
      </c>
      <c r="AX41" s="260">
        <v>1</v>
      </c>
      <c r="AY41" s="446">
        <f>'Copeira 2'!$D$137</f>
        <v>2320.86</v>
      </c>
      <c r="AZ41" s="310">
        <f t="shared" si="22"/>
        <v>2320.86</v>
      </c>
      <c r="BA41" s="310">
        <f t="shared" si="23"/>
        <v>27850.32</v>
      </c>
    </row>
    <row r="42" spans="2:53" x14ac:dyDescent="0.25">
      <c r="B42" s="266">
        <v>11</v>
      </c>
      <c r="C42" s="307" t="s">
        <v>586</v>
      </c>
      <c r="D42" s="308"/>
      <c r="E42" s="368"/>
      <c r="F42" s="368"/>
      <c r="G42" s="368"/>
      <c r="H42" s="309"/>
      <c r="I42" s="310"/>
      <c r="J42" s="310"/>
      <c r="K42" s="308"/>
      <c r="L42" s="311"/>
      <c r="M42" s="274"/>
      <c r="Z42" s="308"/>
      <c r="AA42" s="309"/>
      <c r="AB42" s="262"/>
      <c r="AC42" s="310"/>
      <c r="AD42" s="250"/>
      <c r="AE42" s="308"/>
      <c r="AF42" s="445"/>
      <c r="AG42" s="310"/>
      <c r="AH42" s="310"/>
      <c r="AI42" s="250"/>
      <c r="AJ42" s="308">
        <v>1</v>
      </c>
      <c r="AK42" s="445">
        <v>3343.55</v>
      </c>
      <c r="AL42" s="310">
        <v>3343.55</v>
      </c>
      <c r="AM42" s="310">
        <v>40122.600000000006</v>
      </c>
      <c r="AN42" s="267" t="s">
        <v>664</v>
      </c>
      <c r="AO42" s="308">
        <v>1</v>
      </c>
      <c r="AP42" s="445">
        <v>3343.55</v>
      </c>
      <c r="AQ42" s="310">
        <v>3343.55</v>
      </c>
      <c r="AR42" s="310">
        <v>40122.600000000006</v>
      </c>
      <c r="AS42" s="267" t="s">
        <v>664</v>
      </c>
      <c r="AT42" s="308">
        <v>1</v>
      </c>
      <c r="AU42" s="445">
        <f>'Orçam 2'!D134</f>
        <v>4148.87</v>
      </c>
      <c r="AV42" s="310">
        <f t="shared" si="20"/>
        <v>4148.87</v>
      </c>
      <c r="AW42" s="310">
        <f t="shared" si="21"/>
        <v>49786.44</v>
      </c>
      <c r="AX42" s="308">
        <v>0</v>
      </c>
      <c r="AY42" s="445">
        <f>'Orçam 2'!H134</f>
        <v>0</v>
      </c>
      <c r="AZ42" s="310">
        <f t="shared" si="22"/>
        <v>0</v>
      </c>
      <c r="BA42" s="310">
        <f t="shared" si="23"/>
        <v>0</v>
      </c>
    </row>
    <row r="43" spans="2:53" x14ac:dyDescent="0.25">
      <c r="B43" s="258">
        <v>12</v>
      </c>
      <c r="C43" s="259" t="s">
        <v>540</v>
      </c>
      <c r="D43" s="260">
        <v>2</v>
      </c>
      <c r="E43" s="261">
        <v>3522.26</v>
      </c>
      <c r="F43" s="262">
        <v>7044.52</v>
      </c>
      <c r="G43" s="262">
        <v>84534.24</v>
      </c>
      <c r="H43" s="261">
        <f>'Cerim. 2'!$D$147</f>
        <v>4700.4000000000005</v>
      </c>
      <c r="I43" s="262">
        <f>D43*H43</f>
        <v>9400.8000000000011</v>
      </c>
      <c r="J43" s="262">
        <f>I43*12</f>
        <v>112809.60000000001</v>
      </c>
      <c r="K43" s="266" t="s">
        <v>519</v>
      </c>
      <c r="L43" s="264">
        <f>I43*2</f>
        <v>18801.600000000002</v>
      </c>
      <c r="M43" s="274">
        <v>802041</v>
      </c>
      <c r="N43" s="246" t="s">
        <v>554</v>
      </c>
      <c r="Z43" s="260">
        <v>2</v>
      </c>
      <c r="AA43" s="261">
        <v>3522.26</v>
      </c>
      <c r="AB43" s="262">
        <v>7044.52</v>
      </c>
      <c r="AC43" s="262">
        <v>84534.24</v>
      </c>
      <c r="AE43" s="260">
        <v>2</v>
      </c>
      <c r="AF43" s="446">
        <v>3955.64</v>
      </c>
      <c r="AG43" s="310">
        <v>7911.28</v>
      </c>
      <c r="AH43" s="310">
        <v>94935.360000000001</v>
      </c>
      <c r="AJ43" s="260">
        <v>2</v>
      </c>
      <c r="AK43" s="446">
        <v>3955.64</v>
      </c>
      <c r="AL43" s="310">
        <v>7911.28</v>
      </c>
      <c r="AM43" s="310">
        <v>94935.360000000001</v>
      </c>
      <c r="AO43" s="260">
        <v>2</v>
      </c>
      <c r="AP43" s="446">
        <v>3955.64</v>
      </c>
      <c r="AQ43" s="310">
        <v>7911.28</v>
      </c>
      <c r="AR43" s="310">
        <v>94935.360000000001</v>
      </c>
      <c r="AT43" s="260">
        <v>2</v>
      </c>
      <c r="AU43" s="446">
        <f>'Cerim. 2'!$D$147</f>
        <v>4700.4000000000005</v>
      </c>
      <c r="AV43" s="310">
        <f t="shared" si="20"/>
        <v>9400.8000000000011</v>
      </c>
      <c r="AW43" s="310">
        <f t="shared" si="21"/>
        <v>112809.60000000001</v>
      </c>
      <c r="AX43" s="260">
        <v>2</v>
      </c>
      <c r="AY43" s="446">
        <f>'Cerim. 2'!$D$147</f>
        <v>4700.4000000000005</v>
      </c>
      <c r="AZ43" s="310">
        <f t="shared" si="22"/>
        <v>9400.8000000000011</v>
      </c>
      <c r="BA43" s="310">
        <f t="shared" si="23"/>
        <v>112809.60000000001</v>
      </c>
    </row>
    <row r="44" spans="2:53" x14ac:dyDescent="0.25">
      <c r="B44" s="254"/>
      <c r="C44" s="255" t="s">
        <v>534</v>
      </c>
      <c r="D44" s="254" t="s">
        <v>503</v>
      </c>
      <c r="E44" s="254"/>
      <c r="F44" s="254"/>
      <c r="G44" s="254"/>
      <c r="H44" s="254"/>
      <c r="I44" s="254"/>
      <c r="J44" s="254"/>
      <c r="R44" s="246">
        <f>21.06*3.29</f>
        <v>69.287399999999991</v>
      </c>
      <c r="AA44" s="254"/>
      <c r="AB44" s="254"/>
      <c r="AC44" s="254"/>
      <c r="AF44" s="444"/>
      <c r="AG44" s="254"/>
      <c r="AH44" s="254"/>
      <c r="AK44" s="444"/>
      <c r="AL44" s="254"/>
      <c r="AM44" s="254"/>
      <c r="AP44" s="444"/>
      <c r="AQ44" s="254"/>
      <c r="AR44" s="254"/>
      <c r="AU44" s="444"/>
      <c r="AV44" s="254"/>
      <c r="AW44" s="254"/>
      <c r="AY44" s="444"/>
      <c r="AZ44" s="254"/>
      <c r="BA44" s="254"/>
    </row>
    <row r="45" spans="2:53" ht="47.25" x14ac:dyDescent="0.25">
      <c r="B45" s="256" t="s">
        <v>159</v>
      </c>
      <c r="C45" s="257" t="s">
        <v>160</v>
      </c>
      <c r="D45" s="257" t="s">
        <v>161</v>
      </c>
      <c r="E45" s="257" t="s">
        <v>168</v>
      </c>
      <c r="F45" s="257" t="s">
        <v>167</v>
      </c>
      <c r="G45" s="257" t="s">
        <v>162</v>
      </c>
      <c r="H45" s="257" t="s">
        <v>168</v>
      </c>
      <c r="I45" s="257" t="s">
        <v>167</v>
      </c>
      <c r="J45" s="257" t="s">
        <v>162</v>
      </c>
      <c r="K45" s="257" t="s">
        <v>515</v>
      </c>
      <c r="L45" s="257" t="s">
        <v>520</v>
      </c>
      <c r="M45" s="257" t="s">
        <v>518</v>
      </c>
      <c r="N45" s="257" t="s">
        <v>548</v>
      </c>
      <c r="Z45" s="257" t="s">
        <v>571</v>
      </c>
      <c r="AA45" s="257" t="s">
        <v>168</v>
      </c>
      <c r="AB45" s="257" t="s">
        <v>167</v>
      </c>
      <c r="AC45" s="257" t="s">
        <v>162</v>
      </c>
      <c r="AE45" s="257" t="s">
        <v>628</v>
      </c>
      <c r="AF45" s="440" t="s">
        <v>168</v>
      </c>
      <c r="AG45" s="257" t="s">
        <v>167</v>
      </c>
      <c r="AH45" s="257" t="s">
        <v>162</v>
      </c>
      <c r="AJ45" s="257" t="s">
        <v>628</v>
      </c>
      <c r="AK45" s="440" t="s">
        <v>168</v>
      </c>
      <c r="AL45" s="257" t="s">
        <v>167</v>
      </c>
      <c r="AM45" s="257" t="s">
        <v>162</v>
      </c>
      <c r="AO45" s="257" t="s">
        <v>628</v>
      </c>
      <c r="AP45" s="440" t="s">
        <v>168</v>
      </c>
      <c r="AQ45" s="257" t="s">
        <v>167</v>
      </c>
      <c r="AR45" s="257" t="s">
        <v>162</v>
      </c>
      <c r="AT45" s="257" t="s">
        <v>628</v>
      </c>
      <c r="AU45" s="440" t="s">
        <v>168</v>
      </c>
      <c r="AV45" s="257" t="s">
        <v>167</v>
      </c>
      <c r="AW45" s="257" t="s">
        <v>162</v>
      </c>
      <c r="AX45" s="257" t="s">
        <v>628</v>
      </c>
      <c r="AY45" s="440" t="s">
        <v>168</v>
      </c>
      <c r="AZ45" s="257" t="s">
        <v>167</v>
      </c>
      <c r="BA45" s="257" t="s">
        <v>162</v>
      </c>
    </row>
    <row r="46" spans="2:53" x14ac:dyDescent="0.25">
      <c r="B46" s="258">
        <v>2</v>
      </c>
      <c r="C46" s="259" t="s">
        <v>2</v>
      </c>
      <c r="D46" s="260">
        <v>2</v>
      </c>
      <c r="E46" s="260">
        <v>1970.65</v>
      </c>
      <c r="F46" s="260">
        <v>3941.3</v>
      </c>
      <c r="G46" s="260">
        <v>47295.600000000006</v>
      </c>
      <c r="H46" s="261">
        <f>'Recepção 2'!$D$137</f>
        <v>2622.17</v>
      </c>
      <c r="I46" s="262">
        <f>D46*H46</f>
        <v>5244.34</v>
      </c>
      <c r="J46" s="262">
        <f>I46*12</f>
        <v>62932.08</v>
      </c>
      <c r="K46" s="266" t="s">
        <v>519</v>
      </c>
      <c r="L46" s="264">
        <f>I46*2</f>
        <v>10488.68</v>
      </c>
      <c r="M46" s="274">
        <v>802045</v>
      </c>
      <c r="N46" s="246" t="s">
        <v>554</v>
      </c>
      <c r="Z46" s="260">
        <v>2</v>
      </c>
      <c r="AA46" s="261">
        <v>1970.65</v>
      </c>
      <c r="AB46" s="262">
        <v>3941.3</v>
      </c>
      <c r="AC46" s="262">
        <v>47295.600000000006</v>
      </c>
      <c r="AE46" s="260">
        <v>2</v>
      </c>
      <c r="AF46" s="441">
        <v>2211.4299999999998</v>
      </c>
      <c r="AG46" s="262">
        <v>4422.8599999999997</v>
      </c>
      <c r="AH46" s="262">
        <v>53074.319999999992</v>
      </c>
      <c r="AJ46" s="260">
        <v>2</v>
      </c>
      <c r="AK46" s="441">
        <v>2211.4299999999998</v>
      </c>
      <c r="AL46" s="262">
        <v>4422.8599999999997</v>
      </c>
      <c r="AM46" s="262">
        <v>53074.319999999992</v>
      </c>
      <c r="AO46" s="260">
        <v>2</v>
      </c>
      <c r="AP46" s="441">
        <v>2211.4299999999998</v>
      </c>
      <c r="AQ46" s="262">
        <v>4422.8599999999997</v>
      </c>
      <c r="AR46" s="262">
        <v>53074.319999999992</v>
      </c>
      <c r="AT46" s="260">
        <v>2</v>
      </c>
      <c r="AU46" s="441">
        <f>'Recepção 2'!$D$137</f>
        <v>2622.17</v>
      </c>
      <c r="AV46" s="262">
        <f>AU46*AT46</f>
        <v>5244.34</v>
      </c>
      <c r="AW46" s="262">
        <f>AV46*12</f>
        <v>62932.08</v>
      </c>
      <c r="AX46" s="260">
        <v>1</v>
      </c>
      <c r="AY46" s="441">
        <f>'Recepção 2'!$D$137</f>
        <v>2622.17</v>
      </c>
      <c r="AZ46" s="262">
        <f>AY46*AX46</f>
        <v>2622.17</v>
      </c>
      <c r="BA46" s="262">
        <f>AZ46*12</f>
        <v>31466.04</v>
      </c>
    </row>
    <row r="47" spans="2:53" x14ac:dyDescent="0.25">
      <c r="B47" s="258">
        <v>11</v>
      </c>
      <c r="C47" s="259" t="s">
        <v>8</v>
      </c>
      <c r="D47" s="265">
        <v>1</v>
      </c>
      <c r="E47" s="265">
        <v>2924.41</v>
      </c>
      <c r="F47" s="265">
        <v>2924.41</v>
      </c>
      <c r="G47" s="265">
        <v>35092.92</v>
      </c>
      <c r="H47" s="261">
        <f>'Orçam 2'!$D$137</f>
        <v>4148.87</v>
      </c>
      <c r="I47" s="262">
        <f>D47*H47</f>
        <v>4148.87</v>
      </c>
      <c r="J47" s="262">
        <f>I47*12</f>
        <v>49786.44</v>
      </c>
      <c r="K47" s="266" t="s">
        <v>519</v>
      </c>
      <c r="L47" s="264">
        <f>I47*2</f>
        <v>8297.74</v>
      </c>
      <c r="M47" s="274">
        <v>802045</v>
      </c>
      <c r="N47" s="246" t="s">
        <v>554</v>
      </c>
      <c r="Z47" s="265">
        <v>1</v>
      </c>
      <c r="AA47" s="261">
        <v>2924.41</v>
      </c>
      <c r="AB47" s="262">
        <v>2924.41</v>
      </c>
      <c r="AC47" s="262">
        <v>35092.92</v>
      </c>
      <c r="AE47" s="265">
        <v>1</v>
      </c>
      <c r="AF47" s="441">
        <v>3343.55</v>
      </c>
      <c r="AG47" s="262">
        <v>3343.55</v>
      </c>
      <c r="AH47" s="262">
        <v>40122.600000000006</v>
      </c>
      <c r="AJ47" s="265">
        <v>1</v>
      </c>
      <c r="AK47" s="441">
        <v>3343.55</v>
      </c>
      <c r="AL47" s="262">
        <v>3343.55</v>
      </c>
      <c r="AM47" s="262">
        <v>40122.600000000006</v>
      </c>
      <c r="AO47" s="265">
        <v>1</v>
      </c>
      <c r="AP47" s="441">
        <v>3343.55</v>
      </c>
      <c r="AQ47" s="262">
        <v>3343.55</v>
      </c>
      <c r="AR47" s="262">
        <v>40122.600000000006</v>
      </c>
      <c r="AT47" s="265">
        <v>1</v>
      </c>
      <c r="AU47" s="441">
        <f>'Orçam 2'!$D$137</f>
        <v>4148.87</v>
      </c>
      <c r="AV47" s="262">
        <f>AU47*AT47</f>
        <v>4148.87</v>
      </c>
      <c r="AW47" s="262">
        <f>AV47*12</f>
        <v>49786.44</v>
      </c>
      <c r="AX47" s="265">
        <v>0</v>
      </c>
      <c r="AY47" s="441">
        <f>'Orçam 2'!$D$137</f>
        <v>4148.87</v>
      </c>
      <c r="AZ47" s="262">
        <f>AY47*AX47</f>
        <v>0</v>
      </c>
      <c r="BA47" s="262">
        <f>AZ47*12</f>
        <v>0</v>
      </c>
    </row>
    <row r="48" spans="2:53" x14ac:dyDescent="0.25">
      <c r="B48" s="254"/>
      <c r="C48" s="255" t="s">
        <v>535</v>
      </c>
      <c r="D48" s="254" t="s">
        <v>503</v>
      </c>
      <c r="E48" s="254"/>
      <c r="F48" s="254"/>
      <c r="G48" s="254"/>
      <c r="H48" s="254"/>
      <c r="I48" s="254"/>
      <c r="J48" s="254"/>
      <c r="AA48" s="254"/>
      <c r="AB48" s="254"/>
      <c r="AC48" s="254"/>
      <c r="AF48" s="444"/>
      <c r="AG48" s="254"/>
      <c r="AH48" s="254"/>
      <c r="AK48" s="444"/>
      <c r="AL48" s="254"/>
      <c r="AM48" s="254"/>
      <c r="AP48" s="444"/>
      <c r="AQ48" s="254"/>
      <c r="AR48" s="254"/>
      <c r="AU48" s="444"/>
      <c r="AV48" s="254"/>
      <c r="AW48" s="254"/>
      <c r="AY48" s="444"/>
      <c r="AZ48" s="254"/>
      <c r="BA48" s="254"/>
    </row>
    <row r="49" spans="2:53" ht="47.25" x14ac:dyDescent="0.25">
      <c r="B49" s="256" t="s">
        <v>159</v>
      </c>
      <c r="C49" s="257" t="s">
        <v>160</v>
      </c>
      <c r="D49" s="257" t="s">
        <v>161</v>
      </c>
      <c r="E49" s="257" t="s">
        <v>168</v>
      </c>
      <c r="F49" s="257" t="s">
        <v>167</v>
      </c>
      <c r="G49" s="257" t="s">
        <v>162</v>
      </c>
      <c r="H49" s="257" t="s">
        <v>168</v>
      </c>
      <c r="I49" s="257" t="s">
        <v>167</v>
      </c>
      <c r="J49" s="257" t="s">
        <v>162</v>
      </c>
      <c r="K49" s="257" t="s">
        <v>515</v>
      </c>
      <c r="L49" s="257" t="s">
        <v>520</v>
      </c>
      <c r="M49" s="257" t="s">
        <v>518</v>
      </c>
      <c r="N49" s="257" t="s">
        <v>548</v>
      </c>
      <c r="Z49" s="257" t="s">
        <v>571</v>
      </c>
      <c r="AA49" s="257" t="s">
        <v>168</v>
      </c>
      <c r="AB49" s="257" t="s">
        <v>167</v>
      </c>
      <c r="AC49" s="257" t="s">
        <v>162</v>
      </c>
      <c r="AE49" s="257" t="s">
        <v>628</v>
      </c>
      <c r="AF49" s="440" t="s">
        <v>168</v>
      </c>
      <c r="AG49" s="257" t="s">
        <v>167</v>
      </c>
      <c r="AH49" s="257" t="s">
        <v>162</v>
      </c>
      <c r="AJ49" s="257" t="s">
        <v>628</v>
      </c>
      <c r="AK49" s="440" t="s">
        <v>168</v>
      </c>
      <c r="AL49" s="257" t="s">
        <v>167</v>
      </c>
      <c r="AM49" s="257" t="s">
        <v>162</v>
      </c>
      <c r="AO49" s="257" t="s">
        <v>628</v>
      </c>
      <c r="AP49" s="440" t="s">
        <v>168</v>
      </c>
      <c r="AQ49" s="257" t="s">
        <v>167</v>
      </c>
      <c r="AR49" s="257" t="s">
        <v>162</v>
      </c>
      <c r="AT49" s="257" t="s">
        <v>628</v>
      </c>
      <c r="AU49" s="440" t="s">
        <v>168</v>
      </c>
      <c r="AV49" s="257" t="s">
        <v>167</v>
      </c>
      <c r="AW49" s="257" t="s">
        <v>162</v>
      </c>
      <c r="AX49" s="257" t="s">
        <v>628</v>
      </c>
      <c r="AY49" s="440" t="s">
        <v>168</v>
      </c>
      <c r="AZ49" s="257" t="s">
        <v>167</v>
      </c>
      <c r="BA49" s="257" t="s">
        <v>162</v>
      </c>
    </row>
    <row r="50" spans="2:53" x14ac:dyDescent="0.25">
      <c r="B50" s="258">
        <v>2</v>
      </c>
      <c r="C50" s="259" t="s">
        <v>2</v>
      </c>
      <c r="D50" s="260">
        <v>1</v>
      </c>
      <c r="E50" s="260">
        <v>1970.65</v>
      </c>
      <c r="F50" s="260">
        <v>1970.65</v>
      </c>
      <c r="G50" s="260">
        <v>23647.800000000003</v>
      </c>
      <c r="H50" s="261">
        <f>'Recepção 2'!$D$137</f>
        <v>2622.17</v>
      </c>
      <c r="I50" s="262">
        <f>D50*H50</f>
        <v>2622.17</v>
      </c>
      <c r="J50" s="262">
        <f>I50*12</f>
        <v>31466.04</v>
      </c>
      <c r="K50" s="266" t="s">
        <v>519</v>
      </c>
      <c r="L50" s="264">
        <f>I50*2</f>
        <v>5244.34</v>
      </c>
      <c r="M50" s="274">
        <v>802046</v>
      </c>
      <c r="N50" s="246" t="s">
        <v>554</v>
      </c>
      <c r="Z50" s="260">
        <v>1</v>
      </c>
      <c r="AA50" s="261">
        <v>1970.65</v>
      </c>
      <c r="AB50" s="262">
        <v>1970.65</v>
      </c>
      <c r="AC50" s="262">
        <v>23647.800000000003</v>
      </c>
      <c r="AE50" s="260">
        <v>1</v>
      </c>
      <c r="AF50" s="441">
        <v>2211.4299999999998</v>
      </c>
      <c r="AG50" s="262">
        <v>2211.4299999999998</v>
      </c>
      <c r="AH50" s="262">
        <v>26537.159999999996</v>
      </c>
      <c r="AJ50" s="260">
        <v>1</v>
      </c>
      <c r="AK50" s="441">
        <v>2211.4299999999998</v>
      </c>
      <c r="AL50" s="262">
        <v>2211.4299999999998</v>
      </c>
      <c r="AM50" s="262">
        <v>26537.159999999996</v>
      </c>
      <c r="AO50" s="260">
        <v>1</v>
      </c>
      <c r="AP50" s="441">
        <v>2211.4299999999998</v>
      </c>
      <c r="AQ50" s="262">
        <v>2211.4299999999998</v>
      </c>
      <c r="AR50" s="262">
        <v>26537.159999999996</v>
      </c>
      <c r="AT50" s="260">
        <v>1</v>
      </c>
      <c r="AU50" s="441">
        <f>'Recepção 2'!$D$137</f>
        <v>2622.17</v>
      </c>
      <c r="AV50" s="262">
        <f>AU50*AT50</f>
        <v>2622.17</v>
      </c>
      <c r="AW50" s="262">
        <f>AV50*12</f>
        <v>31466.04</v>
      </c>
      <c r="AX50" s="260">
        <v>1</v>
      </c>
      <c r="AY50" s="441">
        <f>'Recepção 2'!$D$137</f>
        <v>2622.17</v>
      </c>
      <c r="AZ50" s="262">
        <f>AY50*AX50</f>
        <v>2622.17</v>
      </c>
      <c r="BA50" s="262">
        <f>AZ50*12</f>
        <v>31466.04</v>
      </c>
    </row>
    <row r="51" spans="2:53" x14ac:dyDescent="0.25">
      <c r="B51" s="258">
        <v>11</v>
      </c>
      <c r="C51" s="259" t="s">
        <v>8</v>
      </c>
      <c r="D51" s="265">
        <v>2</v>
      </c>
      <c r="E51" s="265">
        <v>2924.41</v>
      </c>
      <c r="F51" s="265">
        <v>5848.82</v>
      </c>
      <c r="G51" s="265">
        <v>70185.84</v>
      </c>
      <c r="H51" s="261">
        <f>'Orçam 2'!$D$137</f>
        <v>4148.87</v>
      </c>
      <c r="I51" s="262">
        <f>D51*H51</f>
        <v>8297.74</v>
      </c>
      <c r="J51" s="262">
        <f>I51*12</f>
        <v>99572.88</v>
      </c>
      <c r="K51" s="266" t="s">
        <v>519</v>
      </c>
      <c r="L51" s="264">
        <f>I51*2</f>
        <v>16595.48</v>
      </c>
      <c r="M51" s="274">
        <v>802046</v>
      </c>
      <c r="N51" s="246" t="s">
        <v>554</v>
      </c>
      <c r="Z51" s="265">
        <v>1</v>
      </c>
      <c r="AA51" s="261">
        <v>2924.41</v>
      </c>
      <c r="AB51" s="262">
        <v>2924.41</v>
      </c>
      <c r="AC51" s="262">
        <v>35092.92</v>
      </c>
      <c r="AD51" s="267" t="s">
        <v>588</v>
      </c>
      <c r="AE51" s="265">
        <v>1</v>
      </c>
      <c r="AF51" s="441">
        <v>3343.55</v>
      </c>
      <c r="AG51" s="262">
        <v>3343.55</v>
      </c>
      <c r="AH51" s="262">
        <v>40122.600000000006</v>
      </c>
      <c r="AI51" s="267" t="s">
        <v>588</v>
      </c>
      <c r="AJ51" s="265">
        <v>1</v>
      </c>
      <c r="AK51" s="441">
        <v>3343.55</v>
      </c>
      <c r="AL51" s="262">
        <v>3343.55</v>
      </c>
      <c r="AM51" s="262">
        <v>40122.600000000006</v>
      </c>
      <c r="AN51" s="250"/>
      <c r="AO51" s="265">
        <v>1</v>
      </c>
      <c r="AP51" s="441">
        <v>3343.55</v>
      </c>
      <c r="AQ51" s="262">
        <v>3343.55</v>
      </c>
      <c r="AR51" s="262">
        <v>40122.600000000006</v>
      </c>
      <c r="AS51" s="250"/>
      <c r="AT51" s="265">
        <v>1</v>
      </c>
      <c r="AU51" s="441">
        <f>'Orçam 2'!$D$137</f>
        <v>4148.87</v>
      </c>
      <c r="AV51" s="262">
        <f>AU51*AT51</f>
        <v>4148.87</v>
      </c>
      <c r="AW51" s="262">
        <f>AV51*12</f>
        <v>49786.44</v>
      </c>
      <c r="AX51" s="265">
        <v>0</v>
      </c>
      <c r="AY51" s="441">
        <f>'Orçam 2'!$D$137</f>
        <v>4148.87</v>
      </c>
      <c r="AZ51" s="262">
        <f>AY51*AX51</f>
        <v>0</v>
      </c>
      <c r="BA51" s="262">
        <f>AZ51*12</f>
        <v>0</v>
      </c>
    </row>
    <row r="52" spans="2:53" x14ac:dyDescent="0.25">
      <c r="B52" s="254"/>
      <c r="C52" s="255" t="s">
        <v>536</v>
      </c>
      <c r="D52" s="254" t="s">
        <v>503</v>
      </c>
      <c r="E52" s="254"/>
      <c r="F52" s="254"/>
      <c r="G52" s="254"/>
      <c r="H52" s="254"/>
      <c r="I52" s="254"/>
      <c r="J52" s="254"/>
      <c r="AA52" s="254"/>
      <c r="AB52" s="254"/>
      <c r="AC52" s="254"/>
      <c r="AF52" s="444"/>
      <c r="AG52" s="254"/>
      <c r="AH52" s="254"/>
      <c r="AK52" s="444"/>
      <c r="AL52" s="254"/>
      <c r="AM52" s="254"/>
      <c r="AP52" s="444"/>
      <c r="AQ52" s="254"/>
      <c r="AR52" s="254"/>
      <c r="AU52" s="444"/>
      <c r="AV52" s="254"/>
      <c r="AW52" s="254"/>
      <c r="AY52" s="444"/>
      <c r="AZ52" s="254"/>
      <c r="BA52" s="254"/>
    </row>
    <row r="53" spans="2:53" ht="47.25" x14ac:dyDescent="0.25">
      <c r="B53" s="256" t="s">
        <v>159</v>
      </c>
      <c r="C53" s="257" t="s">
        <v>160</v>
      </c>
      <c r="D53" s="257" t="s">
        <v>161</v>
      </c>
      <c r="E53" s="257" t="s">
        <v>168</v>
      </c>
      <c r="F53" s="257" t="s">
        <v>167</v>
      </c>
      <c r="G53" s="257" t="s">
        <v>162</v>
      </c>
      <c r="H53" s="257" t="s">
        <v>168</v>
      </c>
      <c r="I53" s="257" t="s">
        <v>167</v>
      </c>
      <c r="J53" s="257" t="s">
        <v>162</v>
      </c>
      <c r="K53" s="257" t="s">
        <v>515</v>
      </c>
      <c r="L53" s="257" t="s">
        <v>520</v>
      </c>
      <c r="M53" s="257" t="s">
        <v>518</v>
      </c>
      <c r="N53" s="257" t="s">
        <v>548</v>
      </c>
      <c r="Z53" s="257" t="s">
        <v>571</v>
      </c>
      <c r="AA53" s="257" t="s">
        <v>168</v>
      </c>
      <c r="AB53" s="257" t="s">
        <v>167</v>
      </c>
      <c r="AC53" s="257" t="s">
        <v>162</v>
      </c>
      <c r="AE53" s="257" t="s">
        <v>628</v>
      </c>
      <c r="AF53" s="440" t="s">
        <v>168</v>
      </c>
      <c r="AG53" s="257" t="s">
        <v>167</v>
      </c>
      <c r="AH53" s="257" t="s">
        <v>162</v>
      </c>
      <c r="AJ53" s="257" t="s">
        <v>628</v>
      </c>
      <c r="AK53" s="440" t="s">
        <v>168</v>
      </c>
      <c r="AL53" s="257" t="s">
        <v>167</v>
      </c>
      <c r="AM53" s="257" t="s">
        <v>162</v>
      </c>
      <c r="AO53" s="257" t="s">
        <v>628</v>
      </c>
      <c r="AP53" s="440" t="s">
        <v>168</v>
      </c>
      <c r="AQ53" s="257" t="s">
        <v>167</v>
      </c>
      <c r="AR53" s="257" t="s">
        <v>162</v>
      </c>
      <c r="AT53" s="257" t="s">
        <v>628</v>
      </c>
      <c r="AU53" s="440" t="s">
        <v>168</v>
      </c>
      <c r="AV53" s="257" t="s">
        <v>167</v>
      </c>
      <c r="AW53" s="257" t="s">
        <v>162</v>
      </c>
      <c r="AX53" s="257" t="s">
        <v>628</v>
      </c>
      <c r="AY53" s="440" t="s">
        <v>168</v>
      </c>
      <c r="AZ53" s="257" t="s">
        <v>167</v>
      </c>
      <c r="BA53" s="257" t="s">
        <v>162</v>
      </c>
    </row>
    <row r="54" spans="2:53" x14ac:dyDescent="0.25">
      <c r="B54" s="258">
        <v>2</v>
      </c>
      <c r="C54" s="259" t="s">
        <v>2</v>
      </c>
      <c r="D54" s="260">
        <v>1</v>
      </c>
      <c r="E54" s="260">
        <v>1970.65</v>
      </c>
      <c r="F54" s="260">
        <v>1970.65</v>
      </c>
      <c r="G54" s="260">
        <v>23647.800000000003</v>
      </c>
      <c r="H54" s="261">
        <f>'Recepção 2'!$D$137</f>
        <v>2622.17</v>
      </c>
      <c r="I54" s="262">
        <f>D54*H54</f>
        <v>2622.17</v>
      </c>
      <c r="J54" s="262">
        <f>I54*12</f>
        <v>31466.04</v>
      </c>
      <c r="K54" s="266" t="s">
        <v>519</v>
      </c>
      <c r="L54" s="264">
        <f>I54*2</f>
        <v>5244.34</v>
      </c>
      <c r="M54" s="274">
        <v>802047</v>
      </c>
      <c r="N54" s="246" t="s">
        <v>554</v>
      </c>
      <c r="Z54" s="260">
        <v>1</v>
      </c>
      <c r="AA54" s="261">
        <v>1970.65</v>
      </c>
      <c r="AB54" s="262">
        <v>1970.65</v>
      </c>
      <c r="AC54" s="262">
        <v>23647.800000000003</v>
      </c>
      <c r="AE54" s="260">
        <v>1</v>
      </c>
      <c r="AF54" s="441">
        <v>2211.4299999999998</v>
      </c>
      <c r="AG54" s="262">
        <v>2211.4299999999998</v>
      </c>
      <c r="AH54" s="262">
        <v>26537.159999999996</v>
      </c>
      <c r="AJ54" s="260">
        <v>1</v>
      </c>
      <c r="AK54" s="441">
        <v>2211.4299999999998</v>
      </c>
      <c r="AL54" s="262">
        <v>2211.4299999999998</v>
      </c>
      <c r="AM54" s="262">
        <v>26537.159999999996</v>
      </c>
      <c r="AO54" s="260">
        <v>1</v>
      </c>
      <c r="AP54" s="441">
        <v>2211.4299999999998</v>
      </c>
      <c r="AQ54" s="262">
        <v>2211.4299999999998</v>
      </c>
      <c r="AR54" s="262">
        <v>26537.159999999996</v>
      </c>
      <c r="AT54" s="260">
        <v>1</v>
      </c>
      <c r="AU54" s="441">
        <f>'Recepção 2'!$D$137</f>
        <v>2622.17</v>
      </c>
      <c r="AV54" s="262">
        <f>AU54*AT54</f>
        <v>2622.17</v>
      </c>
      <c r="AW54" s="262">
        <f>AV54*12</f>
        <v>31466.04</v>
      </c>
      <c r="AX54" s="260">
        <v>1</v>
      </c>
      <c r="AY54" s="441">
        <f>'Recepção 2'!$D$137</f>
        <v>2622.17</v>
      </c>
      <c r="AZ54" s="262">
        <f>AY54*AX54</f>
        <v>2622.17</v>
      </c>
      <c r="BA54" s="262">
        <f>AZ54*12</f>
        <v>31466.04</v>
      </c>
    </row>
    <row r="55" spans="2:53" x14ac:dyDescent="0.25">
      <c r="B55" s="258">
        <v>11</v>
      </c>
      <c r="C55" s="259" t="s">
        <v>8</v>
      </c>
      <c r="D55" s="265">
        <v>2</v>
      </c>
      <c r="E55" s="265">
        <v>2924.41</v>
      </c>
      <c r="F55" s="265">
        <v>5848.82</v>
      </c>
      <c r="G55" s="265">
        <v>70185.84</v>
      </c>
      <c r="H55" s="261">
        <f>'Orçam 2'!$D$137</f>
        <v>4148.87</v>
      </c>
      <c r="I55" s="262">
        <f>D55*H55</f>
        <v>8297.74</v>
      </c>
      <c r="J55" s="262">
        <f>I55*12</f>
        <v>99572.88</v>
      </c>
      <c r="K55" s="266" t="s">
        <v>519</v>
      </c>
      <c r="L55" s="264">
        <f>I55*2</f>
        <v>16595.48</v>
      </c>
      <c r="M55" s="274">
        <v>802047</v>
      </c>
      <c r="N55" s="246" t="s">
        <v>554</v>
      </c>
      <c r="Z55" s="265">
        <v>2</v>
      </c>
      <c r="AA55" s="261">
        <v>2924.41</v>
      </c>
      <c r="AB55" s="262">
        <v>5848.82</v>
      </c>
      <c r="AC55" s="262">
        <v>70185.84</v>
      </c>
      <c r="AE55" s="265">
        <v>2</v>
      </c>
      <c r="AF55" s="441">
        <v>3343.55</v>
      </c>
      <c r="AG55" s="262">
        <v>6687.1</v>
      </c>
      <c r="AH55" s="262">
        <v>80245.200000000012</v>
      </c>
      <c r="AJ55" s="265">
        <v>2</v>
      </c>
      <c r="AK55" s="441">
        <v>3343.55</v>
      </c>
      <c r="AL55" s="262">
        <v>6687.1</v>
      </c>
      <c r="AM55" s="262">
        <v>80245.200000000012</v>
      </c>
      <c r="AO55" s="265">
        <v>2</v>
      </c>
      <c r="AP55" s="441">
        <v>3343.55</v>
      </c>
      <c r="AQ55" s="262">
        <v>6687.1</v>
      </c>
      <c r="AR55" s="262">
        <v>80245.200000000012</v>
      </c>
      <c r="AT55" s="265">
        <v>2</v>
      </c>
      <c r="AU55" s="441">
        <f>'Orçam 2'!$D$137</f>
        <v>4148.87</v>
      </c>
      <c r="AV55" s="262">
        <f>AU55*AT55</f>
        <v>8297.74</v>
      </c>
      <c r="AW55" s="262">
        <f>AV55*12</f>
        <v>99572.88</v>
      </c>
      <c r="AX55" s="314">
        <v>0</v>
      </c>
      <c r="AY55" s="441">
        <f>'Orçam 2'!$D$137</f>
        <v>4148.87</v>
      </c>
      <c r="AZ55" s="262">
        <f>AY55*AX55</f>
        <v>0</v>
      </c>
      <c r="BA55" s="262">
        <f>AZ55*12</f>
        <v>0</v>
      </c>
    </row>
    <row r="56" spans="2:53" x14ac:dyDescent="0.25">
      <c r="B56" s="254"/>
      <c r="C56" s="255" t="s">
        <v>537</v>
      </c>
      <c r="D56" s="254" t="s">
        <v>503</v>
      </c>
      <c r="E56" s="254"/>
      <c r="F56" s="254"/>
      <c r="G56" s="254"/>
      <c r="H56" s="254"/>
      <c r="I56" s="254"/>
      <c r="J56" s="254"/>
      <c r="AA56" s="254"/>
      <c r="AB56" s="254"/>
      <c r="AC56" s="254"/>
      <c r="AF56" s="444"/>
      <c r="AG56" s="254"/>
      <c r="AH56" s="254"/>
      <c r="AK56" s="444"/>
      <c r="AL56" s="254"/>
      <c r="AM56" s="254"/>
      <c r="AP56" s="444"/>
      <c r="AQ56" s="254"/>
      <c r="AR56" s="254"/>
      <c r="AU56" s="444"/>
      <c r="AV56" s="254"/>
      <c r="AW56" s="254"/>
      <c r="AY56" s="444"/>
      <c r="AZ56" s="254"/>
      <c r="BA56" s="254"/>
    </row>
    <row r="57" spans="2:53" ht="47.25" x14ac:dyDescent="0.25">
      <c r="B57" s="256" t="s">
        <v>159</v>
      </c>
      <c r="C57" s="257" t="s">
        <v>160</v>
      </c>
      <c r="D57" s="257" t="s">
        <v>161</v>
      </c>
      <c r="E57" s="257" t="s">
        <v>168</v>
      </c>
      <c r="F57" s="257" t="s">
        <v>167</v>
      </c>
      <c r="G57" s="257" t="s">
        <v>162</v>
      </c>
      <c r="H57" s="257" t="s">
        <v>168</v>
      </c>
      <c r="I57" s="257" t="s">
        <v>167</v>
      </c>
      <c r="J57" s="257" t="s">
        <v>162</v>
      </c>
      <c r="K57" s="257" t="s">
        <v>515</v>
      </c>
      <c r="L57" s="257" t="s">
        <v>520</v>
      </c>
      <c r="M57" s="257" t="s">
        <v>518</v>
      </c>
      <c r="N57" s="257" t="s">
        <v>548</v>
      </c>
      <c r="Z57" s="257" t="s">
        <v>571</v>
      </c>
      <c r="AA57" s="257" t="s">
        <v>168</v>
      </c>
      <c r="AB57" s="257" t="s">
        <v>167</v>
      </c>
      <c r="AC57" s="257" t="s">
        <v>162</v>
      </c>
      <c r="AE57" s="257" t="s">
        <v>628</v>
      </c>
      <c r="AF57" s="440" t="s">
        <v>168</v>
      </c>
      <c r="AG57" s="257" t="s">
        <v>167</v>
      </c>
      <c r="AH57" s="257" t="s">
        <v>162</v>
      </c>
      <c r="AJ57" s="257" t="s">
        <v>628</v>
      </c>
      <c r="AK57" s="440" t="s">
        <v>168</v>
      </c>
      <c r="AL57" s="257" t="s">
        <v>167</v>
      </c>
      <c r="AM57" s="257" t="s">
        <v>162</v>
      </c>
      <c r="AO57" s="257" t="s">
        <v>628</v>
      </c>
      <c r="AP57" s="440" t="s">
        <v>168</v>
      </c>
      <c r="AQ57" s="257" t="s">
        <v>167</v>
      </c>
      <c r="AR57" s="257" t="s">
        <v>162</v>
      </c>
      <c r="AT57" s="257" t="s">
        <v>628</v>
      </c>
      <c r="AU57" s="440" t="s">
        <v>168</v>
      </c>
      <c r="AV57" s="257" t="s">
        <v>167</v>
      </c>
      <c r="AW57" s="257" t="s">
        <v>162</v>
      </c>
      <c r="AX57" s="257" t="s">
        <v>628</v>
      </c>
      <c r="AY57" s="440" t="s">
        <v>168</v>
      </c>
      <c r="AZ57" s="257" t="s">
        <v>167</v>
      </c>
      <c r="BA57" s="257" t="s">
        <v>162</v>
      </c>
    </row>
    <row r="58" spans="2:53" x14ac:dyDescent="0.25">
      <c r="B58" s="258">
        <v>2</v>
      </c>
      <c r="C58" s="259" t="s">
        <v>2</v>
      </c>
      <c r="D58" s="260">
        <v>1</v>
      </c>
      <c r="E58" s="260">
        <v>1970.65</v>
      </c>
      <c r="F58" s="260">
        <v>1970.65</v>
      </c>
      <c r="G58" s="260">
        <v>23647.800000000003</v>
      </c>
      <c r="H58" s="261">
        <f>'Recepção 2'!$D$137</f>
        <v>2622.17</v>
      </c>
      <c r="I58" s="262">
        <f>D58*H58</f>
        <v>2622.17</v>
      </c>
      <c r="J58" s="262">
        <f>I58*12</f>
        <v>31466.04</v>
      </c>
      <c r="K58" s="266" t="s">
        <v>519</v>
      </c>
      <c r="L58" s="264">
        <f>I58*2</f>
        <v>5244.34</v>
      </c>
      <c r="M58" s="274">
        <v>802048</v>
      </c>
      <c r="N58" s="246" t="s">
        <v>554</v>
      </c>
      <c r="Z58" s="260">
        <v>1</v>
      </c>
      <c r="AA58" s="261">
        <v>1970.65</v>
      </c>
      <c r="AB58" s="262">
        <v>1970.65</v>
      </c>
      <c r="AC58" s="262">
        <v>23647.800000000003</v>
      </c>
      <c r="AE58" s="260">
        <v>1</v>
      </c>
      <c r="AF58" s="441">
        <v>2211.4299999999998</v>
      </c>
      <c r="AG58" s="262">
        <v>2211.4299999999998</v>
      </c>
      <c r="AH58" s="262">
        <v>26537.159999999996</v>
      </c>
      <c r="AJ58" s="260">
        <v>1</v>
      </c>
      <c r="AK58" s="441">
        <v>2211.4299999999998</v>
      </c>
      <c r="AL58" s="262">
        <v>2211.4299999999998</v>
      </c>
      <c r="AM58" s="262">
        <v>26537.159999999996</v>
      </c>
      <c r="AO58" s="260">
        <v>1</v>
      </c>
      <c r="AP58" s="441">
        <v>2211.4299999999998</v>
      </c>
      <c r="AQ58" s="262">
        <v>2211.4299999999998</v>
      </c>
      <c r="AR58" s="262">
        <v>26537.159999999996</v>
      </c>
      <c r="AT58" s="260">
        <v>1</v>
      </c>
      <c r="AU58" s="441">
        <f>'Recepção 2'!$D$137</f>
        <v>2622.17</v>
      </c>
      <c r="AV58" s="262">
        <f>AU58*AT58</f>
        <v>2622.17</v>
      </c>
      <c r="AW58" s="262">
        <f>AV58*12</f>
        <v>31466.04</v>
      </c>
      <c r="AX58" s="260">
        <v>0</v>
      </c>
      <c r="AY58" s="441">
        <f>'Recepção 2'!$D$137</f>
        <v>2622.17</v>
      </c>
      <c r="AZ58" s="262">
        <f>AY58*AX58</f>
        <v>0</v>
      </c>
      <c r="BA58" s="262">
        <f>AZ58*12</f>
        <v>0</v>
      </c>
    </row>
    <row r="59" spans="2:53" x14ac:dyDescent="0.25">
      <c r="B59" s="258">
        <v>11</v>
      </c>
      <c r="C59" s="259" t="s">
        <v>8</v>
      </c>
      <c r="D59" s="265">
        <v>1</v>
      </c>
      <c r="E59" s="265">
        <v>2924.41</v>
      </c>
      <c r="F59" s="265">
        <v>2924.41</v>
      </c>
      <c r="G59" s="265">
        <v>35092.92</v>
      </c>
      <c r="H59" s="261">
        <f>'Orçam 2'!$D$137</f>
        <v>4148.87</v>
      </c>
      <c r="I59" s="262">
        <f>D59*H59</f>
        <v>4148.87</v>
      </c>
      <c r="J59" s="262">
        <f>I59*12</f>
        <v>49786.44</v>
      </c>
      <c r="K59" s="266" t="s">
        <v>519</v>
      </c>
      <c r="L59" s="264">
        <f>I59*2</f>
        <v>8297.74</v>
      </c>
      <c r="M59" s="274">
        <v>802048</v>
      </c>
      <c r="N59" s="246" t="s">
        <v>554</v>
      </c>
      <c r="Z59" s="265">
        <v>1</v>
      </c>
      <c r="AA59" s="261">
        <v>2924.41</v>
      </c>
      <c r="AB59" s="262">
        <v>2924.41</v>
      </c>
      <c r="AC59" s="262">
        <v>35092.92</v>
      </c>
      <c r="AE59" s="265">
        <v>1</v>
      </c>
      <c r="AF59" s="441">
        <v>3343.55</v>
      </c>
      <c r="AG59" s="262">
        <v>3343.55</v>
      </c>
      <c r="AH59" s="262">
        <v>40122.600000000006</v>
      </c>
      <c r="AJ59" s="265">
        <v>1</v>
      </c>
      <c r="AK59" s="441">
        <v>3343.55</v>
      </c>
      <c r="AL59" s="262">
        <v>3343.55</v>
      </c>
      <c r="AM59" s="262">
        <v>40122.600000000006</v>
      </c>
      <c r="AO59" s="265">
        <v>1</v>
      </c>
      <c r="AP59" s="441">
        <v>3343.55</v>
      </c>
      <c r="AQ59" s="262">
        <v>3343.55</v>
      </c>
      <c r="AR59" s="262">
        <v>40122.600000000006</v>
      </c>
      <c r="AT59" s="265">
        <v>1</v>
      </c>
      <c r="AU59" s="441">
        <f>'Orçam 2'!$D$137</f>
        <v>4148.87</v>
      </c>
      <c r="AV59" s="262">
        <f>AU59*AT59</f>
        <v>4148.87</v>
      </c>
      <c r="AW59" s="262">
        <f>AV59*12</f>
        <v>49786.44</v>
      </c>
      <c r="AX59" s="265">
        <v>0</v>
      </c>
      <c r="AY59" s="441">
        <f>'Orçam 2'!$D$137</f>
        <v>4148.87</v>
      </c>
      <c r="AZ59" s="262">
        <f>AY59*AX59</f>
        <v>0</v>
      </c>
      <c r="BA59" s="262">
        <f>AZ59*12</f>
        <v>0</v>
      </c>
    </row>
    <row r="60" spans="2:53" x14ac:dyDescent="0.25">
      <c r="B60" s="254"/>
      <c r="C60" s="255" t="s">
        <v>538</v>
      </c>
      <c r="D60" s="254" t="s">
        <v>503</v>
      </c>
      <c r="E60" s="254"/>
      <c r="F60" s="254"/>
      <c r="G60" s="254"/>
      <c r="H60" s="254"/>
      <c r="I60" s="254"/>
      <c r="J60" s="254"/>
      <c r="AA60" s="254"/>
      <c r="AB60" s="254"/>
      <c r="AC60" s="254"/>
      <c r="AF60" s="444"/>
      <c r="AG60" s="254"/>
      <c r="AH60" s="254"/>
      <c r="AK60" s="444"/>
      <c r="AL60" s="254"/>
      <c r="AM60" s="254"/>
      <c r="AP60" s="444"/>
      <c r="AQ60" s="254"/>
      <c r="AR60" s="254"/>
      <c r="AU60" s="444"/>
      <c r="AV60" s="254"/>
      <c r="AW60" s="254"/>
      <c r="AY60" s="444"/>
      <c r="AZ60" s="254"/>
      <c r="BA60" s="254"/>
    </row>
    <row r="61" spans="2:53" ht="47.25" x14ac:dyDescent="0.25">
      <c r="B61" s="256" t="s">
        <v>159</v>
      </c>
      <c r="C61" s="257" t="s">
        <v>160</v>
      </c>
      <c r="D61" s="257" t="s">
        <v>161</v>
      </c>
      <c r="E61" s="257" t="s">
        <v>168</v>
      </c>
      <c r="F61" s="257" t="s">
        <v>167</v>
      </c>
      <c r="G61" s="257" t="s">
        <v>162</v>
      </c>
      <c r="H61" s="257" t="s">
        <v>168</v>
      </c>
      <c r="I61" s="257" t="s">
        <v>167</v>
      </c>
      <c r="J61" s="257" t="s">
        <v>162</v>
      </c>
      <c r="K61" s="257" t="s">
        <v>515</v>
      </c>
      <c r="L61" s="257" t="s">
        <v>520</v>
      </c>
      <c r="M61" s="257" t="s">
        <v>518</v>
      </c>
      <c r="N61" s="257" t="s">
        <v>548</v>
      </c>
      <c r="Z61" s="257" t="s">
        <v>571</v>
      </c>
      <c r="AA61" s="257" t="s">
        <v>168</v>
      </c>
      <c r="AB61" s="257" t="s">
        <v>167</v>
      </c>
      <c r="AC61" s="257" t="s">
        <v>162</v>
      </c>
      <c r="AE61" s="257" t="s">
        <v>628</v>
      </c>
      <c r="AF61" s="440" t="s">
        <v>168</v>
      </c>
      <c r="AG61" s="257" t="s">
        <v>167</v>
      </c>
      <c r="AH61" s="257" t="s">
        <v>162</v>
      </c>
      <c r="AJ61" s="257" t="s">
        <v>628</v>
      </c>
      <c r="AK61" s="440" t="s">
        <v>168</v>
      </c>
      <c r="AL61" s="257" t="s">
        <v>167</v>
      </c>
      <c r="AM61" s="257" t="s">
        <v>162</v>
      </c>
      <c r="AO61" s="257" t="s">
        <v>628</v>
      </c>
      <c r="AP61" s="440" t="s">
        <v>168</v>
      </c>
      <c r="AQ61" s="257" t="s">
        <v>167</v>
      </c>
      <c r="AR61" s="257" t="s">
        <v>162</v>
      </c>
      <c r="AT61" s="257" t="s">
        <v>628</v>
      </c>
      <c r="AU61" s="440" t="s">
        <v>168</v>
      </c>
      <c r="AV61" s="257" t="s">
        <v>167</v>
      </c>
      <c r="AW61" s="257" t="s">
        <v>162</v>
      </c>
      <c r="AX61" s="257" t="s">
        <v>628</v>
      </c>
      <c r="AY61" s="440" t="s">
        <v>168</v>
      </c>
      <c r="AZ61" s="257" t="s">
        <v>167</v>
      </c>
      <c r="BA61" s="257" t="s">
        <v>162</v>
      </c>
    </row>
    <row r="62" spans="2:53" x14ac:dyDescent="0.25">
      <c r="B62" s="258">
        <v>2</v>
      </c>
      <c r="C62" s="259" t="s">
        <v>2</v>
      </c>
      <c r="D62" s="260">
        <v>2</v>
      </c>
      <c r="E62" s="261">
        <v>1970.65</v>
      </c>
      <c r="F62" s="262">
        <v>3941.3</v>
      </c>
      <c r="G62" s="262">
        <v>47295.600000000006</v>
      </c>
      <c r="H62" s="261">
        <f>'Recepção 2'!$D$137</f>
        <v>2622.17</v>
      </c>
      <c r="I62" s="262">
        <f>D62*H62</f>
        <v>5244.34</v>
      </c>
      <c r="J62" s="262">
        <f>I62*12</f>
        <v>62932.08</v>
      </c>
      <c r="K62" s="266" t="s">
        <v>519</v>
      </c>
      <c r="L62" s="264">
        <f>I62*2</f>
        <v>10488.68</v>
      </c>
      <c r="M62" s="274">
        <v>802049</v>
      </c>
      <c r="N62" s="246" t="s">
        <v>554</v>
      </c>
      <c r="Z62" s="260">
        <v>2</v>
      </c>
      <c r="AA62" s="261">
        <v>1970.65</v>
      </c>
      <c r="AB62" s="262">
        <v>3941.3</v>
      </c>
      <c r="AC62" s="262">
        <v>47295.600000000006</v>
      </c>
      <c r="AE62" s="260">
        <v>2</v>
      </c>
      <c r="AF62" s="441">
        <v>2211.4299999999998</v>
      </c>
      <c r="AG62" s="262">
        <v>4422.8599999999997</v>
      </c>
      <c r="AH62" s="262">
        <v>53074.319999999992</v>
      </c>
      <c r="AJ62" s="260">
        <v>2</v>
      </c>
      <c r="AK62" s="441">
        <v>2211.4299999999998</v>
      </c>
      <c r="AL62" s="262">
        <v>4422.8599999999997</v>
      </c>
      <c r="AM62" s="262">
        <v>53074.319999999992</v>
      </c>
      <c r="AO62" s="260">
        <v>2</v>
      </c>
      <c r="AP62" s="441">
        <v>2211.4299999999998</v>
      </c>
      <c r="AQ62" s="262">
        <v>4422.8599999999997</v>
      </c>
      <c r="AR62" s="262">
        <v>53074.319999999992</v>
      </c>
      <c r="AT62" s="260">
        <v>2</v>
      </c>
      <c r="AU62" s="441">
        <f>'Recepção 2'!$D$137</f>
        <v>2622.17</v>
      </c>
      <c r="AV62" s="262">
        <f>AU62*AT62</f>
        <v>5244.34</v>
      </c>
      <c r="AW62" s="262">
        <f>AV62*12</f>
        <v>62932.08</v>
      </c>
      <c r="AX62" s="260">
        <v>2</v>
      </c>
      <c r="AY62" s="441">
        <f>'Recepção 2'!$D$137</f>
        <v>2622.17</v>
      </c>
      <c r="AZ62" s="262">
        <f>AY62*AX62</f>
        <v>5244.34</v>
      </c>
      <c r="BA62" s="262">
        <f>AZ62*12</f>
        <v>62932.08</v>
      </c>
    </row>
    <row r="63" spans="2:53" x14ac:dyDescent="0.25">
      <c r="B63" s="258">
        <v>5</v>
      </c>
      <c r="C63" s="259" t="s">
        <v>292</v>
      </c>
      <c r="D63" s="260">
        <v>2</v>
      </c>
      <c r="E63" s="261">
        <v>1714.13</v>
      </c>
      <c r="F63" s="262">
        <v>3428.26</v>
      </c>
      <c r="G63" s="262">
        <v>41139.120000000003</v>
      </c>
      <c r="H63" s="261">
        <f>'ASG 2'!$D$137</f>
        <v>2295.14</v>
      </c>
      <c r="I63" s="262">
        <f>D63*H63</f>
        <v>4590.28</v>
      </c>
      <c r="J63" s="262">
        <f>I63*12</f>
        <v>55083.360000000001</v>
      </c>
      <c r="K63" s="266" t="s">
        <v>519</v>
      </c>
      <c r="L63" s="264">
        <f>I63*2</f>
        <v>9180.56</v>
      </c>
      <c r="M63" s="274">
        <v>802049</v>
      </c>
      <c r="N63" s="246" t="s">
        <v>554</v>
      </c>
      <c r="Z63" s="260">
        <v>2</v>
      </c>
      <c r="AA63" s="261">
        <v>1714.13</v>
      </c>
      <c r="AB63" s="262">
        <v>3428.26</v>
      </c>
      <c r="AC63" s="262">
        <v>41139.120000000003</v>
      </c>
      <c r="AE63" s="260">
        <v>2</v>
      </c>
      <c r="AF63" s="441">
        <v>1912.22</v>
      </c>
      <c r="AG63" s="262">
        <v>3824.44</v>
      </c>
      <c r="AH63" s="262">
        <v>45893.279999999999</v>
      </c>
      <c r="AJ63" s="260">
        <v>2</v>
      </c>
      <c r="AK63" s="441">
        <v>1912.22</v>
      </c>
      <c r="AL63" s="262">
        <v>3824.44</v>
      </c>
      <c r="AM63" s="262">
        <v>45893.279999999999</v>
      </c>
      <c r="AO63" s="260">
        <v>2</v>
      </c>
      <c r="AP63" s="441">
        <v>1912.22</v>
      </c>
      <c r="AQ63" s="262">
        <v>3824.44</v>
      </c>
      <c r="AR63" s="262">
        <v>45893.279999999999</v>
      </c>
      <c r="AT63" s="260">
        <v>2</v>
      </c>
      <c r="AU63" s="441">
        <f>'ASG 2'!$D$137</f>
        <v>2295.14</v>
      </c>
      <c r="AV63" s="262">
        <f>AU63*AT63</f>
        <v>4590.28</v>
      </c>
      <c r="AW63" s="262">
        <f>AV63*12</f>
        <v>55083.360000000001</v>
      </c>
      <c r="AX63" s="260">
        <v>1</v>
      </c>
      <c r="AY63" s="441">
        <f>'ASG 2'!$D$137</f>
        <v>2295.14</v>
      </c>
      <c r="AZ63" s="262">
        <f>AY63*AX63</f>
        <v>2295.14</v>
      </c>
      <c r="BA63" s="262">
        <f>AZ63*12</f>
        <v>27541.68</v>
      </c>
    </row>
    <row r="64" spans="2:53" x14ac:dyDescent="0.25">
      <c r="B64" s="412">
        <v>8</v>
      </c>
      <c r="C64" s="413" t="s">
        <v>581</v>
      </c>
      <c r="D64" s="414">
        <v>0</v>
      </c>
      <c r="E64" s="414" t="s">
        <v>345</v>
      </c>
      <c r="F64" s="414" t="s">
        <v>345</v>
      </c>
      <c r="G64" s="414" t="s">
        <v>345</v>
      </c>
      <c r="H64" s="415" t="s">
        <v>345</v>
      </c>
      <c r="I64" s="416" t="s">
        <v>345</v>
      </c>
      <c r="J64" s="416" t="s">
        <v>345</v>
      </c>
      <c r="K64" s="393"/>
      <c r="L64" s="394"/>
      <c r="M64" s="395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414">
        <v>1</v>
      </c>
      <c r="AA64" s="415">
        <v>3194.68</v>
      </c>
      <c r="AB64" s="416">
        <v>3194.68</v>
      </c>
      <c r="AC64" s="416">
        <v>38336.159999999996</v>
      </c>
      <c r="AE64" s="414">
        <v>1</v>
      </c>
      <c r="AF64" s="448">
        <v>3194.68</v>
      </c>
      <c r="AG64" s="416">
        <v>3194.68</v>
      </c>
      <c r="AH64" s="416">
        <v>38336.159999999996</v>
      </c>
      <c r="AJ64" s="414">
        <v>1</v>
      </c>
      <c r="AK64" s="448">
        <v>2953.93</v>
      </c>
      <c r="AL64" s="416">
        <v>2953.93</v>
      </c>
      <c r="AM64" s="416">
        <v>35447.159999999996</v>
      </c>
      <c r="AO64" s="414">
        <v>1</v>
      </c>
      <c r="AP64" s="448">
        <v>2953.93</v>
      </c>
      <c r="AQ64" s="416">
        <v>2953.93</v>
      </c>
      <c r="AR64" s="416">
        <v>35447.159999999996</v>
      </c>
      <c r="AT64" s="414">
        <v>1</v>
      </c>
      <c r="AU64" s="448">
        <f>'Oficial 2'!$D$136</f>
        <v>3471.01</v>
      </c>
      <c r="AV64" s="416">
        <f>AU64*AT64</f>
        <v>3471.01</v>
      </c>
      <c r="AW64" s="416">
        <f>AV64*12</f>
        <v>41652.120000000003</v>
      </c>
      <c r="AX64" s="414">
        <v>1</v>
      </c>
      <c r="AY64" s="448">
        <f>'Oficial 2'!$D$136</f>
        <v>3471.01</v>
      </c>
      <c r="AZ64" s="416">
        <f>AY64*AX64</f>
        <v>3471.01</v>
      </c>
      <c r="BA64" s="416">
        <f>AZ64*12</f>
        <v>41652.120000000003</v>
      </c>
    </row>
    <row r="65" spans="2:56" x14ac:dyDescent="0.25">
      <c r="B65" s="417">
        <v>9</v>
      </c>
      <c r="C65" s="418" t="s">
        <v>580</v>
      </c>
      <c r="D65" s="419">
        <v>0</v>
      </c>
      <c r="E65" s="420" t="s">
        <v>345</v>
      </c>
      <c r="F65" s="421" t="s">
        <v>345</v>
      </c>
      <c r="G65" s="421" t="s">
        <v>345</v>
      </c>
      <c r="H65" s="420" t="s">
        <v>345</v>
      </c>
      <c r="I65" s="421" t="s">
        <v>345</v>
      </c>
      <c r="J65" s="421" t="s">
        <v>345</v>
      </c>
      <c r="K65" s="397"/>
      <c r="L65" s="398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19">
        <v>1</v>
      </c>
      <c r="AA65" s="420">
        <v>2292.4299999999998</v>
      </c>
      <c r="AB65" s="416">
        <v>2292.4299999999998</v>
      </c>
      <c r="AC65" s="416">
        <v>27509.159999999996</v>
      </c>
      <c r="AE65" s="419">
        <v>1</v>
      </c>
      <c r="AF65" s="449">
        <v>2560.02</v>
      </c>
      <c r="AG65" s="416">
        <v>2560.02</v>
      </c>
      <c r="AH65" s="416">
        <v>30720.239999999998</v>
      </c>
      <c r="AJ65" s="419">
        <v>1</v>
      </c>
      <c r="AK65" s="449">
        <v>2560.02</v>
      </c>
      <c r="AL65" s="416">
        <v>2560.02</v>
      </c>
      <c r="AM65" s="416">
        <v>30720.239999999998</v>
      </c>
      <c r="AO65" s="497">
        <v>0</v>
      </c>
      <c r="AP65" s="498">
        <v>2560.02</v>
      </c>
      <c r="AQ65" s="499">
        <v>0</v>
      </c>
      <c r="AR65" s="499">
        <v>0</v>
      </c>
      <c r="AS65" s="267" t="s">
        <v>694</v>
      </c>
      <c r="AT65" s="419">
        <v>0</v>
      </c>
      <c r="AU65" s="449">
        <f>'Op. de maq. 2'!D138</f>
        <v>3029.63</v>
      </c>
      <c r="AV65" s="416">
        <f>AU65*AT65</f>
        <v>0</v>
      </c>
      <c r="AW65" s="416">
        <f>AV65*12</f>
        <v>0</v>
      </c>
      <c r="AX65" s="419">
        <v>0</v>
      </c>
      <c r="AY65" s="449">
        <f>'Op. de maq. 2'!H138</f>
        <v>0</v>
      </c>
      <c r="AZ65" s="416">
        <f>AY65*AX65</f>
        <v>0</v>
      </c>
      <c r="BA65" s="416">
        <f>AZ65*12</f>
        <v>0</v>
      </c>
      <c r="BD65" s="272"/>
    </row>
    <row r="66" spans="2:56" x14ac:dyDescent="0.25">
      <c r="B66" s="255" t="s">
        <v>557</v>
      </c>
      <c r="C66" s="254" t="s">
        <v>503</v>
      </c>
      <c r="E66" s="254"/>
      <c r="F66" s="254"/>
      <c r="G66" s="254"/>
      <c r="H66" s="717" t="s">
        <v>569</v>
      </c>
      <c r="I66" s="717"/>
      <c r="J66" s="717"/>
      <c r="AA66" s="717" t="s">
        <v>570</v>
      </c>
      <c r="AB66" s="717"/>
      <c r="AC66" s="717"/>
      <c r="AF66" s="717" t="s">
        <v>627</v>
      </c>
      <c r="AG66" s="717"/>
      <c r="AH66" s="717"/>
      <c r="AK66" s="717" t="s">
        <v>657</v>
      </c>
      <c r="AL66" s="717"/>
      <c r="AM66" s="717"/>
      <c r="AP66" s="717" t="s">
        <v>693</v>
      </c>
      <c r="AQ66" s="717"/>
      <c r="AR66" s="717"/>
      <c r="AU66" s="717" t="s">
        <v>693</v>
      </c>
      <c r="AV66" s="717"/>
      <c r="AW66" s="717"/>
      <c r="AY66" s="719"/>
      <c r="AZ66" s="719"/>
      <c r="BA66" s="719"/>
    </row>
    <row r="67" spans="2:56" ht="47.25" x14ac:dyDescent="0.25">
      <c r="B67" s="256" t="s">
        <v>159</v>
      </c>
      <c r="C67" s="257" t="s">
        <v>160</v>
      </c>
      <c r="D67" s="257" t="s">
        <v>161</v>
      </c>
      <c r="E67" s="257" t="s">
        <v>168</v>
      </c>
      <c r="F67" s="257" t="s">
        <v>167</v>
      </c>
      <c r="G67" s="257" t="s">
        <v>162</v>
      </c>
      <c r="H67" s="257" t="s">
        <v>168</v>
      </c>
      <c r="I67" s="257" t="s">
        <v>167</v>
      </c>
      <c r="J67" s="257" t="s">
        <v>162</v>
      </c>
      <c r="K67" s="257" t="s">
        <v>515</v>
      </c>
      <c r="L67" s="257" t="s">
        <v>520</v>
      </c>
      <c r="M67" s="257" t="s">
        <v>518</v>
      </c>
      <c r="N67" s="257" t="s">
        <v>548</v>
      </c>
      <c r="Z67" s="257" t="s">
        <v>571</v>
      </c>
      <c r="AA67" s="257" t="s">
        <v>168</v>
      </c>
      <c r="AB67" s="257" t="s">
        <v>167</v>
      </c>
      <c r="AC67" s="257" t="s">
        <v>162</v>
      </c>
      <c r="AE67" s="257" t="s">
        <v>628</v>
      </c>
      <c r="AF67" s="440" t="s">
        <v>168</v>
      </c>
      <c r="AG67" s="257" t="s">
        <v>167</v>
      </c>
      <c r="AH67" s="257" t="s">
        <v>162</v>
      </c>
      <c r="AJ67" s="257" t="s">
        <v>628</v>
      </c>
      <c r="AK67" s="440" t="s">
        <v>168</v>
      </c>
      <c r="AL67" s="257" t="s">
        <v>167</v>
      </c>
      <c r="AM67" s="257" t="s">
        <v>162</v>
      </c>
      <c r="AO67" s="257" t="s">
        <v>628</v>
      </c>
      <c r="AP67" s="440" t="s">
        <v>168</v>
      </c>
      <c r="AQ67" s="257" t="s">
        <v>167</v>
      </c>
      <c r="AR67" s="257" t="s">
        <v>162</v>
      </c>
      <c r="AT67" s="257" t="s">
        <v>628</v>
      </c>
      <c r="AU67" s="440" t="s">
        <v>168</v>
      </c>
      <c r="AV67" s="257" t="s">
        <v>167</v>
      </c>
      <c r="AW67" s="257" t="s">
        <v>162</v>
      </c>
      <c r="AX67" s="257" t="s">
        <v>628</v>
      </c>
      <c r="AY67" s="440" t="s">
        <v>168</v>
      </c>
      <c r="AZ67" s="257" t="s">
        <v>167</v>
      </c>
      <c r="BA67" s="257" t="s">
        <v>162</v>
      </c>
    </row>
    <row r="68" spans="2:56" x14ac:dyDescent="0.25">
      <c r="B68" s="258">
        <v>2</v>
      </c>
      <c r="C68" s="259" t="s">
        <v>2</v>
      </c>
      <c r="D68" s="314">
        <v>1</v>
      </c>
      <c r="E68" s="261">
        <v>1970.65</v>
      </c>
      <c r="F68" s="262">
        <v>1970.65</v>
      </c>
      <c r="G68" s="262">
        <v>23647.800000000003</v>
      </c>
      <c r="H68" s="261">
        <f>'Recepção 2'!$D$137</f>
        <v>2622.17</v>
      </c>
      <c r="I68" s="262">
        <f t="shared" ref="I68:I73" si="24">D68*H68</f>
        <v>2622.17</v>
      </c>
      <c r="J68" s="262">
        <f t="shared" ref="J68:J73" si="25">I68*12</f>
        <v>31466.04</v>
      </c>
      <c r="K68" s="266" t="s">
        <v>519</v>
      </c>
      <c r="L68" s="264">
        <f t="shared" ref="L68:L73" si="26">I68*2</f>
        <v>5244.34</v>
      </c>
      <c r="M68" s="274" t="s">
        <v>561</v>
      </c>
      <c r="N68" s="246" t="s">
        <v>556</v>
      </c>
      <c r="Z68" s="260">
        <v>1</v>
      </c>
      <c r="AA68" s="261">
        <v>1970.65</v>
      </c>
      <c r="AB68" s="262">
        <v>1970.65</v>
      </c>
      <c r="AC68" s="262">
        <v>23647.800000000003</v>
      </c>
      <c r="AE68" s="260">
        <v>1</v>
      </c>
      <c r="AF68" s="441">
        <v>2211.4299999999998</v>
      </c>
      <c r="AG68" s="262">
        <v>2211.4299999999998</v>
      </c>
      <c r="AH68" s="262">
        <v>26537.159999999996</v>
      </c>
      <c r="AJ68" s="260">
        <v>1</v>
      </c>
      <c r="AK68" s="441">
        <v>2211.4299999999998</v>
      </c>
      <c r="AL68" s="262">
        <v>2211.4299999999998</v>
      </c>
      <c r="AM68" s="262">
        <v>26537.159999999996</v>
      </c>
      <c r="AO68" s="496">
        <v>2</v>
      </c>
      <c r="AP68" s="458">
        <v>2211.4299999999998</v>
      </c>
      <c r="AQ68" s="456">
        <v>4422.8599999999997</v>
      </c>
      <c r="AR68" s="456">
        <v>53074.319999999992</v>
      </c>
      <c r="AS68" s="267" t="s">
        <v>698</v>
      </c>
      <c r="AT68" s="260">
        <v>2</v>
      </c>
      <c r="AU68" s="446">
        <f>'Recepção 2'!$D$137</f>
        <v>2622.17</v>
      </c>
      <c r="AV68" s="310">
        <f t="shared" ref="AV68:AV73" si="27">AU68*AT68</f>
        <v>5244.34</v>
      </c>
      <c r="AW68" s="310">
        <f t="shared" ref="AW68:AW73" si="28">AV68*12</f>
        <v>62932.08</v>
      </c>
      <c r="AX68" s="660">
        <v>3</v>
      </c>
      <c r="AY68" s="446">
        <f>'Recepção 2'!$D$137</f>
        <v>2622.17</v>
      </c>
      <c r="AZ68" s="310">
        <f t="shared" ref="AZ68:AZ73" si="29">AY68*AX68</f>
        <v>7866.51</v>
      </c>
      <c r="BA68" s="310">
        <f t="shared" ref="BA68:BA73" si="30">AZ68*12</f>
        <v>94398.12</v>
      </c>
    </row>
    <row r="69" spans="2:56" x14ac:dyDescent="0.25">
      <c r="B69" s="258">
        <v>3</v>
      </c>
      <c r="C69" s="259" t="s">
        <v>163</v>
      </c>
      <c r="D69" s="260">
        <v>2</v>
      </c>
      <c r="E69" s="261">
        <v>1420.39</v>
      </c>
      <c r="F69" s="262">
        <v>2840.78</v>
      </c>
      <c r="G69" s="262">
        <v>34089.360000000001</v>
      </c>
      <c r="H69" s="261">
        <f>'Copeira 2'!$D$137</f>
        <v>2320.86</v>
      </c>
      <c r="I69" s="262">
        <f t="shared" si="24"/>
        <v>4641.72</v>
      </c>
      <c r="J69" s="262">
        <f t="shared" si="25"/>
        <v>55700.639999999999</v>
      </c>
      <c r="K69" s="266" t="s">
        <v>519</v>
      </c>
      <c r="L69" s="264">
        <f t="shared" si="26"/>
        <v>9283.44</v>
      </c>
      <c r="M69" s="274">
        <v>802051</v>
      </c>
      <c r="N69" s="246" t="s">
        <v>554</v>
      </c>
      <c r="Z69" s="260">
        <v>2</v>
      </c>
      <c r="AA69" s="261">
        <v>1420.39</v>
      </c>
      <c r="AB69" s="262">
        <v>2840.78</v>
      </c>
      <c r="AC69" s="262">
        <v>34089.360000000001</v>
      </c>
      <c r="AE69" s="260">
        <v>2</v>
      </c>
      <c r="AF69" s="441">
        <v>1567.88</v>
      </c>
      <c r="AG69" s="262">
        <v>3135.76</v>
      </c>
      <c r="AH69" s="262">
        <v>37629.120000000003</v>
      </c>
      <c r="AJ69" s="260">
        <v>2</v>
      </c>
      <c r="AK69" s="441">
        <v>1567.88</v>
      </c>
      <c r="AL69" s="262">
        <v>3135.76</v>
      </c>
      <c r="AM69" s="262">
        <v>37629.120000000003</v>
      </c>
      <c r="AO69" s="260">
        <v>2</v>
      </c>
      <c r="AP69" s="441">
        <v>1567.88</v>
      </c>
      <c r="AQ69" s="262">
        <v>3135.76</v>
      </c>
      <c r="AR69" s="262">
        <v>37629.120000000003</v>
      </c>
      <c r="AT69" s="260">
        <v>2</v>
      </c>
      <c r="AU69" s="446">
        <f>'Copeira 2'!$D$137</f>
        <v>2320.86</v>
      </c>
      <c r="AV69" s="310">
        <f t="shared" si="27"/>
        <v>4641.72</v>
      </c>
      <c r="AW69" s="310">
        <f t="shared" si="28"/>
        <v>55700.639999999999</v>
      </c>
      <c r="AX69" s="660">
        <v>2</v>
      </c>
      <c r="AY69" s="446">
        <f>'Copeira 2'!$D$137</f>
        <v>2320.86</v>
      </c>
      <c r="AZ69" s="310">
        <f t="shared" si="29"/>
        <v>4641.72</v>
      </c>
      <c r="BA69" s="310">
        <f t="shared" si="30"/>
        <v>55700.639999999999</v>
      </c>
    </row>
    <row r="70" spans="2:56" x14ac:dyDescent="0.25">
      <c r="B70" s="258">
        <v>4</v>
      </c>
      <c r="C70" s="259" t="s">
        <v>3</v>
      </c>
      <c r="D70" s="260">
        <v>4</v>
      </c>
      <c r="E70" s="261">
        <v>2469.9499999999998</v>
      </c>
      <c r="F70" s="262">
        <v>9879.7999999999993</v>
      </c>
      <c r="G70" s="262">
        <v>118557.59999999999</v>
      </c>
      <c r="H70" s="261">
        <f>'Porteiro 2'!$D$137</f>
        <v>3292.56</v>
      </c>
      <c r="I70" s="262">
        <f t="shared" si="24"/>
        <v>13170.24</v>
      </c>
      <c r="J70" s="262">
        <f t="shared" si="25"/>
        <v>158042.88</v>
      </c>
      <c r="K70" s="266" t="s">
        <v>519</v>
      </c>
      <c r="L70" s="264">
        <f t="shared" si="26"/>
        <v>26340.48</v>
      </c>
      <c r="M70" s="274">
        <v>802050</v>
      </c>
      <c r="N70" s="246" t="s">
        <v>554</v>
      </c>
      <c r="Z70" s="260">
        <v>4</v>
      </c>
      <c r="AA70" s="261">
        <v>2469.9499999999998</v>
      </c>
      <c r="AB70" s="262">
        <v>9879.7999999999993</v>
      </c>
      <c r="AC70" s="262">
        <v>118557.59999999999</v>
      </c>
      <c r="AE70" s="260">
        <v>4</v>
      </c>
      <c r="AF70" s="441">
        <v>2785.89</v>
      </c>
      <c r="AG70" s="262">
        <v>11143.56</v>
      </c>
      <c r="AH70" s="262">
        <v>133722.72</v>
      </c>
      <c r="AJ70" s="260">
        <v>4</v>
      </c>
      <c r="AK70" s="441">
        <v>2785.89</v>
      </c>
      <c r="AL70" s="262">
        <v>11143.56</v>
      </c>
      <c r="AM70" s="262">
        <v>133722.72</v>
      </c>
      <c r="AO70" s="496">
        <v>6</v>
      </c>
      <c r="AP70" s="458">
        <v>2785.89</v>
      </c>
      <c r="AQ70" s="456">
        <v>16715.34</v>
      </c>
      <c r="AR70" s="456">
        <v>200584.08000000002</v>
      </c>
      <c r="AS70" s="267" t="s">
        <v>697</v>
      </c>
      <c r="AT70" s="260">
        <f>4+2</f>
        <v>6</v>
      </c>
      <c r="AU70" s="446">
        <f>'Porteiro 2'!$D$137</f>
        <v>3292.56</v>
      </c>
      <c r="AV70" s="310">
        <f t="shared" si="27"/>
        <v>19755.36</v>
      </c>
      <c r="AW70" s="310">
        <f t="shared" si="28"/>
        <v>237064.32000000001</v>
      </c>
      <c r="AX70" s="660">
        <v>4</v>
      </c>
      <c r="AY70" s="446">
        <f>'Porteiro 2'!$D$137</f>
        <v>3292.56</v>
      </c>
      <c r="AZ70" s="310">
        <f t="shared" si="29"/>
        <v>13170.24</v>
      </c>
      <c r="BA70" s="310">
        <f t="shared" si="30"/>
        <v>158042.88</v>
      </c>
    </row>
    <row r="71" spans="2:56" x14ac:dyDescent="0.25">
      <c r="B71" s="258">
        <v>5</v>
      </c>
      <c r="C71" s="259" t="s">
        <v>292</v>
      </c>
      <c r="D71" s="260">
        <v>3</v>
      </c>
      <c r="E71" s="261">
        <v>1714.13</v>
      </c>
      <c r="F71" s="262">
        <v>5142.3900000000003</v>
      </c>
      <c r="G71" s="262">
        <v>61708.680000000008</v>
      </c>
      <c r="H71" s="261">
        <f>'ASG 2'!$D$137</f>
        <v>2295.14</v>
      </c>
      <c r="I71" s="262">
        <f t="shared" si="24"/>
        <v>6885.42</v>
      </c>
      <c r="J71" s="262">
        <f t="shared" si="25"/>
        <v>82625.040000000008</v>
      </c>
      <c r="K71" s="266" t="s">
        <v>519</v>
      </c>
      <c r="L71" s="264">
        <f t="shared" si="26"/>
        <v>13770.84</v>
      </c>
      <c r="M71" s="274">
        <v>802050</v>
      </c>
      <c r="N71" s="246" t="s">
        <v>554</v>
      </c>
      <c r="Z71" s="260">
        <v>3</v>
      </c>
      <c r="AA71" s="261">
        <v>1714.13</v>
      </c>
      <c r="AB71" s="262">
        <v>5142.3900000000003</v>
      </c>
      <c r="AC71" s="262">
        <v>61708.680000000008</v>
      </c>
      <c r="AE71" s="260">
        <v>3</v>
      </c>
      <c r="AF71" s="441">
        <v>1912.22</v>
      </c>
      <c r="AG71" s="262">
        <v>5736.66</v>
      </c>
      <c r="AH71" s="262">
        <v>68839.92</v>
      </c>
      <c r="AJ71" s="260">
        <v>5</v>
      </c>
      <c r="AK71" s="441">
        <v>1912.22</v>
      </c>
      <c r="AL71" s="262">
        <v>9561.1</v>
      </c>
      <c r="AM71" s="262">
        <v>114733.20000000001</v>
      </c>
      <c r="AO71" s="496">
        <v>3</v>
      </c>
      <c r="AP71" s="458">
        <v>1912.22</v>
      </c>
      <c r="AQ71" s="456">
        <v>5736.66</v>
      </c>
      <c r="AR71" s="456">
        <v>68839.92</v>
      </c>
      <c r="AS71" s="267" t="s">
        <v>696</v>
      </c>
      <c r="AT71" s="260">
        <f>5-2</f>
        <v>3</v>
      </c>
      <c r="AU71" s="446">
        <f>'ASG 2'!$D$137</f>
        <v>2295.14</v>
      </c>
      <c r="AV71" s="310">
        <f t="shared" si="27"/>
        <v>6885.42</v>
      </c>
      <c r="AW71" s="310">
        <f t="shared" si="28"/>
        <v>82625.040000000008</v>
      </c>
      <c r="AX71" s="260">
        <v>2</v>
      </c>
      <c r="AY71" s="446">
        <f>'ASG 2'!$D$137</f>
        <v>2295.14</v>
      </c>
      <c r="AZ71" s="310">
        <f t="shared" si="29"/>
        <v>4590.28</v>
      </c>
      <c r="BA71" s="310">
        <f t="shared" si="30"/>
        <v>55083.360000000001</v>
      </c>
    </row>
    <row r="73" spans="2:56" x14ac:dyDescent="0.25">
      <c r="B73" s="258">
        <v>8</v>
      </c>
      <c r="C73" s="259" t="s">
        <v>293</v>
      </c>
      <c r="D73" s="314">
        <v>2</v>
      </c>
      <c r="E73" s="261">
        <v>2948.04</v>
      </c>
      <c r="F73" s="262">
        <v>8844.119999999999</v>
      </c>
      <c r="G73" s="262">
        <v>106129.43999999999</v>
      </c>
      <c r="H73" s="261">
        <f>'Oficial 2'!$D$136</f>
        <v>3471.01</v>
      </c>
      <c r="I73" s="262">
        <f t="shared" si="24"/>
        <v>6942.02</v>
      </c>
      <c r="J73" s="262">
        <f t="shared" si="25"/>
        <v>83304.240000000005</v>
      </c>
      <c r="K73" s="266" t="s">
        <v>519</v>
      </c>
      <c r="L73" s="264">
        <f t="shared" si="26"/>
        <v>13884.04</v>
      </c>
      <c r="M73" s="274"/>
      <c r="Z73" s="260">
        <v>2</v>
      </c>
      <c r="AA73" s="261">
        <v>3194.68</v>
      </c>
      <c r="AB73" s="262">
        <f>AA73*Z73</f>
        <v>6389.36</v>
      </c>
      <c r="AC73" s="262">
        <f>AB73*12</f>
        <v>76672.319999999992</v>
      </c>
      <c r="AE73" s="260">
        <v>2</v>
      </c>
      <c r="AF73" s="441">
        <v>3194.68</v>
      </c>
      <c r="AG73" s="262">
        <f>AF73*AE73</f>
        <v>6389.36</v>
      </c>
      <c r="AH73" s="262">
        <f>AG73*12</f>
        <v>76672.319999999992</v>
      </c>
      <c r="AJ73" s="260">
        <v>2</v>
      </c>
      <c r="AK73" s="441">
        <v>2953.93</v>
      </c>
      <c r="AL73" s="262">
        <v>5907.86</v>
      </c>
      <c r="AM73" s="262">
        <v>70894.319999999992</v>
      </c>
      <c r="AN73" s="250"/>
      <c r="AO73" s="260">
        <v>2</v>
      </c>
      <c r="AP73" s="441">
        <v>2953.93</v>
      </c>
      <c r="AQ73" s="262">
        <v>5907.86</v>
      </c>
      <c r="AR73" s="262">
        <v>70894.319999999992</v>
      </c>
      <c r="AS73" s="250"/>
      <c r="AT73" s="260">
        <v>2</v>
      </c>
      <c r="AU73" s="441">
        <f>'Oficial 2'!$D$136</f>
        <v>3471.01</v>
      </c>
      <c r="AV73" s="262">
        <f t="shared" si="27"/>
        <v>6942.02</v>
      </c>
      <c r="AW73" s="262">
        <f t="shared" si="28"/>
        <v>83304.240000000005</v>
      </c>
      <c r="AX73" s="260">
        <v>2</v>
      </c>
      <c r="AY73" s="441">
        <f>'Oficial 2'!$D$136</f>
        <v>3471.01</v>
      </c>
      <c r="AZ73" s="262">
        <f t="shared" si="29"/>
        <v>6942.02</v>
      </c>
      <c r="BA73" s="262">
        <f t="shared" si="30"/>
        <v>83304.240000000005</v>
      </c>
    </row>
    <row r="74" spans="2:56" x14ac:dyDescent="0.25">
      <c r="B74" s="500"/>
      <c r="C74" s="501"/>
      <c r="D74" s="502"/>
      <c r="E74" s="503"/>
      <c r="F74" s="504"/>
      <c r="G74" s="504"/>
      <c r="H74" s="503"/>
      <c r="I74" s="504"/>
      <c r="J74" s="504"/>
      <c r="K74" s="505"/>
      <c r="L74" s="313"/>
      <c r="M74" s="277"/>
      <c r="Z74" s="506"/>
      <c r="AA74" s="507"/>
      <c r="AB74" s="508"/>
      <c r="AC74" s="508"/>
      <c r="AE74" s="506"/>
      <c r="AF74" s="509"/>
      <c r="AG74" s="508"/>
      <c r="AH74" s="508"/>
      <c r="AJ74" s="506"/>
      <c r="AK74" s="510"/>
      <c r="AL74" s="504"/>
      <c r="AM74" s="504"/>
      <c r="AN74" s="250"/>
      <c r="AO74" s="506"/>
      <c r="AP74" s="717" t="s">
        <v>693</v>
      </c>
      <c r="AQ74" s="717"/>
      <c r="AR74" s="717"/>
      <c r="AS74" s="250"/>
      <c r="AT74" s="506"/>
      <c r="AU74" s="717" t="s">
        <v>693</v>
      </c>
      <c r="AV74" s="717"/>
      <c r="AW74" s="717"/>
      <c r="AX74" s="506"/>
      <c r="AY74" s="717" t="s">
        <v>693</v>
      </c>
      <c r="AZ74" s="717"/>
      <c r="BA74" s="717"/>
    </row>
    <row r="75" spans="2:56" x14ac:dyDescent="0.25">
      <c r="B75" s="276" t="s">
        <v>295</v>
      </c>
      <c r="C75" s="246" t="s">
        <v>504</v>
      </c>
      <c r="E75" s="717" t="s">
        <v>566</v>
      </c>
      <c r="F75" s="717"/>
      <c r="G75" s="717"/>
      <c r="H75" s="717" t="s">
        <v>569</v>
      </c>
      <c r="I75" s="717"/>
      <c r="J75" s="717"/>
      <c r="AA75" s="246" t="s">
        <v>645</v>
      </c>
      <c r="AF75" s="439"/>
      <c r="AK75" s="717" t="s">
        <v>657</v>
      </c>
      <c r="AL75" s="717"/>
      <c r="AM75" s="717"/>
      <c r="AP75" s="246"/>
      <c r="AU75" s="246"/>
      <c r="AY75" s="246"/>
    </row>
    <row r="76" spans="2:56" ht="47.25" x14ac:dyDescent="0.25">
      <c r="B76" s="256" t="s">
        <v>159</v>
      </c>
      <c r="C76" s="257" t="s">
        <v>160</v>
      </c>
      <c r="D76" s="257" t="s">
        <v>161</v>
      </c>
      <c r="E76" s="257" t="s">
        <v>168</v>
      </c>
      <c r="F76" s="257" t="s">
        <v>167</v>
      </c>
      <c r="G76" s="257" t="s">
        <v>162</v>
      </c>
      <c r="H76" s="257" t="s">
        <v>168</v>
      </c>
      <c r="I76" s="257" t="s">
        <v>167</v>
      </c>
      <c r="J76" s="257" t="s">
        <v>162</v>
      </c>
      <c r="K76" s="257" t="s">
        <v>515</v>
      </c>
      <c r="M76" s="257" t="s">
        <v>518</v>
      </c>
      <c r="N76" s="257" t="s">
        <v>548</v>
      </c>
      <c r="P76" s="257" t="s">
        <v>161</v>
      </c>
      <c r="Q76" s="257" t="s">
        <v>168</v>
      </c>
      <c r="R76" s="257" t="s">
        <v>167</v>
      </c>
      <c r="S76" s="257" t="s">
        <v>162</v>
      </c>
      <c r="Z76" s="257" t="s">
        <v>571</v>
      </c>
      <c r="AA76" s="257" t="s">
        <v>168</v>
      </c>
      <c r="AB76" s="257" t="s">
        <v>167</v>
      </c>
      <c r="AC76" s="257" t="s">
        <v>162</v>
      </c>
      <c r="AE76" s="257" t="s">
        <v>628</v>
      </c>
      <c r="AF76" s="440" t="s">
        <v>168</v>
      </c>
      <c r="AG76" s="257" t="s">
        <v>167</v>
      </c>
      <c r="AH76" s="257" t="s">
        <v>162</v>
      </c>
      <c r="AJ76" s="257" t="s">
        <v>628</v>
      </c>
      <c r="AK76" s="440" t="s">
        <v>168</v>
      </c>
      <c r="AL76" s="257" t="s">
        <v>167</v>
      </c>
      <c r="AM76" s="257" t="s">
        <v>162</v>
      </c>
      <c r="AO76" s="257" t="s">
        <v>628</v>
      </c>
      <c r="AP76" s="440" t="s">
        <v>168</v>
      </c>
      <c r="AQ76" s="257" t="s">
        <v>167</v>
      </c>
      <c r="AR76" s="257" t="s">
        <v>162</v>
      </c>
      <c r="AT76" s="257" t="s">
        <v>628</v>
      </c>
      <c r="AU76" s="440" t="s">
        <v>168</v>
      </c>
      <c r="AV76" s="257" t="s">
        <v>167</v>
      </c>
      <c r="AW76" s="257" t="s">
        <v>162</v>
      </c>
      <c r="AX76" s="257" t="s">
        <v>628</v>
      </c>
      <c r="AY76" s="440" t="s">
        <v>168</v>
      </c>
      <c r="AZ76" s="257" t="s">
        <v>167</v>
      </c>
      <c r="BA76" s="257" t="s">
        <v>162</v>
      </c>
    </row>
    <row r="77" spans="2:56" x14ac:dyDescent="0.25">
      <c r="B77" s="258">
        <v>2</v>
      </c>
      <c r="C77" s="259" t="s">
        <v>2</v>
      </c>
      <c r="D77" s="265">
        <v>1</v>
      </c>
      <c r="E77" s="261">
        <f>'[1]Recepção 3'!D136</f>
        <v>1993.11</v>
      </c>
      <c r="F77" s="262">
        <f>D77*E77</f>
        <v>1993.11</v>
      </c>
      <c r="G77" s="262">
        <f>F77*12</f>
        <v>23917.32</v>
      </c>
      <c r="H77" s="261">
        <f>'Recepção 3'!$D$137</f>
        <v>2652.06</v>
      </c>
      <c r="I77" s="262">
        <f>D77*H77</f>
        <v>2652.06</v>
      </c>
      <c r="J77" s="262">
        <f>I77*12</f>
        <v>31824.720000000001</v>
      </c>
      <c r="K77" s="263">
        <f>H77*3</f>
        <v>7956.18</v>
      </c>
      <c r="M77" s="275" t="s">
        <v>539</v>
      </c>
      <c r="P77" s="265"/>
      <c r="Q77" s="261"/>
      <c r="R77" s="262">
        <f>P77*Q77</f>
        <v>0</v>
      </c>
      <c r="S77" s="262">
        <f>R77*12</f>
        <v>0</v>
      </c>
      <c r="Z77" s="265">
        <v>1</v>
      </c>
      <c r="AA77" s="261">
        <v>1993.11</v>
      </c>
      <c r="AB77" s="262">
        <v>1993.11</v>
      </c>
      <c r="AC77" s="262">
        <v>23917.32</v>
      </c>
      <c r="AD77" s="267" t="s">
        <v>583</v>
      </c>
      <c r="AE77" s="265">
        <v>1</v>
      </c>
      <c r="AF77" s="441">
        <v>2236.62</v>
      </c>
      <c r="AG77" s="262">
        <v>2236.62</v>
      </c>
      <c r="AH77" s="262">
        <v>26839.439999999999</v>
      </c>
      <c r="AI77" s="267" t="s">
        <v>583</v>
      </c>
      <c r="AJ77" s="265">
        <v>1</v>
      </c>
      <c r="AK77" s="441">
        <v>2236.62</v>
      </c>
      <c r="AL77" s="262">
        <v>2236.62</v>
      </c>
      <c r="AM77" s="262">
        <v>26839.439999999999</v>
      </c>
      <c r="AN77" s="267" t="s">
        <v>583</v>
      </c>
      <c r="AO77" s="265">
        <v>1</v>
      </c>
      <c r="AP77" s="441">
        <v>2236.62</v>
      </c>
      <c r="AQ77" s="262">
        <v>2236.62</v>
      </c>
      <c r="AR77" s="262">
        <v>26839.439999999999</v>
      </c>
      <c r="AS77" s="267" t="s">
        <v>583</v>
      </c>
      <c r="AT77" s="265">
        <v>1</v>
      </c>
      <c r="AU77" s="441">
        <f>'Recepção 3'!$D$137</f>
        <v>2652.06</v>
      </c>
      <c r="AV77" s="262">
        <f>AU77*AT77</f>
        <v>2652.06</v>
      </c>
      <c r="AW77" s="262">
        <f>AV77*12</f>
        <v>31824.720000000001</v>
      </c>
      <c r="AX77" s="265">
        <v>1</v>
      </c>
      <c r="AY77" s="441">
        <f>'Recepção 3'!$D$137</f>
        <v>2652.06</v>
      </c>
      <c r="AZ77" s="262">
        <f>AY77*AX77</f>
        <v>2652.06</v>
      </c>
      <c r="BA77" s="262">
        <f>AZ77*12</f>
        <v>31824.720000000001</v>
      </c>
    </row>
    <row r="78" spans="2:56" x14ac:dyDescent="0.25">
      <c r="B78" s="258">
        <v>4</v>
      </c>
      <c r="C78" s="259" t="s">
        <v>3</v>
      </c>
      <c r="D78" s="265">
        <v>1</v>
      </c>
      <c r="E78" s="261">
        <f>'[1]Porteiro 3'!D136</f>
        <v>2498.1</v>
      </c>
      <c r="F78" s="262">
        <f>D78*E78</f>
        <v>2498.1</v>
      </c>
      <c r="G78" s="262">
        <f>F78*12</f>
        <v>29977.199999999997</v>
      </c>
      <c r="H78" s="261">
        <f>'Porteiro 3'!$D$137</f>
        <v>3330.09</v>
      </c>
      <c r="I78" s="262">
        <f>D78*H78</f>
        <v>3330.09</v>
      </c>
      <c r="J78" s="262">
        <f>I78*12</f>
        <v>39961.08</v>
      </c>
      <c r="K78" s="263">
        <f>H78*3</f>
        <v>9990.27</v>
      </c>
      <c r="M78" s="275" t="s">
        <v>539</v>
      </c>
      <c r="P78" s="265"/>
      <c r="Q78" s="261"/>
      <c r="R78" s="262">
        <f>P78*Q78</f>
        <v>0</v>
      </c>
      <c r="S78" s="262">
        <f>R78*12</f>
        <v>0</v>
      </c>
      <c r="Z78" s="265">
        <v>1</v>
      </c>
      <c r="AA78" s="261">
        <v>2498.1</v>
      </c>
      <c r="AB78" s="262">
        <v>2498.1</v>
      </c>
      <c r="AC78" s="262">
        <v>29977.199999999997</v>
      </c>
      <c r="AD78" s="267" t="s">
        <v>583</v>
      </c>
      <c r="AE78" s="265">
        <v>1</v>
      </c>
      <c r="AF78" s="441">
        <v>2817.63</v>
      </c>
      <c r="AG78" s="262">
        <v>2817.63</v>
      </c>
      <c r="AH78" s="262">
        <v>33811.56</v>
      </c>
      <c r="AI78" s="267" t="s">
        <v>583</v>
      </c>
      <c r="AJ78" s="265">
        <v>1</v>
      </c>
      <c r="AK78" s="441">
        <v>2817.63</v>
      </c>
      <c r="AL78" s="262">
        <v>2817.63</v>
      </c>
      <c r="AM78" s="262">
        <v>33811.56</v>
      </c>
      <c r="AN78" s="267" t="s">
        <v>583</v>
      </c>
      <c r="AO78" s="265">
        <v>1</v>
      </c>
      <c r="AP78" s="441">
        <v>2817.63</v>
      </c>
      <c r="AQ78" s="262">
        <v>2817.63</v>
      </c>
      <c r="AR78" s="262">
        <v>33811.56</v>
      </c>
      <c r="AS78" s="267" t="s">
        <v>583</v>
      </c>
      <c r="AT78" s="265">
        <v>1</v>
      </c>
      <c r="AU78" s="441">
        <f>'Porteiro 3'!$D$137</f>
        <v>3330.09</v>
      </c>
      <c r="AV78" s="262">
        <f>AU78*AT78</f>
        <v>3330.09</v>
      </c>
      <c r="AW78" s="262">
        <f>AV78*12</f>
        <v>39961.08</v>
      </c>
      <c r="AX78" s="265">
        <v>1</v>
      </c>
      <c r="AY78" s="441">
        <f>'Porteiro 3'!$D$137</f>
        <v>3330.09</v>
      </c>
      <c r="AZ78" s="262">
        <f>AY78*AX78</f>
        <v>3330.09</v>
      </c>
      <c r="BA78" s="262">
        <f>AZ78*12</f>
        <v>39961.08</v>
      </c>
    </row>
    <row r="79" spans="2:56" x14ac:dyDescent="0.25">
      <c r="B79" s="258">
        <v>8</v>
      </c>
      <c r="C79" s="259" t="s">
        <v>293</v>
      </c>
      <c r="D79" s="265">
        <v>1</v>
      </c>
      <c r="E79" s="261">
        <f>'[1]Oficial 3'!D136</f>
        <v>2981.64</v>
      </c>
      <c r="F79" s="262">
        <f>D79*E79</f>
        <v>2981.64</v>
      </c>
      <c r="G79" s="262">
        <f>F79*12</f>
        <v>35779.68</v>
      </c>
      <c r="H79" s="261">
        <f>'Oficial 3'!$D$136</f>
        <v>3510.56</v>
      </c>
      <c r="I79" s="262">
        <f>D79*H79</f>
        <v>3510.56</v>
      </c>
      <c r="J79" s="262">
        <f>I79*12</f>
        <v>42126.720000000001</v>
      </c>
      <c r="K79" s="263">
        <f>H79*3</f>
        <v>10531.68</v>
      </c>
      <c r="M79" s="274">
        <v>801646</v>
      </c>
      <c r="N79" s="246" t="s">
        <v>549</v>
      </c>
      <c r="P79" s="265"/>
      <c r="Q79" s="261"/>
      <c r="R79" s="262">
        <f>P79*Q79</f>
        <v>0</v>
      </c>
      <c r="S79" s="262">
        <f>R79*12</f>
        <v>0</v>
      </c>
      <c r="Z79" s="265">
        <v>1</v>
      </c>
      <c r="AA79" s="261">
        <v>3231.08</v>
      </c>
      <c r="AB79" s="262">
        <v>3231.08</v>
      </c>
      <c r="AC79" s="262">
        <v>38772.959999999999</v>
      </c>
      <c r="AE79" s="265">
        <v>1</v>
      </c>
      <c r="AF79" s="441">
        <v>3231.08</v>
      </c>
      <c r="AG79" s="262">
        <v>3231.08</v>
      </c>
      <c r="AH79" s="262">
        <v>38772.959999999999</v>
      </c>
      <c r="AJ79" s="265">
        <v>1</v>
      </c>
      <c r="AK79" s="441">
        <v>2987.6</v>
      </c>
      <c r="AL79" s="262">
        <v>2987.6</v>
      </c>
      <c r="AM79" s="262">
        <v>35851.199999999997</v>
      </c>
      <c r="AO79" s="265">
        <v>1</v>
      </c>
      <c r="AP79" s="441">
        <v>2987.6</v>
      </c>
      <c r="AQ79" s="262">
        <v>2987.6</v>
      </c>
      <c r="AR79" s="262">
        <v>35851.199999999997</v>
      </c>
      <c r="AT79" s="265">
        <v>1</v>
      </c>
      <c r="AU79" s="441">
        <f>'Oficial 3'!$D$136</f>
        <v>3510.56</v>
      </c>
      <c r="AV79" s="262">
        <f>AU79*AT79</f>
        <v>3510.56</v>
      </c>
      <c r="AW79" s="262">
        <f>AV79*12</f>
        <v>42126.720000000001</v>
      </c>
      <c r="AX79" s="265">
        <v>1</v>
      </c>
      <c r="AY79" s="441">
        <f>'Oficial 3'!$D$136</f>
        <v>3510.56</v>
      </c>
      <c r="AZ79" s="262">
        <f>AY79*AX79</f>
        <v>3510.56</v>
      </c>
      <c r="BA79" s="262">
        <f>AZ79*12</f>
        <v>42126.720000000001</v>
      </c>
    </row>
    <row r="80" spans="2:56" x14ac:dyDescent="0.25">
      <c r="B80" s="258">
        <v>9</v>
      </c>
      <c r="C80" s="259" t="s">
        <v>296</v>
      </c>
      <c r="D80" s="265">
        <v>1</v>
      </c>
      <c r="E80" s="261">
        <f>'[1]Op.de maq. 3'!D136</f>
        <v>2318.56</v>
      </c>
      <c r="F80" s="262">
        <f>D80*E80</f>
        <v>2318.56</v>
      </c>
      <c r="G80" s="262">
        <f>F80*12</f>
        <v>27822.720000000001</v>
      </c>
      <c r="H80" s="261">
        <f>'Op.de maq. 3'!$D$137</f>
        <v>3064.16</v>
      </c>
      <c r="I80" s="262">
        <f>D80*H80</f>
        <v>3064.16</v>
      </c>
      <c r="J80" s="262">
        <f>I80*12</f>
        <v>36769.919999999998</v>
      </c>
      <c r="K80" s="263">
        <f>H80*3</f>
        <v>9192.48</v>
      </c>
      <c r="M80" s="274">
        <v>801645</v>
      </c>
      <c r="N80" s="246" t="s">
        <v>549</v>
      </c>
      <c r="P80" s="265"/>
      <c r="Q80" s="261"/>
      <c r="R80" s="262">
        <f>P80*Q80</f>
        <v>0</v>
      </c>
      <c r="S80" s="262">
        <f>R80*12</f>
        <v>0</v>
      </c>
      <c r="Z80" s="265">
        <v>1</v>
      </c>
      <c r="AA80" s="261">
        <v>2318.56</v>
      </c>
      <c r="AB80" s="262">
        <v>2318.56</v>
      </c>
      <c r="AC80" s="262">
        <v>27822.720000000001</v>
      </c>
      <c r="AE80" s="265">
        <v>1</v>
      </c>
      <c r="AF80" s="441">
        <v>2589.1999999999998</v>
      </c>
      <c r="AG80" s="262">
        <v>2589.1999999999998</v>
      </c>
      <c r="AH80" s="262">
        <v>31070.399999999998</v>
      </c>
      <c r="AJ80" s="265">
        <v>1</v>
      </c>
      <c r="AK80" s="441">
        <v>2589.1999999999998</v>
      </c>
      <c r="AL80" s="262">
        <v>2589.1999999999998</v>
      </c>
      <c r="AM80" s="262">
        <v>31070.399999999998</v>
      </c>
      <c r="AO80" s="265">
        <v>1</v>
      </c>
      <c r="AP80" s="441">
        <v>2589.1999999999998</v>
      </c>
      <c r="AQ80" s="262">
        <v>2589.1999999999998</v>
      </c>
      <c r="AR80" s="262">
        <v>31070.399999999998</v>
      </c>
      <c r="AT80" s="596">
        <v>0</v>
      </c>
      <c r="AU80" s="597">
        <f>'Op.de maq. 3'!$D$137</f>
        <v>3064.16</v>
      </c>
      <c r="AV80" s="598">
        <f>AU80*AT80</f>
        <v>0</v>
      </c>
      <c r="AW80" s="598">
        <f>AV80*12</f>
        <v>0</v>
      </c>
      <c r="AX80" s="596">
        <v>0</v>
      </c>
      <c r="AY80" s="597">
        <v>0</v>
      </c>
      <c r="AZ80" s="598">
        <f>AY80*AX80</f>
        <v>0</v>
      </c>
      <c r="BA80" s="598">
        <f>AZ80*12</f>
        <v>0</v>
      </c>
    </row>
    <row r="81" spans="2:53" x14ac:dyDescent="0.25">
      <c r="B81" s="716"/>
      <c r="C81" s="716"/>
      <c r="D81" s="268">
        <f>SUM(D77:D80)</f>
        <v>4</v>
      </c>
      <c r="E81" s="269"/>
      <c r="F81" s="270">
        <f>SUM(F77:F80)</f>
        <v>9791.41</v>
      </c>
      <c r="G81" s="270">
        <f>SUM(G77:G80)</f>
        <v>117496.92</v>
      </c>
      <c r="H81" s="269"/>
      <c r="I81" s="270">
        <f>SUM(I77:I80)</f>
        <v>12556.869999999999</v>
      </c>
      <c r="J81" s="270">
        <f>SUM(J77:J80)</f>
        <v>150682.44</v>
      </c>
      <c r="K81" s="271">
        <f>SUM(K77:K80)</f>
        <v>37670.61</v>
      </c>
      <c r="M81" s="272"/>
      <c r="N81" s="272"/>
      <c r="P81" s="268">
        <f>SUM(P77:P80)</f>
        <v>0</v>
      </c>
      <c r="Q81" s="269"/>
      <c r="R81" s="270">
        <f>SUM(R77:R80)</f>
        <v>0</v>
      </c>
      <c r="S81" s="270">
        <f>SUM(S77:S80)</f>
        <v>0</v>
      </c>
      <c r="Z81" s="423">
        <v>4</v>
      </c>
      <c r="AA81" s="269"/>
      <c r="AB81" s="270">
        <v>10040.85</v>
      </c>
      <c r="AC81" s="270">
        <v>120490.2</v>
      </c>
      <c r="AE81" s="464">
        <v>4</v>
      </c>
      <c r="AF81" s="443"/>
      <c r="AG81" s="270">
        <v>10874.529999999999</v>
      </c>
      <c r="AH81" s="270">
        <v>130494.35999999999</v>
      </c>
      <c r="AJ81" s="470">
        <v>4</v>
      </c>
      <c r="AK81" s="443"/>
      <c r="AL81" s="270">
        <v>10631.05</v>
      </c>
      <c r="AM81" s="270">
        <v>127572.59999999999</v>
      </c>
      <c r="AO81" s="575">
        <v>4</v>
      </c>
      <c r="AP81" s="443"/>
      <c r="AQ81" s="270">
        <v>10631.05</v>
      </c>
      <c r="AR81" s="270">
        <v>127572.59999999999</v>
      </c>
      <c r="AT81" s="376">
        <f>SUM(AT77:AT80)</f>
        <v>3</v>
      </c>
      <c r="AU81" s="443"/>
      <c r="AV81" s="270">
        <f>SUM(AV77:AV80)</f>
        <v>9492.7099999999991</v>
      </c>
      <c r="AW81" s="270">
        <f>SUM(AW77:AW80)</f>
        <v>113912.52</v>
      </c>
      <c r="AX81" s="608">
        <f>SUM(AX77:AX80)</f>
        <v>3</v>
      </c>
      <c r="AY81" s="443"/>
      <c r="AZ81" s="270">
        <f>SUM(AZ77:AZ80)</f>
        <v>9492.7099999999991</v>
      </c>
      <c r="BA81" s="270">
        <f>SUM(BA77:BA80)</f>
        <v>113912.52</v>
      </c>
    </row>
    <row r="82" spans="2:53" x14ac:dyDescent="0.25">
      <c r="AA82" s="717" t="s">
        <v>570</v>
      </c>
      <c r="AB82" s="717"/>
      <c r="AC82" s="717"/>
      <c r="AF82" s="717" t="s">
        <v>627</v>
      </c>
      <c r="AG82" s="717"/>
      <c r="AH82" s="717"/>
      <c r="AK82" s="717" t="s">
        <v>657</v>
      </c>
      <c r="AL82" s="717"/>
      <c r="AM82" s="717"/>
      <c r="AP82" s="717" t="s">
        <v>693</v>
      </c>
      <c r="AQ82" s="717"/>
      <c r="AR82" s="717"/>
      <c r="AU82" s="717" t="s">
        <v>693</v>
      </c>
      <c r="AV82" s="717"/>
      <c r="AW82" s="717"/>
      <c r="AY82" s="717" t="s">
        <v>693</v>
      </c>
      <c r="AZ82" s="717"/>
      <c r="BA82" s="717"/>
    </row>
    <row r="83" spans="2:53" x14ac:dyDescent="0.25">
      <c r="B83" s="276" t="s">
        <v>297</v>
      </c>
      <c r="C83" s="246" t="s">
        <v>505</v>
      </c>
      <c r="E83" s="717" t="s">
        <v>566</v>
      </c>
      <c r="F83" s="717"/>
      <c r="G83" s="717"/>
      <c r="H83" s="717" t="s">
        <v>569</v>
      </c>
      <c r="I83" s="717"/>
      <c r="J83" s="717"/>
      <c r="AA83" s="246" t="s">
        <v>645</v>
      </c>
      <c r="AF83" s="439"/>
      <c r="AK83" s="439"/>
    </row>
    <row r="84" spans="2:53" ht="47.25" x14ac:dyDescent="0.25">
      <c r="B84" s="256" t="s">
        <v>159</v>
      </c>
      <c r="C84" s="257" t="s">
        <v>160</v>
      </c>
      <c r="D84" s="257" t="s">
        <v>161</v>
      </c>
      <c r="E84" s="257" t="s">
        <v>168</v>
      </c>
      <c r="F84" s="257" t="s">
        <v>167</v>
      </c>
      <c r="G84" s="257" t="s">
        <v>162</v>
      </c>
      <c r="H84" s="257" t="s">
        <v>168</v>
      </c>
      <c r="I84" s="257" t="s">
        <v>167</v>
      </c>
      <c r="J84" s="257" t="s">
        <v>162</v>
      </c>
      <c r="L84" s="257" t="s">
        <v>520</v>
      </c>
      <c r="M84" s="257" t="s">
        <v>518</v>
      </c>
      <c r="N84" s="257" t="s">
        <v>548</v>
      </c>
      <c r="P84" s="257" t="s">
        <v>161</v>
      </c>
      <c r="Q84" s="257" t="s">
        <v>168</v>
      </c>
      <c r="R84" s="257" t="s">
        <v>167</v>
      </c>
      <c r="S84" s="257" t="s">
        <v>162</v>
      </c>
      <c r="U84" s="257" t="s">
        <v>161</v>
      </c>
      <c r="V84" s="257" t="s">
        <v>168</v>
      </c>
      <c r="W84" s="257" t="s">
        <v>167</v>
      </c>
      <c r="X84" s="257" t="s">
        <v>162</v>
      </c>
      <c r="Z84" s="257" t="s">
        <v>571</v>
      </c>
      <c r="AA84" s="257" t="s">
        <v>168</v>
      </c>
      <c r="AB84" s="257" t="s">
        <v>167</v>
      </c>
      <c r="AC84" s="257" t="s">
        <v>162</v>
      </c>
      <c r="AE84" s="257" t="s">
        <v>628</v>
      </c>
      <c r="AF84" s="440" t="s">
        <v>168</v>
      </c>
      <c r="AG84" s="257" t="s">
        <v>167</v>
      </c>
      <c r="AH84" s="257" t="s">
        <v>162</v>
      </c>
      <c r="AJ84" s="257" t="s">
        <v>628</v>
      </c>
      <c r="AK84" s="440" t="s">
        <v>168</v>
      </c>
      <c r="AL84" s="257" t="s">
        <v>167</v>
      </c>
      <c r="AM84" s="257" t="s">
        <v>162</v>
      </c>
      <c r="AO84" s="257" t="s">
        <v>628</v>
      </c>
      <c r="AP84" s="440" t="s">
        <v>168</v>
      </c>
      <c r="AQ84" s="257" t="s">
        <v>167</v>
      </c>
      <c r="AR84" s="257" t="s">
        <v>162</v>
      </c>
      <c r="AT84" s="257" t="s">
        <v>628</v>
      </c>
      <c r="AU84" s="440" t="s">
        <v>168</v>
      </c>
      <c r="AV84" s="257" t="s">
        <v>167</v>
      </c>
      <c r="AW84" s="257" t="s">
        <v>162</v>
      </c>
      <c r="AX84" s="257" t="s">
        <v>628</v>
      </c>
      <c r="AY84" s="440" t="s">
        <v>168</v>
      </c>
      <c r="AZ84" s="257" t="s">
        <v>167</v>
      </c>
      <c r="BA84" s="257" t="s">
        <v>162</v>
      </c>
    </row>
    <row r="85" spans="2:53" x14ac:dyDescent="0.25">
      <c r="B85" s="258">
        <v>4</v>
      </c>
      <c r="C85" s="259" t="s">
        <v>3</v>
      </c>
      <c r="D85" s="265">
        <v>2</v>
      </c>
      <c r="E85" s="261">
        <v>2526.89</v>
      </c>
      <c r="F85" s="262">
        <v>5053.78</v>
      </c>
      <c r="G85" s="262">
        <v>60645.36</v>
      </c>
      <c r="H85" s="261">
        <f>'Porteiro 4'!$D$137</f>
        <v>3368.47</v>
      </c>
      <c r="I85" s="262">
        <f>D85*H85</f>
        <v>6736.94</v>
      </c>
      <c r="J85" s="262">
        <f>I85*12</f>
        <v>80843.28</v>
      </c>
      <c r="L85" s="264">
        <f>I85*2</f>
        <v>13473.88</v>
      </c>
      <c r="M85" s="274">
        <v>802053</v>
      </c>
      <c r="N85" s="246" t="s">
        <v>554</v>
      </c>
      <c r="P85" s="265">
        <v>2</v>
      </c>
      <c r="Q85" s="261">
        <v>2644.54</v>
      </c>
      <c r="R85" s="262">
        <f>P85*Q85</f>
        <v>5289.08</v>
      </c>
      <c r="S85" s="262">
        <f>R85*12</f>
        <v>63468.959999999999</v>
      </c>
      <c r="U85" s="265">
        <v>2</v>
      </c>
      <c r="V85" s="261">
        <f>'Porteiro 4'!$D$137</f>
        <v>3368.47</v>
      </c>
      <c r="W85" s="262">
        <f>U85*V85</f>
        <v>6736.94</v>
      </c>
      <c r="X85" s="262">
        <f>W85*12</f>
        <v>80843.28</v>
      </c>
      <c r="Z85" s="265">
        <v>2</v>
      </c>
      <c r="AA85" s="261">
        <v>2526.89</v>
      </c>
      <c r="AB85" s="262">
        <v>5053.78</v>
      </c>
      <c r="AC85" s="262">
        <v>60645.36</v>
      </c>
      <c r="AE85" s="265">
        <v>2</v>
      </c>
      <c r="AF85" s="441">
        <v>2850.11</v>
      </c>
      <c r="AG85" s="262">
        <v>5700.22</v>
      </c>
      <c r="AH85" s="262">
        <v>68402.64</v>
      </c>
      <c r="AJ85" s="265">
        <v>2</v>
      </c>
      <c r="AK85" s="441">
        <v>2850.11</v>
      </c>
      <c r="AL85" s="262">
        <v>5700.22</v>
      </c>
      <c r="AM85" s="262">
        <v>68402.64</v>
      </c>
      <c r="AO85" s="265">
        <v>2</v>
      </c>
      <c r="AP85" s="441">
        <v>2850.11</v>
      </c>
      <c r="AQ85" s="262">
        <v>5700.22</v>
      </c>
      <c r="AR85" s="262">
        <v>68402.64</v>
      </c>
      <c r="AT85" s="265">
        <v>2</v>
      </c>
      <c r="AU85" s="441">
        <f>'Porteiro 4'!$D$137</f>
        <v>3368.47</v>
      </c>
      <c r="AV85" s="262">
        <f>AU85*AT85</f>
        <v>6736.94</v>
      </c>
      <c r="AW85" s="262">
        <f>AV85*12</f>
        <v>80843.28</v>
      </c>
      <c r="AX85" s="265">
        <v>2</v>
      </c>
      <c r="AY85" s="441">
        <f>'Porteiro 4'!$D$137</f>
        <v>3368.47</v>
      </c>
      <c r="AZ85" s="262">
        <f>AY85*AX85</f>
        <v>6736.94</v>
      </c>
      <c r="BA85" s="262">
        <f>AZ85*12</f>
        <v>80843.28</v>
      </c>
    </row>
    <row r="86" spans="2:53" x14ac:dyDescent="0.25">
      <c r="B86" s="258">
        <v>5</v>
      </c>
      <c r="C86" s="259" t="s">
        <v>292</v>
      </c>
      <c r="D86" s="265"/>
      <c r="E86" s="261"/>
      <c r="F86" s="262"/>
      <c r="G86" s="262"/>
      <c r="H86" s="261"/>
      <c r="I86" s="262"/>
      <c r="J86" s="262"/>
      <c r="L86" s="264"/>
      <c r="M86" s="274"/>
      <c r="P86" s="265"/>
      <c r="Q86" s="261"/>
      <c r="R86" s="262"/>
      <c r="S86" s="262"/>
      <c r="U86" s="265"/>
      <c r="V86" s="261"/>
      <c r="W86" s="262"/>
      <c r="X86" s="262"/>
      <c r="Z86" s="265"/>
      <c r="AA86" s="261"/>
      <c r="AB86" s="262"/>
      <c r="AC86" s="262"/>
      <c r="AE86" s="265"/>
      <c r="AF86" s="441"/>
      <c r="AG86" s="262"/>
      <c r="AH86" s="262"/>
      <c r="AJ86" s="265"/>
      <c r="AK86" s="441"/>
      <c r="AL86" s="262"/>
      <c r="AM86" s="262"/>
      <c r="AO86" s="265">
        <v>1</v>
      </c>
      <c r="AP86" s="441">
        <v>1956.31</v>
      </c>
      <c r="AQ86" s="262">
        <v>1956.31</v>
      </c>
      <c r="AR86" s="262">
        <v>23475.72</v>
      </c>
      <c r="AS86" s="267" t="s">
        <v>695</v>
      </c>
      <c r="AT86" s="265">
        <v>1</v>
      </c>
      <c r="AU86" s="441">
        <f>'ASG 4'!D134</f>
        <v>2348.0500000000002</v>
      </c>
      <c r="AV86" s="262">
        <f>AU86*AT86</f>
        <v>2348.0500000000002</v>
      </c>
      <c r="AW86" s="262">
        <f>AV86*12</f>
        <v>28176.600000000002</v>
      </c>
      <c r="AX86" s="265">
        <v>1</v>
      </c>
      <c r="AY86" s="441">
        <f>'ASG 4'!D137</f>
        <v>2348.0500000000002</v>
      </c>
      <c r="AZ86" s="262">
        <f>AY86*AX86</f>
        <v>2348.0500000000002</v>
      </c>
      <c r="BA86" s="262">
        <f>AZ86*12</f>
        <v>28176.600000000002</v>
      </c>
    </row>
    <row r="87" spans="2:53" x14ac:dyDescent="0.25">
      <c r="B87" s="258">
        <v>8</v>
      </c>
      <c r="C87" s="259" t="s">
        <v>293</v>
      </c>
      <c r="D87" s="265">
        <v>1</v>
      </c>
      <c r="E87" s="261">
        <v>3016.01</v>
      </c>
      <c r="F87" s="262">
        <v>3016.01</v>
      </c>
      <c r="G87" s="262">
        <v>36192.120000000003</v>
      </c>
      <c r="H87" s="261">
        <f>'Oficial 4'!$D$136</f>
        <v>3551.03</v>
      </c>
      <c r="I87" s="262">
        <f>D87*H87</f>
        <v>3551.03</v>
      </c>
      <c r="J87" s="262">
        <f>I87*12</f>
        <v>42612.36</v>
      </c>
      <c r="L87" s="264">
        <f>I87*2</f>
        <v>7102.06</v>
      </c>
      <c r="M87" s="274">
        <v>802056</v>
      </c>
      <c r="N87" s="246" t="s">
        <v>554</v>
      </c>
      <c r="P87" s="265">
        <v>1</v>
      </c>
      <c r="Q87" s="261">
        <v>2920.93</v>
      </c>
      <c r="R87" s="262">
        <f>P87*Q87</f>
        <v>2920.93</v>
      </c>
      <c r="S87" s="262">
        <f>R87*12</f>
        <v>35051.159999999996</v>
      </c>
      <c r="U87" s="265">
        <v>1</v>
      </c>
      <c r="V87" s="261">
        <f>'Oficial 4'!$D$136</f>
        <v>3551.03</v>
      </c>
      <c r="W87" s="262">
        <f>U87*V87</f>
        <v>3551.03</v>
      </c>
      <c r="X87" s="262">
        <f>W87*12</f>
        <v>42612.36</v>
      </c>
      <c r="Z87" s="265">
        <v>1</v>
      </c>
      <c r="AA87" s="261">
        <v>3268.33</v>
      </c>
      <c r="AB87" s="262">
        <v>3268.33</v>
      </c>
      <c r="AC87" s="262">
        <v>39219.96</v>
      </c>
      <c r="AE87" s="265">
        <v>1</v>
      </c>
      <c r="AF87" s="441">
        <v>3268.33</v>
      </c>
      <c r="AG87" s="262">
        <v>3268.33</v>
      </c>
      <c r="AH87" s="262">
        <v>39219.96</v>
      </c>
      <c r="AJ87" s="265">
        <v>1</v>
      </c>
      <c r="AK87" s="441">
        <v>3022.02</v>
      </c>
      <c r="AL87" s="262">
        <v>3022.02</v>
      </c>
      <c r="AM87" s="262">
        <v>36264.239999999998</v>
      </c>
      <c r="AO87" s="265">
        <v>1</v>
      </c>
      <c r="AP87" s="441">
        <v>3022.02</v>
      </c>
      <c r="AQ87" s="262">
        <v>3022.02</v>
      </c>
      <c r="AR87" s="262">
        <v>36264.239999999998</v>
      </c>
      <c r="AT87" s="265">
        <v>1</v>
      </c>
      <c r="AU87" s="441">
        <f>'Oficial 4'!$D$136</f>
        <v>3551.03</v>
      </c>
      <c r="AV87" s="262">
        <f>AU87*AT87</f>
        <v>3551.03</v>
      </c>
      <c r="AW87" s="262">
        <f>AV87*12</f>
        <v>42612.36</v>
      </c>
      <c r="AX87" s="265">
        <v>1</v>
      </c>
      <c r="AY87" s="441">
        <f>'Oficial 4'!$D$136</f>
        <v>3551.03</v>
      </c>
      <c r="AZ87" s="262">
        <f>AY87*AX87</f>
        <v>3551.03</v>
      </c>
      <c r="BA87" s="262">
        <f>AZ87*12</f>
        <v>42612.36</v>
      </c>
    </row>
    <row r="88" spans="2:53" x14ac:dyDescent="0.25">
      <c r="B88" s="258">
        <v>9</v>
      </c>
      <c r="C88" s="259" t="s">
        <v>296</v>
      </c>
      <c r="D88" s="265">
        <v>1</v>
      </c>
      <c r="E88" s="261">
        <v>2345.2800000000002</v>
      </c>
      <c r="F88" s="262">
        <v>2345.2800000000002</v>
      </c>
      <c r="G88" s="262">
        <v>28143.360000000001</v>
      </c>
      <c r="H88" s="261">
        <f>'Op.de maq. 4'!$D$137</f>
        <v>3099.48</v>
      </c>
      <c r="I88" s="262">
        <f>D88*H88</f>
        <v>3099.48</v>
      </c>
      <c r="J88" s="262">
        <f>I88*12</f>
        <v>37193.760000000002</v>
      </c>
      <c r="L88" s="264">
        <f>I88*2</f>
        <v>6198.96</v>
      </c>
      <c r="M88" s="274">
        <v>802053</v>
      </c>
      <c r="N88" s="246" t="s">
        <v>554</v>
      </c>
      <c r="P88" s="265"/>
      <c r="Q88" s="261"/>
      <c r="R88" s="262">
        <f>P88*Q88</f>
        <v>0</v>
      </c>
      <c r="S88" s="262">
        <f>R88*12</f>
        <v>0</v>
      </c>
      <c r="U88" s="265">
        <v>0</v>
      </c>
      <c r="V88" s="261">
        <f>'Op.de maq. 4'!$D$137</f>
        <v>3099.48</v>
      </c>
      <c r="W88" s="262">
        <f>U88*V88</f>
        <v>0</v>
      </c>
      <c r="X88" s="262">
        <f>W88*12</f>
        <v>0</v>
      </c>
      <c r="Z88" s="265">
        <v>1</v>
      </c>
      <c r="AA88" s="261">
        <v>2345.2800000000002</v>
      </c>
      <c r="AB88" s="262">
        <v>2345.2800000000002</v>
      </c>
      <c r="AC88" s="262">
        <v>28143.360000000001</v>
      </c>
      <c r="AE88" s="265">
        <v>1</v>
      </c>
      <c r="AF88" s="441">
        <v>2619.04</v>
      </c>
      <c r="AG88" s="262">
        <v>2619.04</v>
      </c>
      <c r="AH88" s="262">
        <v>31428.48</v>
      </c>
      <c r="AJ88" s="265">
        <v>1</v>
      </c>
      <c r="AK88" s="441">
        <v>2619.04</v>
      </c>
      <c r="AL88" s="262">
        <v>2619.04</v>
      </c>
      <c r="AM88" s="262">
        <v>31428.48</v>
      </c>
      <c r="AO88" s="265">
        <v>0</v>
      </c>
      <c r="AP88" s="441">
        <v>2619.04</v>
      </c>
      <c r="AQ88" s="262">
        <v>0</v>
      </c>
      <c r="AR88" s="262">
        <v>0</v>
      </c>
      <c r="AS88" s="267" t="s">
        <v>694</v>
      </c>
      <c r="AT88" s="265">
        <v>0</v>
      </c>
      <c r="AU88" s="441">
        <f>'Op.de maq. 4'!$D$137</f>
        <v>3099.48</v>
      </c>
      <c r="AV88" s="262">
        <f>AU88*AT88</f>
        <v>0</v>
      </c>
      <c r="AW88" s="262">
        <f>AV88*12</f>
        <v>0</v>
      </c>
      <c r="AX88" s="265">
        <v>0</v>
      </c>
      <c r="AY88" s="441">
        <v>0</v>
      </c>
      <c r="AZ88" s="262">
        <f>AY88*AX88</f>
        <v>0</v>
      </c>
      <c r="BA88" s="262">
        <f>AZ88*12</f>
        <v>0</v>
      </c>
    </row>
    <row r="89" spans="2:53" x14ac:dyDescent="0.25">
      <c r="B89" s="716"/>
      <c r="C89" s="716"/>
      <c r="D89" s="268">
        <f>SUM(D85:D88)</f>
        <v>4</v>
      </c>
      <c r="E89" s="358"/>
      <c r="F89" s="369">
        <f>SUM(F85:F88)</f>
        <v>10415.07</v>
      </c>
      <c r="G89" s="369">
        <f>SUM(G85:G88)</f>
        <v>124980.84000000001</v>
      </c>
      <c r="H89" s="269"/>
      <c r="I89" s="270">
        <f>SUM(I85:I88)</f>
        <v>13387.449999999999</v>
      </c>
      <c r="J89" s="270">
        <f>SUM(J85:J88)</f>
        <v>160649.4</v>
      </c>
      <c r="L89" s="271">
        <f>SUM(L85:L88)</f>
        <v>26774.899999999998</v>
      </c>
      <c r="P89" s="268">
        <f>SUM(P85:P88)</f>
        <v>3</v>
      </c>
      <c r="Q89" s="269"/>
      <c r="R89" s="270">
        <f>SUM(R85:R88)</f>
        <v>8210.01</v>
      </c>
      <c r="S89" s="270">
        <f>SUM(S85:S88)</f>
        <v>98520.12</v>
      </c>
      <c r="U89" s="268">
        <f>SUM(U85:U88)</f>
        <v>3</v>
      </c>
      <c r="V89" s="269"/>
      <c r="W89" s="270">
        <f>SUM(W85:W88)</f>
        <v>10287.969999999999</v>
      </c>
      <c r="X89" s="270">
        <f>SUM(X85:X88)</f>
        <v>123455.64</v>
      </c>
      <c r="Z89" s="423">
        <v>4</v>
      </c>
      <c r="AA89" s="269"/>
      <c r="AB89" s="270">
        <v>10667.390000000001</v>
      </c>
      <c r="AC89" s="270">
        <v>128008.68000000001</v>
      </c>
      <c r="AE89" s="464">
        <v>4</v>
      </c>
      <c r="AF89" s="443"/>
      <c r="AG89" s="270">
        <v>11587.59</v>
      </c>
      <c r="AH89" s="270">
        <v>139051.08000000002</v>
      </c>
      <c r="AJ89" s="470">
        <v>4</v>
      </c>
      <c r="AK89" s="443"/>
      <c r="AL89" s="270">
        <v>11341.279999999999</v>
      </c>
      <c r="AM89" s="270">
        <v>136095.36000000002</v>
      </c>
      <c r="AO89" s="575">
        <v>4</v>
      </c>
      <c r="AP89" s="443"/>
      <c r="AQ89" s="270">
        <v>10678.550000000001</v>
      </c>
      <c r="AR89" s="270">
        <v>128142.6</v>
      </c>
      <c r="AT89" s="376">
        <f>SUM(AT85:AT88)</f>
        <v>4</v>
      </c>
      <c r="AU89" s="443"/>
      <c r="AV89" s="270">
        <f>SUM(AV85:AV88)</f>
        <v>12636.02</v>
      </c>
      <c r="AW89" s="270">
        <f>SUM(AW85:AW88)</f>
        <v>151632.24</v>
      </c>
      <c r="AX89" s="608">
        <f>SUM(AX85:AX88)</f>
        <v>4</v>
      </c>
      <c r="AY89" s="443"/>
      <c r="AZ89" s="270">
        <f>SUM(AZ85:AZ88)</f>
        <v>12636.02</v>
      </c>
      <c r="BA89" s="270">
        <f>SUM(BA85:BA88)</f>
        <v>151632.24</v>
      </c>
    </row>
    <row r="90" spans="2:53" x14ac:dyDescent="0.25">
      <c r="AA90" s="717" t="s">
        <v>570</v>
      </c>
      <c r="AB90" s="717"/>
      <c r="AC90" s="717"/>
      <c r="AF90" s="717" t="s">
        <v>627</v>
      </c>
      <c r="AG90" s="717"/>
      <c r="AH90" s="717"/>
      <c r="AK90" s="717" t="s">
        <v>657</v>
      </c>
      <c r="AL90" s="717"/>
      <c r="AM90" s="717"/>
      <c r="AP90" s="717" t="s">
        <v>693</v>
      </c>
      <c r="AQ90" s="717"/>
      <c r="AR90" s="717"/>
      <c r="AU90" s="717" t="s">
        <v>693</v>
      </c>
      <c r="AV90" s="717"/>
      <c r="AW90" s="717"/>
      <c r="AY90" s="717" t="s">
        <v>693</v>
      </c>
      <c r="AZ90" s="717"/>
      <c r="BA90" s="717"/>
    </row>
    <row r="91" spans="2:53" x14ac:dyDescent="0.25">
      <c r="B91" s="276" t="s">
        <v>298</v>
      </c>
      <c r="C91" s="246" t="s">
        <v>504</v>
      </c>
      <c r="E91" s="455"/>
      <c r="F91" s="455"/>
      <c r="G91" s="455"/>
      <c r="H91" s="455"/>
      <c r="I91" s="455"/>
      <c r="J91" s="455"/>
      <c r="AA91" s="246" t="s">
        <v>645</v>
      </c>
      <c r="AF91" s="439"/>
      <c r="AK91" s="717" t="s">
        <v>657</v>
      </c>
      <c r="AL91" s="717"/>
      <c r="AM91" s="717"/>
      <c r="AP91" s="718"/>
      <c r="AQ91" s="718"/>
      <c r="AR91" s="718"/>
      <c r="AU91" s="718"/>
      <c r="AV91" s="718"/>
      <c r="AW91" s="718"/>
      <c r="AY91" s="718"/>
      <c r="AZ91" s="718"/>
      <c r="BA91" s="718"/>
    </row>
    <row r="92" spans="2:53" ht="47.25" x14ac:dyDescent="0.25">
      <c r="B92" s="256" t="s">
        <v>159</v>
      </c>
      <c r="C92" s="257" t="s">
        <v>160</v>
      </c>
      <c r="D92" s="257" t="s">
        <v>161</v>
      </c>
      <c r="E92" s="257" t="s">
        <v>168</v>
      </c>
      <c r="F92" s="257" t="s">
        <v>167</v>
      </c>
      <c r="G92" s="257" t="s">
        <v>162</v>
      </c>
      <c r="H92" s="257" t="s">
        <v>168</v>
      </c>
      <c r="I92" s="257" t="s">
        <v>167</v>
      </c>
      <c r="J92" s="257" t="s">
        <v>162</v>
      </c>
      <c r="K92" s="257" t="s">
        <v>663</v>
      </c>
      <c r="L92" s="257" t="s">
        <v>520</v>
      </c>
      <c r="M92" s="257" t="s">
        <v>518</v>
      </c>
      <c r="N92" s="257" t="s">
        <v>548</v>
      </c>
      <c r="P92" s="257" t="s">
        <v>161</v>
      </c>
      <c r="Q92" s="257" t="s">
        <v>168</v>
      </c>
      <c r="R92" s="257" t="s">
        <v>167</v>
      </c>
      <c r="S92" s="257" t="s">
        <v>162</v>
      </c>
      <c r="U92" s="257" t="s">
        <v>161</v>
      </c>
      <c r="V92" s="257" t="s">
        <v>168</v>
      </c>
      <c r="W92" s="257" t="s">
        <v>167</v>
      </c>
      <c r="X92" s="257" t="s">
        <v>162</v>
      </c>
      <c r="Z92" s="257" t="s">
        <v>571</v>
      </c>
      <c r="AA92" s="257" t="s">
        <v>168</v>
      </c>
      <c r="AB92" s="257" t="s">
        <v>167</v>
      </c>
      <c r="AC92" s="257" t="s">
        <v>162</v>
      </c>
      <c r="AE92" s="257" t="s">
        <v>628</v>
      </c>
      <c r="AF92" s="440" t="s">
        <v>168</v>
      </c>
      <c r="AG92" s="257" t="s">
        <v>167</v>
      </c>
      <c r="AH92" s="257" t="s">
        <v>162</v>
      </c>
      <c r="AJ92" s="257" t="s">
        <v>628</v>
      </c>
      <c r="AK92" s="440" t="s">
        <v>168</v>
      </c>
      <c r="AL92" s="257" t="s">
        <v>167</v>
      </c>
      <c r="AM92" s="257" t="s">
        <v>162</v>
      </c>
      <c r="AO92" s="257" t="s">
        <v>628</v>
      </c>
      <c r="AP92" s="440" t="s">
        <v>168</v>
      </c>
      <c r="AQ92" s="257" t="s">
        <v>167</v>
      </c>
      <c r="AR92" s="257" t="s">
        <v>162</v>
      </c>
      <c r="AT92" s="257" t="s">
        <v>628</v>
      </c>
      <c r="AU92" s="440" t="s">
        <v>168</v>
      </c>
      <c r="AV92" s="257" t="s">
        <v>167</v>
      </c>
      <c r="AW92" s="257" t="s">
        <v>162</v>
      </c>
      <c r="AX92" s="257" t="s">
        <v>628</v>
      </c>
      <c r="AY92" s="440" t="s">
        <v>168</v>
      </c>
      <c r="AZ92" s="257" t="s">
        <v>167</v>
      </c>
      <c r="BA92" s="257" t="s">
        <v>162</v>
      </c>
    </row>
    <row r="93" spans="2:53" x14ac:dyDescent="0.25">
      <c r="B93" s="322">
        <v>2</v>
      </c>
      <c r="C93" s="278" t="s">
        <v>2</v>
      </c>
      <c r="D93" s="279">
        <v>1</v>
      </c>
      <c r="E93" s="280">
        <v>1993.11</v>
      </c>
      <c r="F93" s="280">
        <v>3986.22</v>
      </c>
      <c r="G93" s="280">
        <v>47834.64</v>
      </c>
      <c r="H93" s="280">
        <f>'Recepção 3'!$D$137</f>
        <v>2652.06</v>
      </c>
      <c r="I93" s="280">
        <f t="shared" ref="I93:I98" si="31">H93*D93</f>
        <v>2652.06</v>
      </c>
      <c r="J93" s="280">
        <f t="shared" ref="J93:J98" si="32">I93*12</f>
        <v>31824.720000000001</v>
      </c>
      <c r="K93" s="264">
        <f>H93*3</f>
        <v>7956.18</v>
      </c>
      <c r="L93" s="264">
        <f>H93*2</f>
        <v>5304.12</v>
      </c>
      <c r="M93" s="274">
        <v>802071</v>
      </c>
      <c r="N93" s="246" t="s">
        <v>553</v>
      </c>
      <c r="P93" s="279">
        <v>1</v>
      </c>
      <c r="Q93" s="280">
        <v>2063.04</v>
      </c>
      <c r="R93" s="280">
        <f t="shared" ref="R93:R98" si="33">Q93*P93</f>
        <v>2063.04</v>
      </c>
      <c r="S93" s="280">
        <f t="shared" ref="S93:S98" si="34">R93*12</f>
        <v>24756.48</v>
      </c>
      <c r="U93" s="279">
        <v>1</v>
      </c>
      <c r="V93" s="280">
        <f>'Recepção 3'!$D$137</f>
        <v>2652.06</v>
      </c>
      <c r="W93" s="280">
        <f t="shared" ref="W93:W98" si="35">V93*U93</f>
        <v>2652.06</v>
      </c>
      <c r="X93" s="280">
        <f t="shared" ref="X93:X98" si="36">W93*12</f>
        <v>31824.720000000001</v>
      </c>
      <c r="Z93" s="279">
        <v>1</v>
      </c>
      <c r="AA93" s="280">
        <v>1993.11</v>
      </c>
      <c r="AB93" s="262">
        <f>AA93*Z93</f>
        <v>1993.11</v>
      </c>
      <c r="AC93" s="280">
        <v>47834.64</v>
      </c>
      <c r="AE93" s="279">
        <v>1</v>
      </c>
      <c r="AF93" s="450">
        <v>2236.62</v>
      </c>
      <c r="AG93" s="262">
        <f>AF93*AE93</f>
        <v>2236.62</v>
      </c>
      <c r="AH93" s="280">
        <f>AG93*12</f>
        <v>26839.439999999999</v>
      </c>
      <c r="AJ93" s="468">
        <v>1</v>
      </c>
      <c r="AK93" s="462">
        <v>2236.62</v>
      </c>
      <c r="AL93" s="456">
        <v>2236.62</v>
      </c>
      <c r="AM93" s="457">
        <v>26839.439999999999</v>
      </c>
      <c r="AN93" s="267" t="s">
        <v>667</v>
      </c>
      <c r="AO93" s="468">
        <v>1</v>
      </c>
      <c r="AP93" s="462">
        <v>2236.62</v>
      </c>
      <c r="AQ93" s="456">
        <v>2236.62</v>
      </c>
      <c r="AR93" s="457">
        <v>26839.439999999999</v>
      </c>
      <c r="AS93" s="267" t="s">
        <v>667</v>
      </c>
      <c r="AT93" s="405">
        <v>1</v>
      </c>
      <c r="AU93" s="454">
        <f>'Recepção 3'!$D$137</f>
        <v>2652.06</v>
      </c>
      <c r="AV93" s="310">
        <f t="shared" ref="AV93:AV98" si="37">AU93*AT93</f>
        <v>2652.06</v>
      </c>
      <c r="AW93" s="325">
        <f t="shared" ref="AW93:AW98" si="38">AV93*12</f>
        <v>31824.720000000001</v>
      </c>
      <c r="AX93" s="405">
        <v>1</v>
      </c>
      <c r="AY93" s="454">
        <f>'Recepção 3'!$D$137</f>
        <v>2652.06</v>
      </c>
      <c r="AZ93" s="310">
        <f t="shared" ref="AZ93:AZ98" si="39">AY93*AX93</f>
        <v>2652.06</v>
      </c>
      <c r="BA93" s="325">
        <f t="shared" ref="BA93:BA98" si="40">AZ93*12</f>
        <v>31824.720000000001</v>
      </c>
    </row>
    <row r="94" spans="2:53" x14ac:dyDescent="0.25">
      <c r="B94" s="322">
        <v>2</v>
      </c>
      <c r="C94" s="278" t="s">
        <v>2</v>
      </c>
      <c r="D94" s="279">
        <v>1</v>
      </c>
      <c r="E94" s="280">
        <v>1993.11</v>
      </c>
      <c r="F94" s="280">
        <v>3986.22</v>
      </c>
      <c r="G94" s="280">
        <v>47834.64</v>
      </c>
      <c r="H94" s="280">
        <f>'Recepção 3'!$D$137</f>
        <v>2652.06</v>
      </c>
      <c r="I94" s="280">
        <f t="shared" si="31"/>
        <v>2652.06</v>
      </c>
      <c r="J94" s="280">
        <f t="shared" si="32"/>
        <v>31824.720000000001</v>
      </c>
      <c r="K94" s="264">
        <f>H94*3</f>
        <v>7956.18</v>
      </c>
      <c r="L94" s="264">
        <f>H94*2</f>
        <v>5304.12</v>
      </c>
      <c r="M94" s="274">
        <v>802071</v>
      </c>
      <c r="N94" s="246" t="s">
        <v>553</v>
      </c>
      <c r="P94" s="279">
        <v>1</v>
      </c>
      <c r="Q94" s="280">
        <v>2063.04</v>
      </c>
      <c r="R94" s="280">
        <f t="shared" si="33"/>
        <v>2063.04</v>
      </c>
      <c r="S94" s="280">
        <f t="shared" si="34"/>
        <v>24756.48</v>
      </c>
      <c r="U94" s="279">
        <v>1</v>
      </c>
      <c r="V94" s="280">
        <f>'Recepção 3'!$D$137</f>
        <v>2652.06</v>
      </c>
      <c r="W94" s="280">
        <f t="shared" si="35"/>
        <v>2652.06</v>
      </c>
      <c r="X94" s="280">
        <f t="shared" si="36"/>
        <v>31824.720000000001</v>
      </c>
      <c r="Z94" s="279">
        <v>1</v>
      </c>
      <c r="AA94" s="280">
        <v>1993.11</v>
      </c>
      <c r="AB94" s="262">
        <f>AA94*Z94</f>
        <v>1993.11</v>
      </c>
      <c r="AC94" s="280">
        <v>47834.64</v>
      </c>
      <c r="AE94" s="279">
        <v>1</v>
      </c>
      <c r="AF94" s="450">
        <v>2236.62</v>
      </c>
      <c r="AG94" s="262">
        <f>AF94*AE94</f>
        <v>2236.62</v>
      </c>
      <c r="AH94" s="280">
        <f>AG94*12</f>
        <v>26839.439999999999</v>
      </c>
      <c r="AJ94" s="279">
        <v>1</v>
      </c>
      <c r="AK94" s="450">
        <v>2236.62</v>
      </c>
      <c r="AL94" s="262">
        <v>2236.62</v>
      </c>
      <c r="AM94" s="280">
        <v>26839.439999999999</v>
      </c>
      <c r="AO94" s="279">
        <v>1</v>
      </c>
      <c r="AP94" s="450">
        <v>2236.62</v>
      </c>
      <c r="AQ94" s="262">
        <v>2236.62</v>
      </c>
      <c r="AR94" s="280">
        <v>26839.439999999999</v>
      </c>
      <c r="AT94" s="279">
        <v>1</v>
      </c>
      <c r="AU94" s="450">
        <f>'Recepção 3'!$D$137</f>
        <v>2652.06</v>
      </c>
      <c r="AV94" s="262">
        <f t="shared" si="37"/>
        <v>2652.06</v>
      </c>
      <c r="AW94" s="280">
        <f t="shared" si="38"/>
        <v>31824.720000000001</v>
      </c>
      <c r="AX94" s="279">
        <v>1</v>
      </c>
      <c r="AY94" s="450">
        <f>'Recepção 3'!$D$137</f>
        <v>2652.06</v>
      </c>
      <c r="AZ94" s="262">
        <f t="shared" si="39"/>
        <v>2652.06</v>
      </c>
      <c r="BA94" s="280">
        <f t="shared" si="40"/>
        <v>31824.720000000001</v>
      </c>
    </row>
    <row r="95" spans="2:53" x14ac:dyDescent="0.25">
      <c r="B95" s="258">
        <v>4</v>
      </c>
      <c r="C95" s="259" t="s">
        <v>3</v>
      </c>
      <c r="D95" s="265">
        <v>1</v>
      </c>
      <c r="E95" s="261">
        <v>2498.1</v>
      </c>
      <c r="F95" s="280">
        <v>2498.1</v>
      </c>
      <c r="G95" s="280">
        <v>29977.199999999997</v>
      </c>
      <c r="H95" s="261">
        <f>'Porteiro 3'!$D$137</f>
        <v>3330.09</v>
      </c>
      <c r="I95" s="280">
        <f t="shared" si="31"/>
        <v>3330.09</v>
      </c>
      <c r="J95" s="280">
        <f t="shared" si="32"/>
        <v>39961.08</v>
      </c>
      <c r="L95" s="264">
        <f>I95*2</f>
        <v>6660.18</v>
      </c>
      <c r="M95" s="274">
        <v>802071</v>
      </c>
      <c r="N95" s="246" t="s">
        <v>554</v>
      </c>
      <c r="P95" s="265">
        <v>1</v>
      </c>
      <c r="Q95" s="261">
        <v>2613.79</v>
      </c>
      <c r="R95" s="280">
        <f t="shared" si="33"/>
        <v>2613.79</v>
      </c>
      <c r="S95" s="280">
        <f t="shared" si="34"/>
        <v>31365.48</v>
      </c>
      <c r="U95" s="265">
        <v>1</v>
      </c>
      <c r="V95" s="261">
        <f>'Porteiro 3'!$D$137</f>
        <v>3330.09</v>
      </c>
      <c r="W95" s="280">
        <f t="shared" si="35"/>
        <v>3330.09</v>
      </c>
      <c r="X95" s="280">
        <f t="shared" si="36"/>
        <v>39961.08</v>
      </c>
      <c r="Z95" s="265">
        <v>1</v>
      </c>
      <c r="AA95" s="261">
        <v>2498.1</v>
      </c>
      <c r="AB95" s="262">
        <v>2498.1</v>
      </c>
      <c r="AC95" s="280">
        <v>29977.199999999997</v>
      </c>
      <c r="AE95" s="265">
        <v>1</v>
      </c>
      <c r="AF95" s="441">
        <v>2817.63</v>
      </c>
      <c r="AG95" s="262">
        <v>2817.63</v>
      </c>
      <c r="AH95" s="280">
        <v>33811.56</v>
      </c>
      <c r="AJ95" s="265">
        <v>1</v>
      </c>
      <c r="AK95" s="441">
        <v>2817.63</v>
      </c>
      <c r="AL95" s="262">
        <v>2817.63</v>
      </c>
      <c r="AM95" s="280">
        <v>33811.56</v>
      </c>
      <c r="AO95" s="265">
        <v>1</v>
      </c>
      <c r="AP95" s="441">
        <v>2817.63</v>
      </c>
      <c r="AQ95" s="262">
        <v>2817.63</v>
      </c>
      <c r="AR95" s="280">
        <v>33811.56</v>
      </c>
      <c r="AT95" s="265">
        <v>1</v>
      </c>
      <c r="AU95" s="441">
        <f>'Porteiro 3'!$D$137</f>
        <v>3330.09</v>
      </c>
      <c r="AV95" s="262">
        <f t="shared" si="37"/>
        <v>3330.09</v>
      </c>
      <c r="AW95" s="280">
        <f t="shared" si="38"/>
        <v>39961.08</v>
      </c>
      <c r="AX95" s="265">
        <v>1</v>
      </c>
      <c r="AY95" s="441">
        <f>'Porteiro 3'!$D$137</f>
        <v>3330.09</v>
      </c>
      <c r="AZ95" s="262">
        <f t="shared" si="39"/>
        <v>3330.09</v>
      </c>
      <c r="BA95" s="280">
        <f t="shared" si="40"/>
        <v>39961.08</v>
      </c>
    </row>
    <row r="96" spans="2:53" x14ac:dyDescent="0.25">
      <c r="B96" s="258">
        <v>5</v>
      </c>
      <c r="C96" s="259" t="s">
        <v>292</v>
      </c>
      <c r="D96" s="265">
        <v>2</v>
      </c>
      <c r="E96" s="261">
        <v>1733.68</v>
      </c>
      <c r="F96" s="280">
        <v>3467.36</v>
      </c>
      <c r="G96" s="280">
        <v>41608.32</v>
      </c>
      <c r="H96" s="261">
        <f>'ASG 3'!$D$137</f>
        <v>2321.3000000000002</v>
      </c>
      <c r="I96" s="280">
        <f t="shared" si="31"/>
        <v>4642.6000000000004</v>
      </c>
      <c r="J96" s="280">
        <f t="shared" si="32"/>
        <v>55711.200000000004</v>
      </c>
      <c r="L96" s="264">
        <f>I96*2</f>
        <v>9285.2000000000007</v>
      </c>
      <c r="M96" s="274">
        <v>802071</v>
      </c>
      <c r="N96" s="246" t="s">
        <v>554</v>
      </c>
      <c r="P96" s="265">
        <v>2</v>
      </c>
      <c r="Q96" s="261">
        <v>2412.94</v>
      </c>
      <c r="R96" s="280">
        <f t="shared" si="33"/>
        <v>4825.88</v>
      </c>
      <c r="S96" s="280">
        <f t="shared" si="34"/>
        <v>57910.559999999998</v>
      </c>
      <c r="U96" s="265">
        <v>2</v>
      </c>
      <c r="V96" s="261">
        <f>'ASG 3'!$D$137</f>
        <v>2321.3000000000002</v>
      </c>
      <c r="W96" s="280">
        <f t="shared" si="35"/>
        <v>4642.6000000000004</v>
      </c>
      <c r="X96" s="280">
        <f t="shared" si="36"/>
        <v>55711.200000000004</v>
      </c>
      <c r="Z96" s="265">
        <v>2</v>
      </c>
      <c r="AA96" s="261">
        <v>1733.68</v>
      </c>
      <c r="AB96" s="262">
        <v>3467.36</v>
      </c>
      <c r="AC96" s="280">
        <v>41608.32</v>
      </c>
      <c r="AE96" s="265">
        <v>2</v>
      </c>
      <c r="AF96" s="441">
        <v>1934.02</v>
      </c>
      <c r="AG96" s="262">
        <v>3868.04</v>
      </c>
      <c r="AH96" s="280">
        <v>46416.479999999996</v>
      </c>
      <c r="AJ96" s="265">
        <v>2</v>
      </c>
      <c r="AK96" s="441">
        <v>1934.02</v>
      </c>
      <c r="AL96" s="262">
        <v>3868.04</v>
      </c>
      <c r="AM96" s="280">
        <v>46416.479999999996</v>
      </c>
      <c r="AO96" s="265">
        <v>2</v>
      </c>
      <c r="AP96" s="441">
        <v>1934.02</v>
      </c>
      <c r="AQ96" s="262">
        <v>3868.04</v>
      </c>
      <c r="AR96" s="280">
        <v>46416.479999999996</v>
      </c>
      <c r="AT96" s="265">
        <v>2</v>
      </c>
      <c r="AU96" s="441">
        <f>'ASG 3'!$D$137</f>
        <v>2321.3000000000002</v>
      </c>
      <c r="AV96" s="262">
        <f t="shared" si="37"/>
        <v>4642.6000000000004</v>
      </c>
      <c r="AW96" s="280">
        <f t="shared" si="38"/>
        <v>55711.200000000004</v>
      </c>
      <c r="AX96" s="265">
        <v>2</v>
      </c>
      <c r="AY96" s="441">
        <f>'ASG 3'!$D$137</f>
        <v>2321.3000000000002</v>
      </c>
      <c r="AZ96" s="262">
        <f t="shared" si="39"/>
        <v>4642.6000000000004</v>
      </c>
      <c r="BA96" s="280">
        <f t="shared" si="40"/>
        <v>55711.200000000004</v>
      </c>
    </row>
    <row r="97" spans="2:56" x14ac:dyDescent="0.25">
      <c r="B97" s="258">
        <v>8</v>
      </c>
      <c r="C97" s="259" t="s">
        <v>293</v>
      </c>
      <c r="D97" s="265">
        <v>1</v>
      </c>
      <c r="E97" s="261">
        <v>2981.64</v>
      </c>
      <c r="F97" s="280">
        <v>2981.64</v>
      </c>
      <c r="G97" s="280">
        <v>35779.68</v>
      </c>
      <c r="H97" s="261">
        <f>'Oficial 3'!$D$136</f>
        <v>3510.56</v>
      </c>
      <c r="I97" s="280">
        <f t="shared" si="31"/>
        <v>3510.56</v>
      </c>
      <c r="J97" s="280">
        <f t="shared" si="32"/>
        <v>42126.720000000001</v>
      </c>
      <c r="L97" s="264">
        <f>I97*2</f>
        <v>7021.12</v>
      </c>
      <c r="M97" s="274">
        <v>802057</v>
      </c>
      <c r="N97" s="246" t="s">
        <v>554</v>
      </c>
      <c r="P97" s="265">
        <v>1</v>
      </c>
      <c r="Q97" s="261">
        <v>2921.02</v>
      </c>
      <c r="R97" s="280">
        <f t="shared" si="33"/>
        <v>2921.02</v>
      </c>
      <c r="S97" s="280">
        <f t="shared" si="34"/>
        <v>35052.239999999998</v>
      </c>
      <c r="U97" s="265">
        <v>1</v>
      </c>
      <c r="V97" s="261">
        <f>'Oficial 3'!$D$136</f>
        <v>3510.56</v>
      </c>
      <c r="W97" s="280">
        <f t="shared" si="35"/>
        <v>3510.56</v>
      </c>
      <c r="X97" s="280">
        <f t="shared" si="36"/>
        <v>42126.720000000001</v>
      </c>
      <c r="Z97" s="265">
        <v>1</v>
      </c>
      <c r="AA97" s="261">
        <v>3231.08</v>
      </c>
      <c r="AB97" s="262">
        <v>3231.08</v>
      </c>
      <c r="AC97" s="280">
        <v>38772.959999999999</v>
      </c>
      <c r="AE97" s="265">
        <v>1</v>
      </c>
      <c r="AF97" s="441">
        <v>3231.08</v>
      </c>
      <c r="AG97" s="262">
        <v>3231.08</v>
      </c>
      <c r="AH97" s="280">
        <v>38772.959999999999</v>
      </c>
      <c r="AJ97" s="265">
        <v>1</v>
      </c>
      <c r="AK97" s="441">
        <v>2987.6</v>
      </c>
      <c r="AL97" s="262">
        <v>2987.6</v>
      </c>
      <c r="AM97" s="280">
        <v>35851.199999999997</v>
      </c>
      <c r="AO97" s="265">
        <v>1</v>
      </c>
      <c r="AP97" s="441">
        <v>2987.6</v>
      </c>
      <c r="AQ97" s="262">
        <v>2987.6</v>
      </c>
      <c r="AR97" s="280">
        <v>35851.199999999997</v>
      </c>
      <c r="AT97" s="265">
        <v>1</v>
      </c>
      <c r="AU97" s="441">
        <f>'Oficial 3'!$D$136</f>
        <v>3510.56</v>
      </c>
      <c r="AV97" s="262">
        <f t="shared" si="37"/>
        <v>3510.56</v>
      </c>
      <c r="AW97" s="280">
        <f t="shared" si="38"/>
        <v>42126.720000000001</v>
      </c>
      <c r="AX97" s="265">
        <v>1</v>
      </c>
      <c r="AY97" s="441">
        <f>'Oficial 3'!$D$136</f>
        <v>3510.56</v>
      </c>
      <c r="AZ97" s="262">
        <f t="shared" si="39"/>
        <v>3510.56</v>
      </c>
      <c r="BA97" s="280">
        <f t="shared" si="40"/>
        <v>42126.720000000001</v>
      </c>
    </row>
    <row r="98" spans="2:56" x14ac:dyDescent="0.25">
      <c r="B98" s="258">
        <v>9</v>
      </c>
      <c r="C98" s="259" t="s">
        <v>296</v>
      </c>
      <c r="D98" s="265">
        <v>1</v>
      </c>
      <c r="E98" s="261">
        <v>2318.56</v>
      </c>
      <c r="F98" s="280">
        <v>2318.56</v>
      </c>
      <c r="G98" s="280">
        <v>27822.720000000001</v>
      </c>
      <c r="H98" s="261">
        <f>'Op.de maq. 3'!$D$137</f>
        <v>3064.16</v>
      </c>
      <c r="I98" s="280">
        <f t="shared" si="31"/>
        <v>3064.16</v>
      </c>
      <c r="J98" s="280">
        <f t="shared" si="32"/>
        <v>36769.919999999998</v>
      </c>
      <c r="L98" s="264">
        <f>I98*2</f>
        <v>6128.32</v>
      </c>
      <c r="M98" s="274">
        <v>802071</v>
      </c>
      <c r="N98" s="246" t="s">
        <v>554</v>
      </c>
      <c r="P98" s="265"/>
      <c r="Q98" s="261">
        <f>'Op.de maq. 3'!I137</f>
        <v>0</v>
      </c>
      <c r="R98" s="280">
        <f t="shared" si="33"/>
        <v>0</v>
      </c>
      <c r="S98" s="280">
        <f t="shared" si="34"/>
        <v>0</v>
      </c>
      <c r="U98" s="265">
        <v>0</v>
      </c>
      <c r="V98" s="261">
        <f>'Op.de maq. 3'!$D$137</f>
        <v>3064.16</v>
      </c>
      <c r="W98" s="280">
        <f t="shared" si="35"/>
        <v>0</v>
      </c>
      <c r="X98" s="280">
        <f t="shared" si="36"/>
        <v>0</v>
      </c>
      <c r="Z98" s="265">
        <v>1</v>
      </c>
      <c r="AA98" s="261">
        <v>2318.56</v>
      </c>
      <c r="AB98" s="262">
        <v>2318.56</v>
      </c>
      <c r="AC98" s="280">
        <v>27822.720000000001</v>
      </c>
      <c r="AE98" s="265">
        <v>1</v>
      </c>
      <c r="AF98" s="441">
        <v>2589.1999999999998</v>
      </c>
      <c r="AG98" s="262">
        <v>2589.1999999999998</v>
      </c>
      <c r="AH98" s="280">
        <v>31070.399999999998</v>
      </c>
      <c r="AJ98" s="265">
        <v>1</v>
      </c>
      <c r="AK98" s="441">
        <v>2589.1999999999998</v>
      </c>
      <c r="AL98" s="262">
        <v>2589.1999999999998</v>
      </c>
      <c r="AM98" s="280">
        <v>31070.399999999998</v>
      </c>
      <c r="AO98" s="265">
        <v>1</v>
      </c>
      <c r="AP98" s="441">
        <v>2589.1999999999998</v>
      </c>
      <c r="AQ98" s="262">
        <v>2589.1999999999998</v>
      </c>
      <c r="AR98" s="280">
        <v>31070.399999999998</v>
      </c>
      <c r="AT98" s="265">
        <v>1</v>
      </c>
      <c r="AU98" s="441">
        <f>'Op.de maq. 3'!$D$137</f>
        <v>3064.16</v>
      </c>
      <c r="AV98" s="262">
        <f t="shared" si="37"/>
        <v>3064.16</v>
      </c>
      <c r="AW98" s="280">
        <f t="shared" si="38"/>
        <v>36769.919999999998</v>
      </c>
      <c r="AX98" s="265">
        <v>0</v>
      </c>
      <c r="AY98" s="441">
        <f>'Op.de maq. 3'!$D$137</f>
        <v>3064.16</v>
      </c>
      <c r="AZ98" s="262">
        <f t="shared" si="39"/>
        <v>0</v>
      </c>
      <c r="BA98" s="280">
        <f t="shared" si="40"/>
        <v>0</v>
      </c>
    </row>
    <row r="99" spans="2:56" x14ac:dyDescent="0.25">
      <c r="B99" s="716"/>
      <c r="C99" s="716"/>
      <c r="D99" s="268">
        <f>SUM(D93:D98)</f>
        <v>7</v>
      </c>
      <c r="E99" s="358"/>
      <c r="F99" s="370">
        <f>SUM(F93:F98)</f>
        <v>19238.100000000002</v>
      </c>
      <c r="G99" s="370">
        <f>SUM(G93:G98)</f>
        <v>230857.19999999998</v>
      </c>
      <c r="H99" s="269"/>
      <c r="I99" s="271">
        <f>SUM(I93:I98)</f>
        <v>19851.53</v>
      </c>
      <c r="J99" s="271">
        <f>SUM(J93:J98)</f>
        <v>238218.36</v>
      </c>
      <c r="L99" s="271">
        <f>SUM(L93:L98)</f>
        <v>39703.06</v>
      </c>
      <c r="P99" s="268">
        <f>SUM(P93:P98)</f>
        <v>6</v>
      </c>
      <c r="Q99" s="269"/>
      <c r="R99" s="271">
        <f>SUM(R93:R98)</f>
        <v>14486.77</v>
      </c>
      <c r="S99" s="271">
        <f>SUM(S93:S98)</f>
        <v>173841.24</v>
      </c>
      <c r="U99" s="268">
        <f>SUM(U93:U98)</f>
        <v>6</v>
      </c>
      <c r="V99" s="269"/>
      <c r="W99" s="271">
        <f>SUM(W93:W98)</f>
        <v>16787.37</v>
      </c>
      <c r="X99" s="271">
        <f>SUM(X93:X98)</f>
        <v>201448.44</v>
      </c>
      <c r="Z99" s="423">
        <v>7</v>
      </c>
      <c r="AA99" s="269"/>
      <c r="AB99" s="270">
        <v>15501.32</v>
      </c>
      <c r="AC99" s="271">
        <v>186015.84</v>
      </c>
      <c r="AE99" s="464">
        <v>7</v>
      </c>
      <c r="AF99" s="443"/>
      <c r="AG99" s="271">
        <f>SUM(AG93:AG98)</f>
        <v>16979.189999999999</v>
      </c>
      <c r="AH99" s="271">
        <f>SUM(AH93:AH98)</f>
        <v>203750.27999999997</v>
      </c>
      <c r="AJ99" s="470">
        <v>7</v>
      </c>
      <c r="AK99" s="443"/>
      <c r="AL99" s="270">
        <v>16735.71</v>
      </c>
      <c r="AM99" s="271">
        <v>200828.52</v>
      </c>
      <c r="AO99" s="575">
        <v>7</v>
      </c>
      <c r="AP99" s="443"/>
      <c r="AQ99" s="270">
        <v>16735.71</v>
      </c>
      <c r="AR99" s="271">
        <v>200828.52</v>
      </c>
      <c r="AT99" s="376">
        <f>SUM(AT93:AT98)</f>
        <v>7</v>
      </c>
      <c r="AU99" s="443"/>
      <c r="AV99" s="270">
        <f>SUM(AV93:AV98)</f>
        <v>19851.53</v>
      </c>
      <c r="AW99" s="271">
        <f>SUM(AW93:AW98)</f>
        <v>238218.36</v>
      </c>
      <c r="AX99" s="608">
        <f>SUM(AX93:AX98)</f>
        <v>6</v>
      </c>
      <c r="AY99" s="443"/>
      <c r="AZ99" s="270">
        <f>SUM(AZ93:AZ98)</f>
        <v>16787.37</v>
      </c>
      <c r="BA99" s="271">
        <f>SUM(BA93:BA98)</f>
        <v>201448.44</v>
      </c>
    </row>
    <row r="100" spans="2:56" x14ac:dyDescent="0.25">
      <c r="AA100" s="717" t="s">
        <v>570</v>
      </c>
      <c r="AB100" s="717"/>
      <c r="AC100" s="717"/>
      <c r="AF100" s="717" t="s">
        <v>627</v>
      </c>
      <c r="AG100" s="717"/>
      <c r="AH100" s="717"/>
      <c r="AK100" s="717" t="s">
        <v>657</v>
      </c>
      <c r="AL100" s="717"/>
      <c r="AM100" s="717"/>
      <c r="AP100" s="717" t="s">
        <v>693</v>
      </c>
      <c r="AQ100" s="717"/>
      <c r="AR100" s="717"/>
      <c r="AU100" s="717" t="s">
        <v>693</v>
      </c>
      <c r="AV100" s="717"/>
      <c r="AW100" s="717"/>
      <c r="AY100" s="717" t="s">
        <v>693</v>
      </c>
      <c r="AZ100" s="717"/>
      <c r="BA100" s="717"/>
    </row>
    <row r="101" spans="2:56" x14ac:dyDescent="0.25">
      <c r="B101" s="276" t="s">
        <v>299</v>
      </c>
      <c r="C101" s="246" t="s">
        <v>504</v>
      </c>
      <c r="E101" s="717" t="s">
        <v>566</v>
      </c>
      <c r="F101" s="717"/>
      <c r="G101" s="717"/>
      <c r="H101" s="717" t="s">
        <v>569</v>
      </c>
      <c r="I101" s="717"/>
      <c r="J101" s="717"/>
      <c r="AA101" s="246" t="s">
        <v>645</v>
      </c>
      <c r="AF101" s="439"/>
      <c r="AK101" s="717" t="s">
        <v>657</v>
      </c>
      <c r="AL101" s="717"/>
      <c r="AM101" s="717"/>
      <c r="AP101" s="718"/>
      <c r="AQ101" s="718"/>
      <c r="AR101" s="718"/>
      <c r="AU101" s="718"/>
      <c r="AV101" s="718"/>
      <c r="AW101" s="718"/>
      <c r="AY101" s="718"/>
      <c r="AZ101" s="718"/>
      <c r="BA101" s="718"/>
    </row>
    <row r="102" spans="2:56" ht="47.25" x14ac:dyDescent="0.25">
      <c r="B102" s="256" t="s">
        <v>159</v>
      </c>
      <c r="C102" s="257" t="s">
        <v>160</v>
      </c>
      <c r="D102" s="257" t="s">
        <v>161</v>
      </c>
      <c r="E102" s="257" t="s">
        <v>168</v>
      </c>
      <c r="F102" s="257" t="s">
        <v>167</v>
      </c>
      <c r="G102" s="257" t="s">
        <v>162</v>
      </c>
      <c r="H102" s="257" t="s">
        <v>168</v>
      </c>
      <c r="I102" s="257" t="s">
        <v>167</v>
      </c>
      <c r="J102" s="257" t="s">
        <v>162</v>
      </c>
      <c r="K102" s="257" t="s">
        <v>515</v>
      </c>
      <c r="L102" s="257" t="s">
        <v>520</v>
      </c>
      <c r="M102" s="257" t="s">
        <v>518</v>
      </c>
      <c r="N102" s="257" t="s">
        <v>548</v>
      </c>
      <c r="P102" s="257" t="s">
        <v>161</v>
      </c>
      <c r="Q102" s="257" t="s">
        <v>168</v>
      </c>
      <c r="R102" s="257" t="s">
        <v>167</v>
      </c>
      <c r="S102" s="257" t="s">
        <v>162</v>
      </c>
      <c r="U102" s="257" t="s">
        <v>161</v>
      </c>
      <c r="V102" s="257" t="s">
        <v>168</v>
      </c>
      <c r="W102" s="257" t="s">
        <v>167</v>
      </c>
      <c r="X102" s="257" t="s">
        <v>162</v>
      </c>
      <c r="Z102" s="257" t="s">
        <v>571</v>
      </c>
      <c r="AA102" s="257" t="s">
        <v>168</v>
      </c>
      <c r="AB102" s="257" t="s">
        <v>167</v>
      </c>
      <c r="AC102" s="257" t="s">
        <v>162</v>
      </c>
      <c r="AE102" s="257" t="s">
        <v>628</v>
      </c>
      <c r="AF102" s="440" t="s">
        <v>168</v>
      </c>
      <c r="AG102" s="257" t="s">
        <v>167</v>
      </c>
      <c r="AH102" s="257" t="s">
        <v>162</v>
      </c>
      <c r="AJ102" s="257" t="s">
        <v>628</v>
      </c>
      <c r="AK102" s="440" t="s">
        <v>168</v>
      </c>
      <c r="AL102" s="257" t="s">
        <v>167</v>
      </c>
      <c r="AM102" s="257" t="s">
        <v>162</v>
      </c>
      <c r="AO102" s="257" t="s">
        <v>628</v>
      </c>
      <c r="AP102" s="440" t="s">
        <v>168</v>
      </c>
      <c r="AQ102" s="257" t="s">
        <v>167</v>
      </c>
      <c r="AR102" s="257" t="s">
        <v>162</v>
      </c>
      <c r="AT102" s="257" t="s">
        <v>628</v>
      </c>
      <c r="AU102" s="440" t="s">
        <v>168</v>
      </c>
      <c r="AV102" s="257" t="s">
        <v>167</v>
      </c>
      <c r="AW102" s="257" t="s">
        <v>162</v>
      </c>
      <c r="AX102" s="257" t="s">
        <v>628</v>
      </c>
      <c r="AY102" s="440" t="s">
        <v>168</v>
      </c>
      <c r="AZ102" s="257" t="s">
        <v>167</v>
      </c>
      <c r="BA102" s="257" t="s">
        <v>162</v>
      </c>
    </row>
    <row r="103" spans="2:56" x14ac:dyDescent="0.25">
      <c r="B103" s="281">
        <v>2</v>
      </c>
      <c r="C103" s="278" t="s">
        <v>2</v>
      </c>
      <c r="D103" s="279">
        <v>2</v>
      </c>
      <c r="E103" s="280">
        <v>1993.11</v>
      </c>
      <c r="F103" s="280">
        <v>3986.22</v>
      </c>
      <c r="G103" s="280">
        <v>47834.64</v>
      </c>
      <c r="H103" s="280">
        <f>'Recepção 3'!$D$137</f>
        <v>2652.06</v>
      </c>
      <c r="I103" s="280">
        <f>H103*D103</f>
        <v>5304.12</v>
      </c>
      <c r="J103" s="280">
        <f>I103*12</f>
        <v>63649.440000000002</v>
      </c>
      <c r="K103" s="266"/>
      <c r="L103" s="264">
        <f>I103*2</f>
        <v>10608.24</v>
      </c>
      <c r="M103" s="274">
        <v>802058</v>
      </c>
      <c r="N103" s="246" t="s">
        <v>554</v>
      </c>
      <c r="P103" s="279">
        <v>2</v>
      </c>
      <c r="Q103" s="280">
        <v>2644.54</v>
      </c>
      <c r="R103" s="280">
        <f>Q103*P103</f>
        <v>5289.08</v>
      </c>
      <c r="S103" s="280">
        <f>R103*12</f>
        <v>63468.959999999999</v>
      </c>
      <c r="U103" s="279">
        <v>2</v>
      </c>
      <c r="V103" s="280">
        <f>'Recepção 3'!$D$137</f>
        <v>2652.06</v>
      </c>
      <c r="W103" s="280">
        <f>V103*U103</f>
        <v>5304.12</v>
      </c>
      <c r="X103" s="280">
        <f>W103*12</f>
        <v>63649.440000000002</v>
      </c>
      <c r="Z103" s="279">
        <v>2</v>
      </c>
      <c r="AA103" s="280">
        <v>1993.11</v>
      </c>
      <c r="AB103" s="262">
        <v>3986.22</v>
      </c>
      <c r="AC103" s="280">
        <v>47834.64</v>
      </c>
      <c r="AE103" s="279">
        <v>2</v>
      </c>
      <c r="AF103" s="450">
        <v>2236.62</v>
      </c>
      <c r="AG103" s="262">
        <v>4473.24</v>
      </c>
      <c r="AH103" s="280">
        <v>53678.879999999997</v>
      </c>
      <c r="AJ103" s="279">
        <v>2</v>
      </c>
      <c r="AK103" s="450">
        <v>2236.62</v>
      </c>
      <c r="AL103" s="262">
        <v>4473.24</v>
      </c>
      <c r="AM103" s="280">
        <v>53678.879999999997</v>
      </c>
      <c r="AO103" s="279">
        <v>2</v>
      </c>
      <c r="AP103" s="450">
        <v>2236.62</v>
      </c>
      <c r="AQ103" s="262">
        <v>4473.24</v>
      </c>
      <c r="AR103" s="280">
        <v>53678.879999999997</v>
      </c>
      <c r="AT103" s="279">
        <v>2</v>
      </c>
      <c r="AU103" s="450">
        <f>'Recepção 3'!$D$137</f>
        <v>2652.06</v>
      </c>
      <c r="AV103" s="262">
        <f>AU103*AT103</f>
        <v>5304.12</v>
      </c>
      <c r="AW103" s="280">
        <f>AV103*12</f>
        <v>63649.440000000002</v>
      </c>
      <c r="AX103" s="279">
        <v>2</v>
      </c>
      <c r="AY103" s="450">
        <f>'Recepção 3'!$D$137</f>
        <v>2652.06</v>
      </c>
      <c r="AZ103" s="262">
        <f>AY103*AX103</f>
        <v>5304.12</v>
      </c>
      <c r="BA103" s="280">
        <f>AZ103*12</f>
        <v>63649.440000000002</v>
      </c>
    </row>
    <row r="104" spans="2:56" x14ac:dyDescent="0.25">
      <c r="B104" s="258">
        <v>4</v>
      </c>
      <c r="C104" s="259" t="s">
        <v>3</v>
      </c>
      <c r="D104" s="265">
        <v>1</v>
      </c>
      <c r="E104" s="261">
        <v>2498.1</v>
      </c>
      <c r="F104" s="280">
        <v>2498.1</v>
      </c>
      <c r="G104" s="280">
        <v>29977.199999999997</v>
      </c>
      <c r="H104" s="261">
        <f>'Porteiro 3'!$D$137</f>
        <v>3330.09</v>
      </c>
      <c r="I104" s="280">
        <f>H104*D104</f>
        <v>3330.09</v>
      </c>
      <c r="J104" s="280">
        <f>I104*12</f>
        <v>39961.08</v>
      </c>
      <c r="K104" s="266"/>
      <c r="L104" s="264">
        <f>I104*2</f>
        <v>6660.18</v>
      </c>
      <c r="M104" s="274">
        <v>802058</v>
      </c>
      <c r="N104" s="246" t="s">
        <v>554</v>
      </c>
      <c r="P104" s="265">
        <v>1</v>
      </c>
      <c r="Q104" s="261">
        <v>2644.54</v>
      </c>
      <c r="R104" s="280">
        <f>Q104*P104</f>
        <v>2644.54</v>
      </c>
      <c r="S104" s="280">
        <f>R104*12</f>
        <v>31734.48</v>
      </c>
      <c r="U104" s="265">
        <v>1</v>
      </c>
      <c r="V104" s="261">
        <f>'Porteiro 3'!$D$137</f>
        <v>3330.09</v>
      </c>
      <c r="W104" s="280">
        <f>V104*U104</f>
        <v>3330.09</v>
      </c>
      <c r="X104" s="280">
        <f>W104*12</f>
        <v>39961.08</v>
      </c>
      <c r="Z104" s="265">
        <v>1</v>
      </c>
      <c r="AA104" s="261">
        <v>2498.1</v>
      </c>
      <c r="AB104" s="262">
        <v>2498.1</v>
      </c>
      <c r="AC104" s="280">
        <v>29977.199999999997</v>
      </c>
      <c r="AE104" s="265">
        <v>1</v>
      </c>
      <c r="AF104" s="441">
        <v>2817.63</v>
      </c>
      <c r="AG104" s="262">
        <v>2817.63</v>
      </c>
      <c r="AH104" s="280">
        <v>33811.56</v>
      </c>
      <c r="AJ104" s="265">
        <v>1</v>
      </c>
      <c r="AK104" s="441">
        <v>2817.63</v>
      </c>
      <c r="AL104" s="262">
        <v>2817.63</v>
      </c>
      <c r="AM104" s="280">
        <v>33811.56</v>
      </c>
      <c r="AO104" s="265">
        <v>1</v>
      </c>
      <c r="AP104" s="441">
        <v>2817.63</v>
      </c>
      <c r="AQ104" s="262">
        <v>2817.63</v>
      </c>
      <c r="AR104" s="280">
        <v>33811.56</v>
      </c>
      <c r="AT104" s="265">
        <v>1</v>
      </c>
      <c r="AU104" s="441">
        <f>'Porteiro 3'!$D$137</f>
        <v>3330.09</v>
      </c>
      <c r="AV104" s="262">
        <f>AU104*AT104</f>
        <v>3330.09</v>
      </c>
      <c r="AW104" s="280">
        <f>AV104*12</f>
        <v>39961.08</v>
      </c>
      <c r="AX104" s="265">
        <v>1</v>
      </c>
      <c r="AY104" s="441">
        <f>'Porteiro 3'!$D$137</f>
        <v>3330.09</v>
      </c>
      <c r="AZ104" s="262">
        <f>AY104*AX104</f>
        <v>3330.09</v>
      </c>
      <c r="BA104" s="280">
        <f>AZ104*12</f>
        <v>39961.08</v>
      </c>
    </row>
    <row r="105" spans="2:56" x14ac:dyDescent="0.25">
      <c r="B105" s="258">
        <v>5</v>
      </c>
      <c r="C105" s="259" t="s">
        <v>292</v>
      </c>
      <c r="D105" s="265">
        <v>1</v>
      </c>
      <c r="E105" s="261">
        <v>1733.68</v>
      </c>
      <c r="F105" s="280">
        <v>1733.68</v>
      </c>
      <c r="G105" s="280">
        <v>20804.16</v>
      </c>
      <c r="H105" s="261">
        <f>'ASG 3'!$D$137</f>
        <v>2321.3000000000002</v>
      </c>
      <c r="I105" s="280">
        <f>H105*D105</f>
        <v>2321.3000000000002</v>
      </c>
      <c r="J105" s="280">
        <f>I105*12</f>
        <v>27855.600000000002</v>
      </c>
      <c r="K105" s="263">
        <f>I105*3</f>
        <v>6963.9000000000005</v>
      </c>
      <c r="L105" s="264" t="s">
        <v>519</v>
      </c>
      <c r="M105" s="274">
        <v>801859</v>
      </c>
      <c r="N105" s="246" t="s">
        <v>549</v>
      </c>
      <c r="P105" s="265"/>
      <c r="Q105" s="261">
        <f>'ASG 3'!I137</f>
        <v>0</v>
      </c>
      <c r="R105" s="280">
        <f>Q105*P105</f>
        <v>0</v>
      </c>
      <c r="S105" s="280">
        <f>R105*12</f>
        <v>0</v>
      </c>
      <c r="U105" s="265">
        <v>0</v>
      </c>
      <c r="V105" s="261">
        <f>'ASG 3'!$D$137</f>
        <v>2321.3000000000002</v>
      </c>
      <c r="W105" s="280">
        <f>V105*U105</f>
        <v>0</v>
      </c>
      <c r="X105" s="280">
        <f>W105*12</f>
        <v>0</v>
      </c>
      <c r="Z105" s="265">
        <v>1</v>
      </c>
      <c r="AA105" s="261">
        <v>1733.68</v>
      </c>
      <c r="AB105" s="262">
        <v>1733.68</v>
      </c>
      <c r="AC105" s="280">
        <v>20804.16</v>
      </c>
      <c r="AE105" s="265">
        <v>1</v>
      </c>
      <c r="AF105" s="441">
        <v>1934.02</v>
      </c>
      <c r="AG105" s="262">
        <v>1934.02</v>
      </c>
      <c r="AH105" s="280">
        <v>23208.239999999998</v>
      </c>
      <c r="AJ105" s="265">
        <v>1</v>
      </c>
      <c r="AK105" s="441">
        <v>1934.02</v>
      </c>
      <c r="AL105" s="262">
        <v>1934.02</v>
      </c>
      <c r="AM105" s="280">
        <v>23208.239999999998</v>
      </c>
      <c r="AO105" s="496">
        <v>0</v>
      </c>
      <c r="AP105" s="458">
        <v>1934.02</v>
      </c>
      <c r="AQ105" s="456">
        <v>0</v>
      </c>
      <c r="AR105" s="457">
        <v>0</v>
      </c>
      <c r="AS105" s="267" t="s">
        <v>694</v>
      </c>
      <c r="AT105" s="596">
        <v>1</v>
      </c>
      <c r="AU105" s="597">
        <f>'ASG 3'!$D$137</f>
        <v>2321.3000000000002</v>
      </c>
      <c r="AV105" s="598">
        <f>AU105*AT105</f>
        <v>2321.3000000000002</v>
      </c>
      <c r="AW105" s="594">
        <f>AV105*12</f>
        <v>27855.600000000002</v>
      </c>
      <c r="AX105" s="596">
        <v>0</v>
      </c>
      <c r="AY105" s="597">
        <f>'ASG 3'!$D$137</f>
        <v>2321.3000000000002</v>
      </c>
      <c r="AZ105" s="598">
        <f>AY105*AX105</f>
        <v>0</v>
      </c>
      <c r="BA105" s="594">
        <f>AZ105*12</f>
        <v>0</v>
      </c>
    </row>
    <row r="106" spans="2:56" x14ac:dyDescent="0.25">
      <c r="B106" s="258">
        <v>8</v>
      </c>
      <c r="C106" s="259" t="s">
        <v>293</v>
      </c>
      <c r="D106" s="265">
        <v>1</v>
      </c>
      <c r="E106" s="261">
        <v>2981.64</v>
      </c>
      <c r="F106" s="280">
        <v>2981.64</v>
      </c>
      <c r="G106" s="280">
        <v>35779.68</v>
      </c>
      <c r="H106" s="261">
        <f>'Oficial 3'!$D$136</f>
        <v>3510.56</v>
      </c>
      <c r="I106" s="280">
        <f>H106*D106</f>
        <v>3510.56</v>
      </c>
      <c r="J106" s="280">
        <f>I106*12</f>
        <v>42126.720000000001</v>
      </c>
      <c r="K106" s="266"/>
      <c r="L106" s="264">
        <f>I106*2</f>
        <v>7021.12</v>
      </c>
      <c r="M106" s="274">
        <v>802059</v>
      </c>
      <c r="N106" s="246" t="s">
        <v>554</v>
      </c>
      <c r="P106" s="265">
        <v>1</v>
      </c>
      <c r="Q106" s="261">
        <v>2851.97</v>
      </c>
      <c r="R106" s="280">
        <f>Q106*P106</f>
        <v>2851.97</v>
      </c>
      <c r="S106" s="280">
        <f>R106*12</f>
        <v>34223.64</v>
      </c>
      <c r="U106" s="265">
        <v>1</v>
      </c>
      <c r="V106" s="261">
        <f>'Oficial 3'!$D$136</f>
        <v>3510.56</v>
      </c>
      <c r="W106" s="280">
        <f>V106*U106</f>
        <v>3510.56</v>
      </c>
      <c r="X106" s="280">
        <f>W106*12</f>
        <v>42126.720000000001</v>
      </c>
      <c r="Z106" s="265">
        <v>1</v>
      </c>
      <c r="AA106" s="261">
        <v>3231.08</v>
      </c>
      <c r="AB106" s="262">
        <v>3231.08</v>
      </c>
      <c r="AC106" s="280">
        <v>38772.959999999999</v>
      </c>
      <c r="AE106" s="265">
        <v>1</v>
      </c>
      <c r="AF106" s="441">
        <v>3231.08</v>
      </c>
      <c r="AG106" s="262">
        <v>3231.08</v>
      </c>
      <c r="AH106" s="280">
        <v>38772.959999999999</v>
      </c>
      <c r="AJ106" s="265">
        <v>1</v>
      </c>
      <c r="AK106" s="441">
        <v>2987.6</v>
      </c>
      <c r="AL106" s="262">
        <v>2987.6</v>
      </c>
      <c r="AM106" s="280">
        <v>35851.199999999997</v>
      </c>
      <c r="AO106" s="496">
        <v>2</v>
      </c>
      <c r="AP106" s="458">
        <v>2987.6</v>
      </c>
      <c r="AQ106" s="456">
        <v>5975.2</v>
      </c>
      <c r="AR106" s="457">
        <v>71702.399999999994</v>
      </c>
      <c r="AS106" s="267" t="s">
        <v>695</v>
      </c>
      <c r="AT106" s="260">
        <v>2</v>
      </c>
      <c r="AU106" s="446">
        <f>'Oficial 3'!$D$136</f>
        <v>3510.56</v>
      </c>
      <c r="AV106" s="310">
        <f>AU106*AT106</f>
        <v>7021.12</v>
      </c>
      <c r="AW106" s="325">
        <f>AV106*12</f>
        <v>84253.440000000002</v>
      </c>
      <c r="AX106" s="260">
        <v>2</v>
      </c>
      <c r="AY106" s="446">
        <f>'Oficial 3'!$D$136</f>
        <v>3510.56</v>
      </c>
      <c r="AZ106" s="310">
        <f>AY106*AX106</f>
        <v>7021.12</v>
      </c>
      <c r="BA106" s="325">
        <f>AZ106*12</f>
        <v>84253.440000000002</v>
      </c>
    </row>
    <row r="107" spans="2:56" x14ac:dyDescent="0.25">
      <c r="B107" s="716"/>
      <c r="C107" s="716"/>
      <c r="D107" s="268">
        <f>SUM(D103:D106)</f>
        <v>5</v>
      </c>
      <c r="E107" s="269"/>
      <c r="F107" s="271">
        <v>11199.64</v>
      </c>
      <c r="G107" s="271">
        <v>134395.68</v>
      </c>
      <c r="H107" s="269"/>
      <c r="I107" s="271">
        <f>SUM(I103:I106)</f>
        <v>14466.069999999998</v>
      </c>
      <c r="J107" s="271">
        <f>SUM(J103:J106)</f>
        <v>173592.84</v>
      </c>
      <c r="K107" s="271">
        <f>SUM(K103:K106)</f>
        <v>6963.9000000000005</v>
      </c>
      <c r="L107" s="271">
        <f>SUM(L103:L106)</f>
        <v>24289.539999999997</v>
      </c>
      <c r="P107" s="268">
        <f>SUM(P103:P106)</f>
        <v>4</v>
      </c>
      <c r="Q107" s="269"/>
      <c r="R107" s="271">
        <f>SUM(R103:R106)</f>
        <v>10785.59</v>
      </c>
      <c r="S107" s="271">
        <f>SUM(S103:S106)</f>
        <v>129427.08</v>
      </c>
      <c r="U107" s="268">
        <f>SUM(U103:U106)</f>
        <v>4</v>
      </c>
      <c r="V107" s="269"/>
      <c r="W107" s="271">
        <f>SUM(W103:W106)</f>
        <v>12144.769999999999</v>
      </c>
      <c r="X107" s="271">
        <f>SUM(X103:X106)</f>
        <v>145737.24</v>
      </c>
      <c r="Z107" s="423">
        <v>5</v>
      </c>
      <c r="AA107" s="269"/>
      <c r="AB107" s="271">
        <v>11449.08</v>
      </c>
      <c r="AC107" s="271">
        <v>137388.96</v>
      </c>
      <c r="AE107" s="464">
        <v>5</v>
      </c>
      <c r="AF107" s="443"/>
      <c r="AG107" s="271">
        <v>12455.97</v>
      </c>
      <c r="AH107" s="271">
        <v>149471.63999999998</v>
      </c>
      <c r="AJ107" s="470">
        <v>5</v>
      </c>
      <c r="AK107" s="443"/>
      <c r="AL107" s="271">
        <v>12212.49</v>
      </c>
      <c r="AM107" s="271">
        <v>146549.88</v>
      </c>
      <c r="AO107" s="575">
        <v>5</v>
      </c>
      <c r="AP107" s="443"/>
      <c r="AQ107" s="270">
        <v>13266.07</v>
      </c>
      <c r="AR107" s="271">
        <v>159192.84</v>
      </c>
      <c r="AT107" s="376">
        <f>SUM(AT103:AT106)</f>
        <v>6</v>
      </c>
      <c r="AU107" s="443"/>
      <c r="AV107" s="270">
        <f>SUM(AV103:AV106)</f>
        <v>17976.629999999997</v>
      </c>
      <c r="AW107" s="271">
        <f>SUM(AW103:AW106)</f>
        <v>215719.56</v>
      </c>
      <c r="AX107" s="608">
        <f>SUM(AX103:AX106)</f>
        <v>5</v>
      </c>
      <c r="AY107" s="443"/>
      <c r="AZ107" s="270">
        <f>SUM(AZ103:AZ106)</f>
        <v>15655.329999999998</v>
      </c>
      <c r="BA107" s="271">
        <f>SUM(BA103:BA106)</f>
        <v>187863.96000000002</v>
      </c>
    </row>
    <row r="108" spans="2:56" x14ac:dyDescent="0.25">
      <c r="AA108" s="717" t="s">
        <v>570</v>
      </c>
      <c r="AB108" s="717"/>
      <c r="AC108" s="717"/>
      <c r="AF108" s="717" t="s">
        <v>627</v>
      </c>
      <c r="AG108" s="717"/>
      <c r="AH108" s="717"/>
      <c r="AK108" s="717" t="s">
        <v>657</v>
      </c>
      <c r="AL108" s="717"/>
      <c r="AM108" s="717"/>
      <c r="AP108" s="717" t="s">
        <v>693</v>
      </c>
      <c r="AQ108" s="717"/>
      <c r="AR108" s="717"/>
      <c r="AU108" s="717" t="s">
        <v>693</v>
      </c>
      <c r="AV108" s="717"/>
      <c r="AW108" s="717"/>
      <c r="AY108" s="717" t="s">
        <v>693</v>
      </c>
      <c r="AZ108" s="717"/>
      <c r="BA108" s="717"/>
    </row>
    <row r="109" spans="2:56" ht="16.5" thickBot="1" x14ac:dyDescent="0.3">
      <c r="B109" s="276" t="s">
        <v>300</v>
      </c>
      <c r="C109" s="282" t="s">
        <v>506</v>
      </c>
      <c r="E109" s="717" t="s">
        <v>566</v>
      </c>
      <c r="F109" s="717"/>
      <c r="G109" s="717"/>
      <c r="H109" s="717" t="s">
        <v>569</v>
      </c>
      <c r="I109" s="717"/>
      <c r="J109" s="717"/>
      <c r="P109" s="246" t="s">
        <v>516</v>
      </c>
      <c r="AA109" s="246" t="s">
        <v>645</v>
      </c>
      <c r="AF109" s="439"/>
      <c r="AK109" s="439"/>
    </row>
    <row r="110" spans="2:56" ht="48" thickBot="1" x14ac:dyDescent="0.3">
      <c r="B110" s="256" t="s">
        <v>159</v>
      </c>
      <c r="C110" s="257" t="s">
        <v>160</v>
      </c>
      <c r="D110" s="257" t="s">
        <v>161</v>
      </c>
      <c r="E110" s="257" t="s">
        <v>168</v>
      </c>
      <c r="F110" s="257" t="s">
        <v>167</v>
      </c>
      <c r="G110" s="257" t="s">
        <v>162</v>
      </c>
      <c r="H110" s="257" t="s">
        <v>168</v>
      </c>
      <c r="I110" s="257" t="s">
        <v>167</v>
      </c>
      <c r="J110" s="257" t="s">
        <v>162</v>
      </c>
      <c r="L110" s="257" t="s">
        <v>520</v>
      </c>
      <c r="M110" s="257" t="s">
        <v>518</v>
      </c>
      <c r="N110" s="257" t="s">
        <v>548</v>
      </c>
      <c r="P110" s="283" t="s">
        <v>161</v>
      </c>
      <c r="Q110" s="284" t="s">
        <v>168</v>
      </c>
      <c r="R110" s="284" t="s">
        <v>167</v>
      </c>
      <c r="S110" s="284" t="s">
        <v>162</v>
      </c>
      <c r="U110" s="284" t="s">
        <v>161</v>
      </c>
      <c r="V110" s="284" t="s">
        <v>168</v>
      </c>
      <c r="W110" s="284" t="s">
        <v>167</v>
      </c>
      <c r="X110" s="284" t="s">
        <v>162</v>
      </c>
      <c r="Z110" s="257" t="s">
        <v>571</v>
      </c>
      <c r="AA110" s="257" t="s">
        <v>168</v>
      </c>
      <c r="AB110" s="257" t="s">
        <v>167</v>
      </c>
      <c r="AC110" s="257" t="s">
        <v>162</v>
      </c>
      <c r="AE110" s="257" t="s">
        <v>628</v>
      </c>
      <c r="AF110" s="440" t="s">
        <v>168</v>
      </c>
      <c r="AG110" s="257" t="s">
        <v>167</v>
      </c>
      <c r="AH110" s="257" t="s">
        <v>162</v>
      </c>
      <c r="AJ110" s="257" t="s">
        <v>628</v>
      </c>
      <c r="AK110" s="440" t="s">
        <v>168</v>
      </c>
      <c r="AL110" s="257" t="s">
        <v>167</v>
      </c>
      <c r="AM110" s="257" t="s">
        <v>162</v>
      </c>
      <c r="AO110" s="257" t="s">
        <v>628</v>
      </c>
      <c r="AP110" s="440" t="s">
        <v>168</v>
      </c>
      <c r="AQ110" s="257" t="s">
        <v>167</v>
      </c>
      <c r="AR110" s="257" t="s">
        <v>162</v>
      </c>
      <c r="AT110" s="257" t="s">
        <v>628</v>
      </c>
      <c r="AU110" s="440" t="s">
        <v>168</v>
      </c>
      <c r="AV110" s="257" t="s">
        <v>167</v>
      </c>
      <c r="AW110" s="257" t="s">
        <v>162</v>
      </c>
      <c r="AX110" s="257" t="s">
        <v>628</v>
      </c>
      <c r="AY110" s="440" t="s">
        <v>168</v>
      </c>
      <c r="AZ110" s="257" t="s">
        <v>167</v>
      </c>
      <c r="BA110" s="257" t="s">
        <v>162</v>
      </c>
    </row>
    <row r="111" spans="2:56" ht="16.5" thickBot="1" x14ac:dyDescent="0.3">
      <c r="B111" s="631">
        <v>4</v>
      </c>
      <c r="C111" s="632" t="s">
        <v>3</v>
      </c>
      <c r="D111" s="257">
        <v>0</v>
      </c>
      <c r="E111" s="257"/>
      <c r="F111" s="257"/>
      <c r="G111" s="257"/>
      <c r="H111" s="257"/>
      <c r="I111" s="257"/>
      <c r="J111" s="257"/>
      <c r="L111" s="257"/>
      <c r="M111" s="257"/>
      <c r="N111" s="574"/>
      <c r="P111" s="589"/>
      <c r="Q111" s="590"/>
      <c r="R111" s="590"/>
      <c r="S111" s="590"/>
      <c r="U111" s="590"/>
      <c r="V111" s="590"/>
      <c r="W111" s="590"/>
      <c r="X111" s="590"/>
      <c r="Z111" s="257"/>
      <c r="AA111" s="257"/>
      <c r="AB111" s="257"/>
      <c r="AC111" s="257"/>
      <c r="AE111" s="257"/>
      <c r="AF111" s="440"/>
      <c r="AG111" s="257"/>
      <c r="AH111" s="257"/>
      <c r="AJ111" s="257"/>
      <c r="AK111" s="440"/>
      <c r="AL111" s="257"/>
      <c r="AM111" s="257"/>
      <c r="AO111" s="257"/>
      <c r="AP111" s="440"/>
      <c r="AQ111" s="257"/>
      <c r="AR111" s="257"/>
      <c r="AT111" s="591">
        <v>1</v>
      </c>
      <c r="AU111" s="592">
        <f>'Porteiro 5'!D137</f>
        <v>3436.5</v>
      </c>
      <c r="AV111" s="593">
        <f>AU111*AT111</f>
        <v>3436.5</v>
      </c>
      <c r="AW111" s="594">
        <f>AV111*12</f>
        <v>41238</v>
      </c>
      <c r="AX111" s="591">
        <v>1</v>
      </c>
      <c r="AY111" s="592">
        <f>'Porteiro 5'!D137</f>
        <v>3436.5</v>
      </c>
      <c r="AZ111" s="593">
        <f>AY111*AX111</f>
        <v>3436.5</v>
      </c>
      <c r="BA111" s="594">
        <f>AZ111*12</f>
        <v>41238</v>
      </c>
      <c r="BB111" s="595"/>
      <c r="BC111" s="595"/>
      <c r="BD111" s="595"/>
    </row>
    <row r="112" spans="2:56" ht="16.5" thickBot="1" x14ac:dyDescent="0.3">
      <c r="B112" s="281">
        <v>5</v>
      </c>
      <c r="C112" s="278" t="s">
        <v>292</v>
      </c>
      <c r="D112" s="279">
        <v>1</v>
      </c>
      <c r="E112" s="280">
        <v>1774.11</v>
      </c>
      <c r="F112" s="280">
        <v>1774.11</v>
      </c>
      <c r="G112" s="280">
        <v>21289.32</v>
      </c>
      <c r="H112" s="280">
        <f>'ASG 5'!$D$137</f>
        <v>2375.4299999999998</v>
      </c>
      <c r="I112" s="280">
        <f>H112*D112</f>
        <v>2375.4299999999998</v>
      </c>
      <c r="J112" s="280">
        <f>I112*12</f>
        <v>28505.159999999996</v>
      </c>
      <c r="L112" s="264">
        <f>I112*2</f>
        <v>4750.8599999999997</v>
      </c>
      <c r="M112" s="274">
        <v>802060</v>
      </c>
      <c r="N112" s="246" t="s">
        <v>554</v>
      </c>
      <c r="P112" s="285">
        <v>1</v>
      </c>
      <c r="Q112" s="286">
        <v>2413.92</v>
      </c>
      <c r="R112" s="286">
        <f>Q112*P112</f>
        <v>2413.92</v>
      </c>
      <c r="S112" s="286">
        <f>R112*12</f>
        <v>28967.040000000001</v>
      </c>
      <c r="U112" s="287">
        <v>1</v>
      </c>
      <c r="V112" s="286">
        <f>'ASG 5'!$D$137</f>
        <v>2375.4299999999998</v>
      </c>
      <c r="W112" s="286">
        <f>V112*U112</f>
        <v>2375.4299999999998</v>
      </c>
      <c r="X112" s="286">
        <f>W112*12</f>
        <v>28505.159999999996</v>
      </c>
      <c r="Z112" s="279">
        <v>1</v>
      </c>
      <c r="AA112" s="280">
        <v>1774.11</v>
      </c>
      <c r="AB112" s="262">
        <v>1774.11</v>
      </c>
      <c r="AC112" s="280">
        <v>21289.32</v>
      </c>
      <c r="AE112" s="279">
        <v>1</v>
      </c>
      <c r="AF112" s="450">
        <v>1979.13</v>
      </c>
      <c r="AG112" s="262">
        <v>1979.13</v>
      </c>
      <c r="AH112" s="280">
        <v>23749.56</v>
      </c>
      <c r="AJ112" s="279">
        <v>1</v>
      </c>
      <c r="AK112" s="450">
        <v>1979.13</v>
      </c>
      <c r="AL112" s="262">
        <v>1979.13</v>
      </c>
      <c r="AM112" s="280">
        <v>23749.56</v>
      </c>
      <c r="AO112" s="279">
        <v>1</v>
      </c>
      <c r="AP112" s="450">
        <v>1979.13</v>
      </c>
      <c r="AQ112" s="262">
        <v>1979.13</v>
      </c>
      <c r="AR112" s="280">
        <v>23749.56</v>
      </c>
      <c r="AT112" s="279">
        <v>1</v>
      </c>
      <c r="AU112" s="450">
        <f>'ASG 5'!$D$137</f>
        <v>2375.4299999999998</v>
      </c>
      <c r="AV112" s="262">
        <f>AU112*AT112</f>
        <v>2375.4299999999998</v>
      </c>
      <c r="AW112" s="280">
        <f>AV112*12</f>
        <v>28505.159999999996</v>
      </c>
      <c r="AX112" s="279">
        <v>1</v>
      </c>
      <c r="AY112" s="450">
        <f>'ASG 5'!$D$137</f>
        <v>2375.4299999999998</v>
      </c>
      <c r="AZ112" s="262">
        <f>AY112*AX112</f>
        <v>2375.4299999999998</v>
      </c>
      <c r="BA112" s="280">
        <f>AZ112*12</f>
        <v>28505.159999999996</v>
      </c>
    </row>
    <row r="113" spans="2:53" ht="16.5" thickBot="1" x14ac:dyDescent="0.3">
      <c r="B113" s="258">
        <v>8</v>
      </c>
      <c r="C113" s="259" t="s">
        <v>293</v>
      </c>
      <c r="D113" s="265">
        <v>1</v>
      </c>
      <c r="E113" s="261">
        <v>3051.18</v>
      </c>
      <c r="F113" s="280">
        <v>3051.18</v>
      </c>
      <c r="G113" s="280">
        <v>36614.159999999996</v>
      </c>
      <c r="H113" s="261">
        <f>'Oficial 5'!$D$136</f>
        <v>3592.45</v>
      </c>
      <c r="I113" s="280">
        <f>H113*D113</f>
        <v>3592.45</v>
      </c>
      <c r="J113" s="280">
        <f>I113*12</f>
        <v>43109.399999999994</v>
      </c>
      <c r="L113" s="264">
        <f>I113*2</f>
        <v>7184.9</v>
      </c>
      <c r="M113" s="274">
        <v>802061</v>
      </c>
      <c r="N113" s="246" t="s">
        <v>554</v>
      </c>
      <c r="P113" s="288">
        <v>1</v>
      </c>
      <c r="Q113" s="289">
        <v>2851.97</v>
      </c>
      <c r="R113" s="286">
        <f>Q113*P113</f>
        <v>2851.97</v>
      </c>
      <c r="S113" s="286">
        <f>R113*12</f>
        <v>34223.64</v>
      </c>
      <c r="U113" s="290">
        <v>1</v>
      </c>
      <c r="V113" s="289">
        <f>'Oficial 5'!$D$136</f>
        <v>3592.45</v>
      </c>
      <c r="W113" s="286">
        <f>V113*U113</f>
        <v>3592.45</v>
      </c>
      <c r="X113" s="286">
        <f>W113*12</f>
        <v>43109.399999999994</v>
      </c>
      <c r="Z113" s="265">
        <v>1</v>
      </c>
      <c r="AA113" s="261">
        <v>3306.45</v>
      </c>
      <c r="AB113" s="262">
        <v>3306.45</v>
      </c>
      <c r="AC113" s="280">
        <v>39677.399999999994</v>
      </c>
      <c r="AE113" s="265">
        <v>1</v>
      </c>
      <c r="AF113" s="441">
        <v>3306.45</v>
      </c>
      <c r="AG113" s="262">
        <v>3306.45</v>
      </c>
      <c r="AH113" s="280">
        <v>39677.399999999994</v>
      </c>
      <c r="AJ113" s="265">
        <v>1</v>
      </c>
      <c r="AK113" s="441">
        <v>3057.26</v>
      </c>
      <c r="AL113" s="262">
        <v>3057.26</v>
      </c>
      <c r="AM113" s="280">
        <v>36687.120000000003</v>
      </c>
      <c r="AO113" s="265">
        <v>1</v>
      </c>
      <c r="AP113" s="441">
        <v>3057.26</v>
      </c>
      <c r="AQ113" s="262">
        <v>3057.26</v>
      </c>
      <c r="AR113" s="280">
        <v>36687.120000000003</v>
      </c>
      <c r="AT113" s="265">
        <v>1</v>
      </c>
      <c r="AU113" s="441">
        <f>'Oficial 5'!$D$136</f>
        <v>3592.45</v>
      </c>
      <c r="AV113" s="262">
        <f>AU113*AT113</f>
        <v>3592.45</v>
      </c>
      <c r="AW113" s="280">
        <f>AV113*12</f>
        <v>43109.399999999994</v>
      </c>
      <c r="AX113" s="265">
        <v>1</v>
      </c>
      <c r="AY113" s="441">
        <f>'Oficial 5'!$D$136</f>
        <v>3592.45</v>
      </c>
      <c r="AZ113" s="262">
        <f>AY113*AX113</f>
        <v>3592.45</v>
      </c>
      <c r="BA113" s="280">
        <f>AZ113*12</f>
        <v>43109.399999999994</v>
      </c>
    </row>
    <row r="114" spans="2:53" ht="16.5" thickBot="1" x14ac:dyDescent="0.3">
      <c r="B114" s="258">
        <v>9</v>
      </c>
      <c r="C114" s="259" t="s">
        <v>296</v>
      </c>
      <c r="D114" s="265">
        <v>1</v>
      </c>
      <c r="E114" s="261">
        <v>2372.63</v>
      </c>
      <c r="F114" s="280">
        <v>2372.63</v>
      </c>
      <c r="G114" s="280">
        <v>28471.56</v>
      </c>
      <c r="H114" s="261">
        <f>'Op.de maq. 5'!$D$137</f>
        <v>3135.63</v>
      </c>
      <c r="I114" s="280">
        <f>H114*D114</f>
        <v>3135.63</v>
      </c>
      <c r="J114" s="280">
        <f>I114*12</f>
        <v>37627.56</v>
      </c>
      <c r="L114" s="264">
        <f>I114*2</f>
        <v>6271.26</v>
      </c>
      <c r="M114" s="274">
        <v>802060</v>
      </c>
      <c r="N114" s="246" t="s">
        <v>554</v>
      </c>
      <c r="P114" s="288"/>
      <c r="Q114" s="289">
        <f>'Op.de maq. 5'!I137</f>
        <v>0</v>
      </c>
      <c r="R114" s="286">
        <f>Q114*P114</f>
        <v>0</v>
      </c>
      <c r="S114" s="286">
        <f>R114*12</f>
        <v>0</v>
      </c>
      <c r="U114" s="290">
        <v>0</v>
      </c>
      <c r="V114" s="289">
        <f>'Op.de maq. 5'!$D$137</f>
        <v>3135.63</v>
      </c>
      <c r="W114" s="286">
        <f>V114*U114</f>
        <v>0</v>
      </c>
      <c r="X114" s="286">
        <f>W114*12</f>
        <v>0</v>
      </c>
      <c r="Z114" s="265">
        <v>1</v>
      </c>
      <c r="AA114" s="261">
        <v>2372.63</v>
      </c>
      <c r="AB114" s="262">
        <v>2372.63</v>
      </c>
      <c r="AC114" s="280">
        <v>28471.56</v>
      </c>
      <c r="AE114" s="265">
        <v>1</v>
      </c>
      <c r="AF114" s="441">
        <v>2649.59</v>
      </c>
      <c r="AG114" s="262">
        <v>2649.59</v>
      </c>
      <c r="AH114" s="280">
        <v>31795.08</v>
      </c>
      <c r="AJ114" s="265">
        <v>1</v>
      </c>
      <c r="AK114" s="441">
        <v>2649.59</v>
      </c>
      <c r="AL114" s="262">
        <v>2649.59</v>
      </c>
      <c r="AM114" s="280">
        <v>31795.08</v>
      </c>
      <c r="AO114" s="265">
        <v>1</v>
      </c>
      <c r="AP114" s="441">
        <v>2649.59</v>
      </c>
      <c r="AQ114" s="262">
        <v>2649.59</v>
      </c>
      <c r="AR114" s="280">
        <v>31795.08</v>
      </c>
      <c r="AT114" s="265">
        <v>1</v>
      </c>
      <c r="AU114" s="441">
        <f>'Op.de maq. 5'!$D$137</f>
        <v>3135.63</v>
      </c>
      <c r="AV114" s="262">
        <f>AU114*AT114</f>
        <v>3135.63</v>
      </c>
      <c r="AW114" s="280">
        <f>AV114*12</f>
        <v>37627.56</v>
      </c>
      <c r="AX114" s="265">
        <v>0</v>
      </c>
      <c r="AY114" s="441">
        <f>'Op.de maq. 5'!$D$137</f>
        <v>3135.63</v>
      </c>
      <c r="AZ114" s="262">
        <f>AY114*AX114</f>
        <v>0</v>
      </c>
      <c r="BA114" s="280">
        <f>AZ114*12</f>
        <v>0</v>
      </c>
    </row>
    <row r="115" spans="2:53" ht="16.5" thickBot="1" x14ac:dyDescent="0.3">
      <c r="B115" s="716"/>
      <c r="C115" s="716"/>
      <c r="D115" s="268">
        <f>SUM(D112:D114)</f>
        <v>3</v>
      </c>
      <c r="E115" s="269"/>
      <c r="F115" s="271">
        <v>7197.92</v>
      </c>
      <c r="G115" s="271">
        <v>86375.039999999994</v>
      </c>
      <c r="H115" s="269"/>
      <c r="I115" s="271">
        <f>SUM(I112:I114)</f>
        <v>9103.5099999999984</v>
      </c>
      <c r="J115" s="271">
        <f>SUM(J112:J114)</f>
        <v>109242.12</v>
      </c>
      <c r="L115" s="271">
        <f>SUM(L112:L114)</f>
        <v>18207.019999999997</v>
      </c>
      <c r="P115" s="291">
        <f>SUM(P112:P114)</f>
        <v>2</v>
      </c>
      <c r="Q115" s="292"/>
      <c r="R115" s="293">
        <f>SUM(R112:R114)</f>
        <v>5265.8899999999994</v>
      </c>
      <c r="S115" s="293">
        <f>SUM(S112:S114)</f>
        <v>63190.68</v>
      </c>
      <c r="U115" s="294">
        <f>SUM(U112:U114)</f>
        <v>2</v>
      </c>
      <c r="V115" s="292"/>
      <c r="W115" s="293">
        <f>SUM(W112:W114)</f>
        <v>5967.8799999999992</v>
      </c>
      <c r="X115" s="293">
        <f>SUM(X112:X114)</f>
        <v>71614.559999999998</v>
      </c>
      <c r="Z115" s="423">
        <v>3</v>
      </c>
      <c r="AA115" s="269"/>
      <c r="AB115" s="270">
        <v>7453.19</v>
      </c>
      <c r="AC115" s="271">
        <v>89438.28</v>
      </c>
      <c r="AE115" s="464">
        <v>3</v>
      </c>
      <c r="AF115" s="443"/>
      <c r="AG115" s="270">
        <v>7935.17</v>
      </c>
      <c r="AH115" s="271">
        <v>95222.04</v>
      </c>
      <c r="AJ115" s="470">
        <v>3</v>
      </c>
      <c r="AK115" s="443"/>
      <c r="AL115" s="270">
        <v>7685.9800000000005</v>
      </c>
      <c r="AM115" s="271">
        <v>92231.760000000009</v>
      </c>
      <c r="AO115" s="575">
        <v>3</v>
      </c>
      <c r="AP115" s="443"/>
      <c r="AQ115" s="270">
        <v>7685.9800000000005</v>
      </c>
      <c r="AR115" s="271">
        <v>92231.760000000009</v>
      </c>
      <c r="AT115" s="376">
        <f>SUM(AT112:AT114)</f>
        <v>3</v>
      </c>
      <c r="AU115" s="443"/>
      <c r="AV115" s="270">
        <f>SUM(AV112:AV114)</f>
        <v>9103.5099999999984</v>
      </c>
      <c r="AW115" s="271">
        <f>SUM(AW111:AW114)</f>
        <v>150480.12</v>
      </c>
      <c r="AX115" s="608">
        <f>SUM(AX112:AX114)</f>
        <v>2</v>
      </c>
      <c r="AY115" s="443"/>
      <c r="AZ115" s="269">
        <f>SUM(AZ111:AZ114)</f>
        <v>9404.380000000001</v>
      </c>
      <c r="BA115" s="271">
        <f>SUM(BA111:BA114)</f>
        <v>112852.56</v>
      </c>
    </row>
    <row r="116" spans="2:53" x14ac:dyDescent="0.25">
      <c r="AA116" s="717" t="s">
        <v>570</v>
      </c>
      <c r="AB116" s="717"/>
      <c r="AC116" s="717"/>
      <c r="AF116" s="717" t="s">
        <v>627</v>
      </c>
      <c r="AG116" s="717"/>
      <c r="AH116" s="717"/>
      <c r="AK116" s="717" t="s">
        <v>657</v>
      </c>
      <c r="AL116" s="717"/>
      <c r="AM116" s="717"/>
      <c r="AP116" s="717" t="s">
        <v>693</v>
      </c>
      <c r="AQ116" s="717"/>
      <c r="AR116" s="717"/>
      <c r="AU116" s="717" t="s">
        <v>693</v>
      </c>
      <c r="AV116" s="717"/>
      <c r="AW116" s="717"/>
      <c r="AY116" s="717" t="s">
        <v>693</v>
      </c>
      <c r="AZ116" s="717"/>
      <c r="BA116" s="717"/>
    </row>
    <row r="117" spans="2:53" x14ac:dyDescent="0.25">
      <c r="B117" s="276" t="s">
        <v>510</v>
      </c>
      <c r="C117" s="282" t="s">
        <v>504</v>
      </c>
      <c r="E117" s="717" t="s">
        <v>566</v>
      </c>
      <c r="F117" s="717"/>
      <c r="G117" s="717"/>
      <c r="H117" s="717" t="s">
        <v>569</v>
      </c>
      <c r="I117" s="717"/>
      <c r="J117" s="717"/>
      <c r="AA117" s="246" t="s">
        <v>645</v>
      </c>
      <c r="AF117" s="439"/>
      <c r="AK117" s="717" t="s">
        <v>657</v>
      </c>
      <c r="AL117" s="717"/>
      <c r="AM117" s="717"/>
      <c r="AP117" s="718"/>
      <c r="AQ117" s="718"/>
      <c r="AR117" s="718"/>
      <c r="AU117" s="718"/>
      <c r="AV117" s="718"/>
      <c r="AW117" s="718"/>
      <c r="AY117" s="718"/>
      <c r="AZ117" s="718"/>
      <c r="BA117" s="718"/>
    </row>
    <row r="118" spans="2:53" ht="47.25" x14ac:dyDescent="0.25">
      <c r="B118" s="256" t="s">
        <v>159</v>
      </c>
      <c r="C118" s="257" t="s">
        <v>160</v>
      </c>
      <c r="D118" s="257" t="s">
        <v>161</v>
      </c>
      <c r="E118" s="257" t="s">
        <v>168</v>
      </c>
      <c r="F118" s="257" t="s">
        <v>167</v>
      </c>
      <c r="G118" s="257" t="s">
        <v>162</v>
      </c>
      <c r="H118" s="257" t="s">
        <v>168</v>
      </c>
      <c r="I118" s="257" t="s">
        <v>167</v>
      </c>
      <c r="J118" s="257" t="s">
        <v>162</v>
      </c>
      <c r="K118" s="257" t="s">
        <v>515</v>
      </c>
      <c r="L118" s="257" t="s">
        <v>520</v>
      </c>
      <c r="M118" s="257" t="s">
        <v>518</v>
      </c>
      <c r="N118" s="257" t="s">
        <v>548</v>
      </c>
      <c r="P118" s="257" t="s">
        <v>161</v>
      </c>
      <c r="Q118" s="257" t="s">
        <v>168</v>
      </c>
      <c r="R118" s="257" t="s">
        <v>167</v>
      </c>
      <c r="S118" s="257" t="s">
        <v>162</v>
      </c>
      <c r="U118" s="257" t="s">
        <v>161</v>
      </c>
      <c r="V118" s="257" t="s">
        <v>168</v>
      </c>
      <c r="W118" s="257" t="s">
        <v>167</v>
      </c>
      <c r="X118" s="257" t="s">
        <v>162</v>
      </c>
      <c r="Z118" s="257" t="s">
        <v>571</v>
      </c>
      <c r="AA118" s="257" t="s">
        <v>168</v>
      </c>
      <c r="AB118" s="257" t="s">
        <v>167</v>
      </c>
      <c r="AC118" s="257" t="s">
        <v>162</v>
      </c>
      <c r="AE118" s="257" t="s">
        <v>628</v>
      </c>
      <c r="AF118" s="440" t="s">
        <v>168</v>
      </c>
      <c r="AG118" s="257" t="s">
        <v>167</v>
      </c>
      <c r="AH118" s="257" t="s">
        <v>162</v>
      </c>
      <c r="AJ118" s="257" t="s">
        <v>628</v>
      </c>
      <c r="AK118" s="440" t="s">
        <v>168</v>
      </c>
      <c r="AL118" s="257" t="s">
        <v>167</v>
      </c>
      <c r="AM118" s="257" t="s">
        <v>162</v>
      </c>
      <c r="AO118" s="257" t="s">
        <v>628</v>
      </c>
      <c r="AP118" s="440" t="s">
        <v>168</v>
      </c>
      <c r="AQ118" s="257" t="s">
        <v>167</v>
      </c>
      <c r="AR118" s="257" t="s">
        <v>162</v>
      </c>
      <c r="AT118" s="257" t="s">
        <v>628</v>
      </c>
      <c r="AU118" s="440" t="s">
        <v>168</v>
      </c>
      <c r="AV118" s="257" t="s">
        <v>167</v>
      </c>
      <c r="AW118" s="257" t="s">
        <v>162</v>
      </c>
      <c r="AX118" s="257" t="s">
        <v>628</v>
      </c>
      <c r="AY118" s="440" t="s">
        <v>168</v>
      </c>
      <c r="AZ118" s="257" t="s">
        <v>167</v>
      </c>
      <c r="BA118" s="257" t="s">
        <v>162</v>
      </c>
    </row>
    <row r="119" spans="2:53" x14ac:dyDescent="0.25">
      <c r="B119" s="281">
        <v>2</v>
      </c>
      <c r="C119" s="278" t="s">
        <v>2</v>
      </c>
      <c r="D119" s="279">
        <v>1</v>
      </c>
      <c r="E119" s="280">
        <v>1993.11</v>
      </c>
      <c r="F119" s="280">
        <v>1993.11</v>
      </c>
      <c r="G119" s="280">
        <v>23917.32</v>
      </c>
      <c r="H119" s="280">
        <f>'Recepção 3'!$D$137</f>
        <v>2652.06</v>
      </c>
      <c r="I119" s="280">
        <f t="shared" ref="I119:I124" si="41">H119*D119</f>
        <v>2652.06</v>
      </c>
      <c r="J119" s="280">
        <f t="shared" ref="J119:J124" si="42">I119*12</f>
        <v>31824.720000000001</v>
      </c>
      <c r="K119" s="263">
        <f>I119*3</f>
        <v>7956.18</v>
      </c>
      <c r="L119" s="264" t="s">
        <v>519</v>
      </c>
      <c r="M119" s="274">
        <v>801860</v>
      </c>
      <c r="N119" s="246" t="s">
        <v>549</v>
      </c>
      <c r="P119" s="279"/>
      <c r="Q119" s="280">
        <f>'Recepção 3'!I137</f>
        <v>0</v>
      </c>
      <c r="R119" s="280">
        <f>Q119*P119</f>
        <v>0</v>
      </c>
      <c r="S119" s="280">
        <f>R119*12</f>
        <v>0</v>
      </c>
      <c r="U119" s="279">
        <v>0</v>
      </c>
      <c r="V119" s="280">
        <f>'Recepção 3'!$D$137</f>
        <v>2652.06</v>
      </c>
      <c r="W119" s="280">
        <f>V119*U119</f>
        <v>0</v>
      </c>
      <c r="X119" s="280">
        <f>W119*12</f>
        <v>0</v>
      </c>
      <c r="Z119" s="279">
        <v>1</v>
      </c>
      <c r="AA119" s="280">
        <v>1993.11</v>
      </c>
      <c r="AB119" s="262">
        <v>1993.11</v>
      </c>
      <c r="AC119" s="280">
        <v>23917.32</v>
      </c>
      <c r="AE119" s="279">
        <v>1</v>
      </c>
      <c r="AF119" s="450">
        <v>2236.62</v>
      </c>
      <c r="AG119" s="262">
        <v>2236.62</v>
      </c>
      <c r="AH119" s="280">
        <v>26839.439999999999</v>
      </c>
      <c r="AJ119" s="279">
        <v>1</v>
      </c>
      <c r="AK119" s="450">
        <v>2236.62</v>
      </c>
      <c r="AL119" s="262">
        <v>2236.62</v>
      </c>
      <c r="AM119" s="280">
        <v>26839.439999999999</v>
      </c>
      <c r="AO119" s="279">
        <v>1</v>
      </c>
      <c r="AP119" s="450">
        <v>2236.62</v>
      </c>
      <c r="AQ119" s="262">
        <v>2236.62</v>
      </c>
      <c r="AR119" s="280">
        <v>26839.439999999999</v>
      </c>
      <c r="AT119" s="279">
        <v>1</v>
      </c>
      <c r="AU119" s="450">
        <f>'Recepção 3'!$D$137</f>
        <v>2652.06</v>
      </c>
      <c r="AV119" s="262">
        <f t="shared" ref="AV119:AV124" si="43">AU119*AT119</f>
        <v>2652.06</v>
      </c>
      <c r="AW119" s="280">
        <f t="shared" ref="AW119:AW124" si="44">AV119*12</f>
        <v>31824.720000000001</v>
      </c>
      <c r="AX119" s="279">
        <v>1</v>
      </c>
      <c r="AY119" s="450">
        <f>'Recepção 3'!$D$137</f>
        <v>2652.06</v>
      </c>
      <c r="AZ119" s="262">
        <f t="shared" ref="AZ119:AZ124" si="45">AY119*AX119</f>
        <v>2652.06</v>
      </c>
      <c r="BA119" s="280">
        <f t="shared" ref="BA119:BA124" si="46">AZ119*12</f>
        <v>31824.720000000001</v>
      </c>
    </row>
    <row r="120" spans="2:53" x14ac:dyDescent="0.25">
      <c r="B120" s="258">
        <v>4</v>
      </c>
      <c r="C120" s="259" t="s">
        <v>3</v>
      </c>
      <c r="D120" s="265">
        <v>1</v>
      </c>
      <c r="E120" s="261">
        <v>2498.1</v>
      </c>
      <c r="F120" s="280">
        <v>2498.1</v>
      </c>
      <c r="G120" s="280">
        <v>29977.199999999997</v>
      </c>
      <c r="H120" s="261">
        <f>'Porteiro 3'!$D$137</f>
        <v>3330.09</v>
      </c>
      <c r="I120" s="280">
        <f t="shared" si="41"/>
        <v>3330.09</v>
      </c>
      <c r="J120" s="280">
        <f t="shared" si="42"/>
        <v>39961.08</v>
      </c>
      <c r="K120" s="266" t="s">
        <v>519</v>
      </c>
      <c r="L120" s="264">
        <f>I120*2</f>
        <v>6660.18</v>
      </c>
      <c r="M120" s="274">
        <v>802062</v>
      </c>
      <c r="N120" s="246" t="s">
        <v>554</v>
      </c>
      <c r="P120" s="265">
        <v>1</v>
      </c>
      <c r="Q120" s="261">
        <v>2614.6</v>
      </c>
      <c r="R120" s="280">
        <f>Q120*P120</f>
        <v>2614.6</v>
      </c>
      <c r="S120" s="280">
        <f>R120*12</f>
        <v>31375.199999999997</v>
      </c>
      <c r="U120" s="265">
        <v>1</v>
      </c>
      <c r="V120" s="261">
        <f>'Porteiro 3'!$D$137</f>
        <v>3330.09</v>
      </c>
      <c r="W120" s="280">
        <f>V120*U120</f>
        <v>3330.09</v>
      </c>
      <c r="X120" s="280">
        <f>W120*12</f>
        <v>39961.08</v>
      </c>
      <c r="Z120" s="265">
        <v>1</v>
      </c>
      <c r="AA120" s="261">
        <v>2498.1</v>
      </c>
      <c r="AB120" s="262">
        <v>2498.1</v>
      </c>
      <c r="AC120" s="280">
        <v>29977.199999999997</v>
      </c>
      <c r="AE120" s="265">
        <v>1</v>
      </c>
      <c r="AF120" s="441">
        <v>2817.63</v>
      </c>
      <c r="AG120" s="262">
        <v>2817.63</v>
      </c>
      <c r="AH120" s="280">
        <v>33811.56</v>
      </c>
      <c r="AJ120" s="265">
        <v>1</v>
      </c>
      <c r="AK120" s="441">
        <v>2817.63</v>
      </c>
      <c r="AL120" s="262">
        <v>2817.63</v>
      </c>
      <c r="AM120" s="280">
        <v>33811.56</v>
      </c>
      <c r="AO120" s="265">
        <v>1</v>
      </c>
      <c r="AP120" s="441">
        <v>2817.63</v>
      </c>
      <c r="AQ120" s="262">
        <v>2817.63</v>
      </c>
      <c r="AR120" s="280">
        <v>33811.56</v>
      </c>
      <c r="AT120" s="265">
        <v>1</v>
      </c>
      <c r="AU120" s="441">
        <f>'Porteiro 3'!$D$137</f>
        <v>3330.09</v>
      </c>
      <c r="AV120" s="262">
        <f t="shared" si="43"/>
        <v>3330.09</v>
      </c>
      <c r="AW120" s="280">
        <f t="shared" si="44"/>
        <v>39961.08</v>
      </c>
      <c r="AX120" s="265">
        <v>1</v>
      </c>
      <c r="AY120" s="441">
        <f>'Porteiro 3'!$D$137</f>
        <v>3330.09</v>
      </c>
      <c r="AZ120" s="262">
        <f t="shared" si="45"/>
        <v>3330.09</v>
      </c>
      <c r="BA120" s="280">
        <f t="shared" si="46"/>
        <v>39961.08</v>
      </c>
    </row>
    <row r="121" spans="2:53" x14ac:dyDescent="0.25">
      <c r="B121" s="258">
        <v>5</v>
      </c>
      <c r="C121" s="259" t="s">
        <v>301</v>
      </c>
      <c r="D121" s="265">
        <v>1</v>
      </c>
      <c r="E121" s="261">
        <v>1733.68</v>
      </c>
      <c r="F121" s="280">
        <v>1733.68</v>
      </c>
      <c r="G121" s="280">
        <v>20804.16</v>
      </c>
      <c r="H121" s="261">
        <f>'ASG 3'!$D$137</f>
        <v>2321.3000000000002</v>
      </c>
      <c r="I121" s="280">
        <f t="shared" si="41"/>
        <v>2321.3000000000002</v>
      </c>
      <c r="J121" s="280">
        <f t="shared" si="42"/>
        <v>27855.600000000002</v>
      </c>
      <c r="K121" s="263">
        <f>I121*3</f>
        <v>6963.9000000000005</v>
      </c>
      <c r="L121" s="264" t="s">
        <v>519</v>
      </c>
      <c r="M121" s="274">
        <v>801860</v>
      </c>
      <c r="N121" s="246" t="s">
        <v>549</v>
      </c>
      <c r="P121" s="265"/>
      <c r="Q121" s="261">
        <f>'ASG 3'!I137</f>
        <v>0</v>
      </c>
      <c r="R121" s="280">
        <f>Q121*P121</f>
        <v>0</v>
      </c>
      <c r="S121" s="280">
        <f>R121*12</f>
        <v>0</v>
      </c>
      <c r="T121" s="295"/>
      <c r="U121" s="265">
        <v>0</v>
      </c>
      <c r="V121" s="261">
        <f>'ASG 3'!$D$137</f>
        <v>2321.3000000000002</v>
      </c>
      <c r="W121" s="280">
        <f>V121*U121</f>
        <v>0</v>
      </c>
      <c r="X121" s="280">
        <f>W121*12</f>
        <v>0</v>
      </c>
      <c r="Z121" s="265">
        <v>1</v>
      </c>
      <c r="AA121" s="261">
        <v>1733.68</v>
      </c>
      <c r="AB121" s="262">
        <v>1733.68</v>
      </c>
      <c r="AC121" s="280">
        <v>20804.16</v>
      </c>
      <c r="AE121" s="265">
        <v>1</v>
      </c>
      <c r="AF121" s="441">
        <v>1934.02</v>
      </c>
      <c r="AG121" s="262">
        <v>1934.02</v>
      </c>
      <c r="AH121" s="280">
        <v>23208.239999999998</v>
      </c>
      <c r="AJ121" s="265">
        <v>1</v>
      </c>
      <c r="AK121" s="441">
        <v>1934.02</v>
      </c>
      <c r="AL121" s="262">
        <v>1934.02</v>
      </c>
      <c r="AM121" s="280">
        <v>23208.239999999998</v>
      </c>
      <c r="AO121" s="265">
        <v>1</v>
      </c>
      <c r="AP121" s="441">
        <v>1934.02</v>
      </c>
      <c r="AQ121" s="262">
        <v>1934.02</v>
      </c>
      <c r="AR121" s="280">
        <v>23208.239999999998</v>
      </c>
      <c r="AT121" s="265">
        <v>1</v>
      </c>
      <c r="AU121" s="441">
        <f>'ASG 3'!$D$137</f>
        <v>2321.3000000000002</v>
      </c>
      <c r="AV121" s="262">
        <f t="shared" si="43"/>
        <v>2321.3000000000002</v>
      </c>
      <c r="AW121" s="280">
        <f t="shared" si="44"/>
        <v>27855.600000000002</v>
      </c>
      <c r="AX121" s="265">
        <v>1</v>
      </c>
      <c r="AY121" s="441">
        <f>'ASG 3'!$D$137</f>
        <v>2321.3000000000002</v>
      </c>
      <c r="AZ121" s="262">
        <f t="shared" si="45"/>
        <v>2321.3000000000002</v>
      </c>
      <c r="BA121" s="280">
        <f t="shared" si="46"/>
        <v>27855.600000000002</v>
      </c>
    </row>
    <row r="122" spans="2:53" x14ac:dyDescent="0.25">
      <c r="B122" s="258">
        <v>8</v>
      </c>
      <c r="C122" s="259" t="s">
        <v>293</v>
      </c>
      <c r="D122" s="265">
        <v>1</v>
      </c>
      <c r="E122" s="261">
        <v>2981.64</v>
      </c>
      <c r="F122" s="280">
        <v>2981.64</v>
      </c>
      <c r="G122" s="280">
        <v>35779.68</v>
      </c>
      <c r="H122" s="261">
        <f>'Oficial 3'!$D$136</f>
        <v>3510.56</v>
      </c>
      <c r="I122" s="280">
        <f t="shared" si="41"/>
        <v>3510.56</v>
      </c>
      <c r="J122" s="280">
        <f t="shared" si="42"/>
        <v>42126.720000000001</v>
      </c>
      <c r="K122" s="266" t="s">
        <v>519</v>
      </c>
      <c r="L122" s="264">
        <f>I122*2</f>
        <v>7021.12</v>
      </c>
      <c r="M122" s="274">
        <v>802063</v>
      </c>
      <c r="N122" s="246" t="s">
        <v>549</v>
      </c>
      <c r="P122" s="265">
        <v>1</v>
      </c>
      <c r="Q122" s="261">
        <v>2851.97</v>
      </c>
      <c r="R122" s="280">
        <f>Q122*P122</f>
        <v>2851.97</v>
      </c>
      <c r="S122" s="280">
        <f>R122*12</f>
        <v>34223.64</v>
      </c>
      <c r="U122" s="265">
        <v>1</v>
      </c>
      <c r="V122" s="261">
        <f>'Oficial 3'!$D$136</f>
        <v>3510.56</v>
      </c>
      <c r="W122" s="280">
        <f>V122*U122</f>
        <v>3510.56</v>
      </c>
      <c r="X122" s="280">
        <f>W122*12</f>
        <v>42126.720000000001</v>
      </c>
      <c r="Z122" s="265">
        <v>1</v>
      </c>
      <c r="AA122" s="261">
        <v>3231.08</v>
      </c>
      <c r="AB122" s="262">
        <v>3231.08</v>
      </c>
      <c r="AC122" s="280">
        <v>38772.959999999999</v>
      </c>
      <c r="AE122" s="265">
        <v>1</v>
      </c>
      <c r="AF122" s="441">
        <v>3231.08</v>
      </c>
      <c r="AG122" s="262">
        <v>3231.08</v>
      </c>
      <c r="AH122" s="280">
        <v>38772.959999999999</v>
      </c>
      <c r="AJ122" s="265">
        <v>1</v>
      </c>
      <c r="AK122" s="441">
        <v>2987.6</v>
      </c>
      <c r="AL122" s="262">
        <v>2987.6</v>
      </c>
      <c r="AM122" s="280">
        <v>35851.199999999997</v>
      </c>
      <c r="AO122" s="265">
        <v>1</v>
      </c>
      <c r="AP122" s="441">
        <v>2987.6</v>
      </c>
      <c r="AQ122" s="262">
        <v>2987.6</v>
      </c>
      <c r="AR122" s="280">
        <v>35851.199999999997</v>
      </c>
      <c r="AT122" s="265">
        <v>1</v>
      </c>
      <c r="AU122" s="441">
        <f>'Oficial 3'!$D$136</f>
        <v>3510.56</v>
      </c>
      <c r="AV122" s="262">
        <f t="shared" si="43"/>
        <v>3510.56</v>
      </c>
      <c r="AW122" s="280">
        <f t="shared" si="44"/>
        <v>42126.720000000001</v>
      </c>
      <c r="AX122" s="265">
        <v>1</v>
      </c>
      <c r="AY122" s="441">
        <f>'Oficial 3'!$D$136</f>
        <v>3510.56</v>
      </c>
      <c r="AZ122" s="262">
        <f t="shared" si="45"/>
        <v>3510.56</v>
      </c>
      <c r="BA122" s="280">
        <f t="shared" si="46"/>
        <v>42126.720000000001</v>
      </c>
    </row>
    <row r="123" spans="2:53" x14ac:dyDescent="0.25">
      <c r="B123" s="323">
        <v>9</v>
      </c>
      <c r="C123" s="324" t="s">
        <v>296</v>
      </c>
      <c r="D123" s="260">
        <v>1</v>
      </c>
      <c r="E123" s="312">
        <v>2318.56</v>
      </c>
      <c r="F123" s="325">
        <v>2318.56</v>
      </c>
      <c r="G123" s="325">
        <v>27822.720000000001</v>
      </c>
      <c r="H123" s="312">
        <v>2318.56</v>
      </c>
      <c r="I123" s="325">
        <f t="shared" si="41"/>
        <v>2318.56</v>
      </c>
      <c r="J123" s="325">
        <f t="shared" si="42"/>
        <v>27822.720000000001</v>
      </c>
      <c r="K123" s="319"/>
      <c r="L123" s="320"/>
      <c r="M123" s="275"/>
      <c r="N123" s="313" t="s">
        <v>550</v>
      </c>
      <c r="P123" s="265"/>
      <c r="Q123" s="261"/>
      <c r="R123" s="280"/>
      <c r="S123" s="280"/>
      <c r="U123" s="265"/>
      <c r="V123" s="261"/>
      <c r="W123" s="280"/>
      <c r="X123" s="280"/>
      <c r="Z123" s="260">
        <v>1</v>
      </c>
      <c r="AA123" s="312">
        <v>2318.56</v>
      </c>
      <c r="AB123" s="262">
        <v>2318.56</v>
      </c>
      <c r="AC123" s="325">
        <v>27822.720000000001</v>
      </c>
      <c r="AE123" s="260">
        <v>1</v>
      </c>
      <c r="AF123" s="458">
        <v>2589.1999999999998</v>
      </c>
      <c r="AG123" s="456">
        <v>2589.1999999999998</v>
      </c>
      <c r="AH123" s="457">
        <v>31070.399999999998</v>
      </c>
      <c r="AI123" s="267" t="s">
        <v>650</v>
      </c>
      <c r="AJ123" s="260">
        <v>1</v>
      </c>
      <c r="AK123" s="446">
        <v>2589.1999999999998</v>
      </c>
      <c r="AL123" s="310">
        <v>2589.1999999999998</v>
      </c>
      <c r="AM123" s="325">
        <v>31070.399999999998</v>
      </c>
      <c r="AN123" s="250"/>
      <c r="AO123" s="260">
        <v>1</v>
      </c>
      <c r="AP123" s="446">
        <v>2589.1999999999998</v>
      </c>
      <c r="AQ123" s="310">
        <v>2589.1999999999998</v>
      </c>
      <c r="AR123" s="325">
        <v>31070.399999999998</v>
      </c>
      <c r="AS123" s="250"/>
      <c r="AT123" s="260">
        <v>1</v>
      </c>
      <c r="AU123" s="446">
        <f>'Op.de maq. 3'!D130</f>
        <v>3064.16</v>
      </c>
      <c r="AV123" s="310">
        <f t="shared" si="43"/>
        <v>3064.16</v>
      </c>
      <c r="AW123" s="325">
        <f t="shared" si="44"/>
        <v>36769.919999999998</v>
      </c>
      <c r="AX123" s="260">
        <v>0</v>
      </c>
      <c r="AY123" s="446">
        <f>'Op.de maq. 3'!D137</f>
        <v>3064.16</v>
      </c>
      <c r="AZ123" s="310">
        <f t="shared" si="45"/>
        <v>0</v>
      </c>
      <c r="BA123" s="325">
        <f t="shared" si="46"/>
        <v>0</v>
      </c>
    </row>
    <row r="124" spans="2:53" x14ac:dyDescent="0.25">
      <c r="B124" s="258">
        <v>10</v>
      </c>
      <c r="C124" s="259" t="s">
        <v>4</v>
      </c>
      <c r="D124" s="265">
        <v>0</v>
      </c>
      <c r="E124" s="261">
        <v>1951.36</v>
      </c>
      <c r="F124" s="280">
        <v>0</v>
      </c>
      <c r="G124" s="280">
        <v>0</v>
      </c>
      <c r="H124" s="261">
        <f>'Jardineiro 3'!$D$137</f>
        <v>2504.21</v>
      </c>
      <c r="I124" s="280">
        <f t="shared" si="41"/>
        <v>0</v>
      </c>
      <c r="J124" s="280">
        <f t="shared" si="42"/>
        <v>0</v>
      </c>
      <c r="K124" s="266" t="s">
        <v>519</v>
      </c>
      <c r="L124" s="264">
        <f>I124*2</f>
        <v>0</v>
      </c>
      <c r="M124" s="274">
        <v>803591</v>
      </c>
      <c r="N124" s="277" t="s">
        <v>551</v>
      </c>
      <c r="P124" s="265">
        <v>1</v>
      </c>
      <c r="Q124" s="261">
        <v>2052.89</v>
      </c>
      <c r="R124" s="280">
        <f>Q124*P124</f>
        <v>2052.89</v>
      </c>
      <c r="S124" s="280">
        <f>R124*12</f>
        <v>24634.68</v>
      </c>
      <c r="U124" s="265">
        <v>1</v>
      </c>
      <c r="V124" s="261">
        <f>'Jardineiro 3'!$D$137</f>
        <v>2504.21</v>
      </c>
      <c r="W124" s="280">
        <f>V124*U124</f>
        <v>2504.21</v>
      </c>
      <c r="X124" s="280">
        <f>W124*12</f>
        <v>30050.52</v>
      </c>
      <c r="Z124" s="265">
        <v>0</v>
      </c>
      <c r="AA124" s="261">
        <v>1951.36</v>
      </c>
      <c r="AB124" s="262">
        <v>0</v>
      </c>
      <c r="AC124" s="280">
        <v>0</v>
      </c>
      <c r="AE124" s="265">
        <v>0</v>
      </c>
      <c r="AF124" s="441">
        <v>2176.35</v>
      </c>
      <c r="AG124" s="262">
        <v>0</v>
      </c>
      <c r="AH124" s="280">
        <v>0</v>
      </c>
      <c r="AJ124" s="265">
        <v>0</v>
      </c>
      <c r="AK124" s="441">
        <v>0</v>
      </c>
      <c r="AL124" s="262">
        <v>0</v>
      </c>
      <c r="AM124" s="280">
        <v>0</v>
      </c>
      <c r="AO124" s="265">
        <v>0</v>
      </c>
      <c r="AP124" s="441">
        <v>0</v>
      </c>
      <c r="AQ124" s="262">
        <v>0</v>
      </c>
      <c r="AR124" s="280">
        <v>0</v>
      </c>
      <c r="AT124" s="265">
        <v>0</v>
      </c>
      <c r="AU124" s="441">
        <v>0</v>
      </c>
      <c r="AV124" s="262">
        <f t="shared" si="43"/>
        <v>0</v>
      </c>
      <c r="AW124" s="280">
        <f t="shared" si="44"/>
        <v>0</v>
      </c>
      <c r="AX124" s="265">
        <v>0</v>
      </c>
      <c r="AY124" s="441">
        <v>0</v>
      </c>
      <c r="AZ124" s="262">
        <f t="shared" si="45"/>
        <v>0</v>
      </c>
      <c r="BA124" s="280">
        <f t="shared" si="46"/>
        <v>0</v>
      </c>
    </row>
    <row r="125" spans="2:53" x14ac:dyDescent="0.25">
      <c r="B125" s="296"/>
      <c r="C125" s="297"/>
      <c r="D125" s="268">
        <f>SUM(D119:D124)</f>
        <v>5</v>
      </c>
      <c r="E125" s="269"/>
      <c r="F125" s="271">
        <v>11525.09</v>
      </c>
      <c r="G125" s="271">
        <v>138301.07999999999</v>
      </c>
      <c r="H125" s="269"/>
      <c r="I125" s="271">
        <f>SUM(I119:I124)</f>
        <v>14132.57</v>
      </c>
      <c r="J125" s="271">
        <f>SUM(J119:J124)</f>
        <v>169590.84</v>
      </c>
      <c r="K125" s="271">
        <f>SUM(K119:K124)</f>
        <v>14920.080000000002</v>
      </c>
      <c r="L125" s="271">
        <f>SUM(L119:L124)</f>
        <v>13681.3</v>
      </c>
      <c r="P125" s="268">
        <f>SUM(P119:P124)</f>
        <v>3</v>
      </c>
      <c r="Q125" s="269"/>
      <c r="R125" s="271">
        <f>SUM(R119:R124)</f>
        <v>7519.4599999999991</v>
      </c>
      <c r="S125" s="271">
        <f>SUM(S119:S124)</f>
        <v>90233.51999999999</v>
      </c>
      <c r="U125" s="268">
        <f>SUM(U119:U124)</f>
        <v>3</v>
      </c>
      <c r="V125" s="269"/>
      <c r="W125" s="271">
        <f>SUM(W119:W124)</f>
        <v>9344.86</v>
      </c>
      <c r="X125" s="271">
        <f>SUM(X119:X124)</f>
        <v>112138.32</v>
      </c>
      <c r="Z125" s="423">
        <v>5</v>
      </c>
      <c r="AA125" s="269"/>
      <c r="AB125" s="270">
        <v>11774.53</v>
      </c>
      <c r="AC125" s="271">
        <v>141294.35999999999</v>
      </c>
      <c r="AE125" s="464">
        <v>5</v>
      </c>
      <c r="AF125" s="443"/>
      <c r="AG125" s="270">
        <v>12808.55</v>
      </c>
      <c r="AH125" s="271">
        <v>153702.59999999998</v>
      </c>
      <c r="AJ125" s="470">
        <v>5</v>
      </c>
      <c r="AK125" s="443"/>
      <c r="AL125" s="270">
        <v>12565.07</v>
      </c>
      <c r="AM125" s="271">
        <v>150780.84</v>
      </c>
      <c r="AO125" s="575">
        <v>5</v>
      </c>
      <c r="AP125" s="443"/>
      <c r="AQ125" s="270">
        <v>12565.07</v>
      </c>
      <c r="AR125" s="271">
        <v>150780.84</v>
      </c>
      <c r="AT125" s="376">
        <f>SUM(AT119:AT124)</f>
        <v>5</v>
      </c>
      <c r="AU125" s="443"/>
      <c r="AV125" s="270">
        <f>SUM(AV119:AV124)</f>
        <v>14878.17</v>
      </c>
      <c r="AW125" s="271">
        <f>SUM(AW119:AW124)</f>
        <v>178538.03999999998</v>
      </c>
      <c r="AX125" s="608">
        <f>SUM(AX119:AX124)</f>
        <v>4</v>
      </c>
      <c r="AY125" s="443"/>
      <c r="AZ125" s="270">
        <f>SUM(AZ119:AZ124)</f>
        <v>11814.01</v>
      </c>
      <c r="BA125" s="271">
        <f>SUM(BA119:BA124)</f>
        <v>141768.12</v>
      </c>
    </row>
    <row r="126" spans="2:53" x14ac:dyDescent="0.25">
      <c r="H126" s="272"/>
      <c r="M126" s="272">
        <f>H124*2</f>
        <v>5008.42</v>
      </c>
      <c r="AA126" s="717" t="s">
        <v>570</v>
      </c>
      <c r="AB126" s="717"/>
      <c r="AC126" s="717"/>
      <c r="AF126" s="717" t="s">
        <v>627</v>
      </c>
      <c r="AG126" s="717"/>
      <c r="AH126" s="717"/>
      <c r="AK126" s="717" t="s">
        <v>657</v>
      </c>
      <c r="AL126" s="717"/>
      <c r="AM126" s="717"/>
      <c r="AP126" s="717" t="s">
        <v>693</v>
      </c>
      <c r="AQ126" s="717"/>
      <c r="AR126" s="717"/>
      <c r="AU126" s="717" t="s">
        <v>693</v>
      </c>
      <c r="AV126" s="717"/>
      <c r="AW126" s="717"/>
      <c r="AY126" s="717" t="s">
        <v>693</v>
      </c>
      <c r="AZ126" s="717"/>
      <c r="BA126" s="717"/>
    </row>
    <row r="127" spans="2:53" x14ac:dyDescent="0.25">
      <c r="B127" s="276" t="s">
        <v>302</v>
      </c>
      <c r="C127" s="282" t="s">
        <v>504</v>
      </c>
      <c r="E127" s="717" t="s">
        <v>566</v>
      </c>
      <c r="F127" s="717"/>
      <c r="G127" s="717"/>
      <c r="H127" s="717" t="s">
        <v>569</v>
      </c>
      <c r="I127" s="717"/>
      <c r="J127" s="717"/>
      <c r="L127" s="272">
        <f>H123-H124</f>
        <v>-185.65000000000009</v>
      </c>
      <c r="AA127" s="246" t="s">
        <v>645</v>
      </c>
      <c r="AF127" s="439"/>
      <c r="AK127" s="439"/>
    </row>
    <row r="128" spans="2:53" ht="47.25" x14ac:dyDescent="0.25">
      <c r="B128" s="256" t="s">
        <v>159</v>
      </c>
      <c r="C128" s="257" t="s">
        <v>160</v>
      </c>
      <c r="D128" s="257" t="s">
        <v>161</v>
      </c>
      <c r="E128" s="257" t="s">
        <v>168</v>
      </c>
      <c r="F128" s="257" t="s">
        <v>167</v>
      </c>
      <c r="G128" s="257" t="s">
        <v>162</v>
      </c>
      <c r="H128" s="257" t="s">
        <v>168</v>
      </c>
      <c r="I128" s="257" t="s">
        <v>167</v>
      </c>
      <c r="J128" s="257" t="s">
        <v>162</v>
      </c>
      <c r="K128" s="257" t="s">
        <v>515</v>
      </c>
      <c r="M128" s="257" t="s">
        <v>518</v>
      </c>
      <c r="N128" s="257" t="s">
        <v>548</v>
      </c>
      <c r="P128" s="257" t="s">
        <v>161</v>
      </c>
      <c r="Q128" s="257" t="s">
        <v>168</v>
      </c>
      <c r="R128" s="257" t="s">
        <v>167</v>
      </c>
      <c r="S128" s="257" t="s">
        <v>162</v>
      </c>
      <c r="Z128" s="257" t="s">
        <v>571</v>
      </c>
      <c r="AA128" s="257" t="s">
        <v>168</v>
      </c>
      <c r="AB128" s="257" t="s">
        <v>167</v>
      </c>
      <c r="AC128" s="257" t="s">
        <v>162</v>
      </c>
      <c r="AE128" s="257" t="s">
        <v>628</v>
      </c>
      <c r="AF128" s="440" t="s">
        <v>168</v>
      </c>
      <c r="AG128" s="257" t="s">
        <v>167</v>
      </c>
      <c r="AH128" s="257" t="s">
        <v>162</v>
      </c>
      <c r="AJ128" s="257" t="s">
        <v>628</v>
      </c>
      <c r="AK128" s="440" t="s">
        <v>168</v>
      </c>
      <c r="AL128" s="257" t="s">
        <v>167</v>
      </c>
      <c r="AM128" s="257" t="s">
        <v>162</v>
      </c>
      <c r="AO128" s="257" t="s">
        <v>628</v>
      </c>
      <c r="AP128" s="440" t="s">
        <v>168</v>
      </c>
      <c r="AQ128" s="257" t="s">
        <v>167</v>
      </c>
      <c r="AR128" s="257" t="s">
        <v>162</v>
      </c>
      <c r="AT128" s="257" t="s">
        <v>628</v>
      </c>
      <c r="AU128" s="440" t="s">
        <v>168</v>
      </c>
      <c r="AV128" s="257" t="s">
        <v>167</v>
      </c>
      <c r="AW128" s="257" t="s">
        <v>162</v>
      </c>
      <c r="AX128" s="257" t="s">
        <v>628</v>
      </c>
      <c r="AY128" s="440" t="s">
        <v>168</v>
      </c>
      <c r="AZ128" s="257" t="s">
        <v>167</v>
      </c>
      <c r="BA128" s="257" t="s">
        <v>162</v>
      </c>
    </row>
    <row r="129" spans="2:57" x14ac:dyDescent="0.25">
      <c r="B129" s="281">
        <v>2</v>
      </c>
      <c r="C129" s="278" t="s">
        <v>2</v>
      </c>
      <c r="D129" s="279">
        <v>1</v>
      </c>
      <c r="E129" s="280">
        <v>1993.11</v>
      </c>
      <c r="F129" s="280">
        <v>1993.11</v>
      </c>
      <c r="G129" s="280">
        <v>23917.32</v>
      </c>
      <c r="H129" s="280">
        <f>'Recepção 3'!$D$137</f>
        <v>2652.06</v>
      </c>
      <c r="I129" s="280">
        <f>H129*D129</f>
        <v>2652.06</v>
      </c>
      <c r="J129" s="280">
        <f>I129*12</f>
        <v>31824.720000000001</v>
      </c>
      <c r="K129" s="263">
        <f>H129*3</f>
        <v>7956.18</v>
      </c>
      <c r="M129" s="274">
        <v>801648</v>
      </c>
      <c r="N129" s="246" t="s">
        <v>549</v>
      </c>
      <c r="P129" s="279"/>
      <c r="Q129" s="280">
        <f>'Recepção 3'!I137</f>
        <v>0</v>
      </c>
      <c r="R129" s="280">
        <f>Q129*P129</f>
        <v>0</v>
      </c>
      <c r="S129" s="280">
        <f>R129*12</f>
        <v>0</v>
      </c>
      <c r="Z129" s="279">
        <v>1</v>
      </c>
      <c r="AA129" s="280">
        <v>1993.11</v>
      </c>
      <c r="AB129" s="262">
        <v>1993.11</v>
      </c>
      <c r="AC129" s="280">
        <v>23917.32</v>
      </c>
      <c r="AE129" s="279">
        <v>1</v>
      </c>
      <c r="AF129" s="450">
        <v>2236.62</v>
      </c>
      <c r="AG129" s="262">
        <v>2236.62</v>
      </c>
      <c r="AH129" s="280">
        <v>26839.439999999999</v>
      </c>
      <c r="AJ129" s="279">
        <v>1</v>
      </c>
      <c r="AK129" s="450">
        <v>2236.62</v>
      </c>
      <c r="AL129" s="262">
        <v>2236.62</v>
      </c>
      <c r="AM129" s="280">
        <v>26839.439999999999</v>
      </c>
      <c r="AO129" s="279">
        <v>1</v>
      </c>
      <c r="AP129" s="450">
        <v>2236.62</v>
      </c>
      <c r="AQ129" s="262">
        <v>2236.62</v>
      </c>
      <c r="AR129" s="280">
        <v>26839.439999999999</v>
      </c>
      <c r="AT129" s="279">
        <v>1</v>
      </c>
      <c r="AU129" s="450">
        <f>'Recepção 3'!$D$137</f>
        <v>2652.06</v>
      </c>
      <c r="AV129" s="262">
        <f>AU129*AT129</f>
        <v>2652.06</v>
      </c>
      <c r="AW129" s="280">
        <f>AV129*12</f>
        <v>31824.720000000001</v>
      </c>
      <c r="AX129" s="279">
        <v>1</v>
      </c>
      <c r="AY129" s="450">
        <f>'Recepção 3'!$D$137</f>
        <v>2652.06</v>
      </c>
      <c r="AZ129" s="262">
        <f>AY129*AX129</f>
        <v>2652.06</v>
      </c>
      <c r="BA129" s="280">
        <f>AZ129*12</f>
        <v>31824.720000000001</v>
      </c>
    </row>
    <row r="130" spans="2:57" x14ac:dyDescent="0.25">
      <c r="B130" s="281">
        <v>5</v>
      </c>
      <c r="C130" s="278" t="s">
        <v>292</v>
      </c>
      <c r="D130" s="279">
        <v>4</v>
      </c>
      <c r="E130" s="298">
        <v>1733.68</v>
      </c>
      <c r="F130" s="280">
        <v>6934.72</v>
      </c>
      <c r="G130" s="280">
        <v>83216.639999999999</v>
      </c>
      <c r="H130" s="298">
        <f>'ASG 3'!$D$137</f>
        <v>2321.3000000000002</v>
      </c>
      <c r="I130" s="280">
        <f t="shared" ref="I130" si="47">H130*D130</f>
        <v>9285.2000000000007</v>
      </c>
      <c r="J130" s="280">
        <f t="shared" ref="J130" si="48">I130*12</f>
        <v>111422.40000000001</v>
      </c>
      <c r="L130" s="264">
        <f t="shared" ref="L130" si="49">I130*2</f>
        <v>18570.400000000001</v>
      </c>
      <c r="M130" s="274">
        <v>802066</v>
      </c>
      <c r="N130" s="246" t="s">
        <v>554</v>
      </c>
      <c r="P130" s="279">
        <v>3</v>
      </c>
      <c r="Q130" s="298">
        <v>2437.31</v>
      </c>
      <c r="R130" s="280">
        <f t="shared" ref="R130" si="50">Q130*P130</f>
        <v>7311.93</v>
      </c>
      <c r="S130" s="280">
        <f t="shared" ref="S130" si="51">R130*12</f>
        <v>87743.16</v>
      </c>
      <c r="U130" s="279">
        <v>3</v>
      </c>
      <c r="V130" s="298">
        <f>'ASG 3'!$D$137</f>
        <v>2321.3000000000002</v>
      </c>
      <c r="W130" s="280">
        <f t="shared" ref="W130" si="52">V130*U130</f>
        <v>6963.9000000000005</v>
      </c>
      <c r="X130" s="280">
        <f t="shared" ref="X130" si="53">W130*12</f>
        <v>83566.8</v>
      </c>
      <c r="Z130" s="279">
        <v>4</v>
      </c>
      <c r="AA130" s="298">
        <v>1733.68</v>
      </c>
      <c r="AB130" s="262">
        <v>6934.72</v>
      </c>
      <c r="AC130" s="280">
        <v>83216.639999999999</v>
      </c>
      <c r="AE130" s="279">
        <v>4</v>
      </c>
      <c r="AF130" s="452">
        <v>1934.02</v>
      </c>
      <c r="AG130" s="262">
        <v>7736.08</v>
      </c>
      <c r="AH130" s="280">
        <v>92832.959999999992</v>
      </c>
      <c r="AJ130" s="279">
        <v>4</v>
      </c>
      <c r="AK130" s="452">
        <v>1934.02</v>
      </c>
      <c r="AL130" s="262">
        <v>7736.08</v>
      </c>
      <c r="AM130" s="280">
        <v>92832.959999999992</v>
      </c>
      <c r="AO130" s="279">
        <v>4</v>
      </c>
      <c r="AP130" s="452">
        <v>1934.02</v>
      </c>
      <c r="AQ130" s="262">
        <v>7736.08</v>
      </c>
      <c r="AR130" s="280">
        <v>92832.959999999992</v>
      </c>
      <c r="AT130" s="279">
        <v>0</v>
      </c>
      <c r="AU130" s="452">
        <f>'ASG 3'!$D$137</f>
        <v>2321.3000000000002</v>
      </c>
      <c r="AV130" s="262">
        <f t="shared" ref="AV130" si="54">AU130*AT130</f>
        <v>0</v>
      </c>
      <c r="AW130" s="280">
        <f t="shared" ref="AW130" si="55">AV130*12</f>
        <v>0</v>
      </c>
      <c r="AX130" s="630">
        <v>1</v>
      </c>
      <c r="AY130" s="452">
        <f>'ASG 3'!$D$137</f>
        <v>2321.3000000000002</v>
      </c>
      <c r="AZ130" s="262">
        <f t="shared" ref="AZ130" si="56">AY130*AX130</f>
        <v>2321.3000000000002</v>
      </c>
      <c r="BA130" s="280">
        <f>AZ130*12</f>
        <v>27855.600000000002</v>
      </c>
    </row>
    <row r="131" spans="2:57" x14ac:dyDescent="0.25">
      <c r="B131" s="258">
        <v>8</v>
      </c>
      <c r="C131" s="259" t="s">
        <v>293</v>
      </c>
      <c r="D131" s="265">
        <v>1</v>
      </c>
      <c r="E131" s="261">
        <v>2981.64</v>
      </c>
      <c r="F131" s="280">
        <v>2981.64</v>
      </c>
      <c r="G131" s="280">
        <v>35779.68</v>
      </c>
      <c r="H131" s="261">
        <f>'Oficial 3'!$D$136</f>
        <v>3510.56</v>
      </c>
      <c r="I131" s="280">
        <f>H131*D131</f>
        <v>3510.56</v>
      </c>
      <c r="J131" s="280">
        <f>I131*12</f>
        <v>42126.720000000001</v>
      </c>
      <c r="K131" s="263">
        <f>H131*3</f>
        <v>10531.68</v>
      </c>
      <c r="M131" s="274">
        <v>801647</v>
      </c>
      <c r="N131" s="246" t="s">
        <v>549</v>
      </c>
      <c r="P131" s="265"/>
      <c r="Q131" s="261">
        <f>'Oficial 3'!I136</f>
        <v>0</v>
      </c>
      <c r="R131" s="280">
        <f>Q131*P131</f>
        <v>0</v>
      </c>
      <c r="S131" s="280">
        <f>R131*12</f>
        <v>0</v>
      </c>
      <c r="Z131" s="265">
        <v>1</v>
      </c>
      <c r="AA131" s="261">
        <v>3231.08</v>
      </c>
      <c r="AB131" s="262">
        <v>3231.08</v>
      </c>
      <c r="AC131" s="280">
        <v>38772.959999999999</v>
      </c>
      <c r="AE131" s="265">
        <v>1</v>
      </c>
      <c r="AF131" s="441">
        <v>3231.08</v>
      </c>
      <c r="AG131" s="262">
        <v>3231.08</v>
      </c>
      <c r="AH131" s="280">
        <v>38772.959999999999</v>
      </c>
      <c r="AJ131" s="265">
        <v>1</v>
      </c>
      <c r="AK131" s="441">
        <v>2987.6</v>
      </c>
      <c r="AL131" s="262">
        <v>2987.6</v>
      </c>
      <c r="AM131" s="280">
        <v>35851.199999999997</v>
      </c>
      <c r="AO131" s="265">
        <v>1</v>
      </c>
      <c r="AP131" s="441">
        <v>2987.6</v>
      </c>
      <c r="AQ131" s="262">
        <v>2987.6</v>
      </c>
      <c r="AR131" s="280">
        <v>35851.199999999997</v>
      </c>
      <c r="AT131" s="265">
        <v>1</v>
      </c>
      <c r="AU131" s="441">
        <f>'Oficial 3'!$D$136</f>
        <v>3510.56</v>
      </c>
      <c r="AV131" s="262">
        <f>AU131*AT131</f>
        <v>3510.56</v>
      </c>
      <c r="AW131" s="280">
        <f>AV131*12</f>
        <v>42126.720000000001</v>
      </c>
      <c r="AX131" s="265">
        <v>1</v>
      </c>
      <c r="AY131" s="441">
        <f>'Oficial 3'!$D$136</f>
        <v>3510.56</v>
      </c>
      <c r="AZ131" s="262">
        <f>AY131*AX131</f>
        <v>3510.56</v>
      </c>
      <c r="BA131" s="280">
        <f>AZ131*12</f>
        <v>42126.720000000001</v>
      </c>
    </row>
    <row r="132" spans="2:57" s="295" customFormat="1" x14ac:dyDescent="0.25">
      <c r="B132" s="258">
        <v>9</v>
      </c>
      <c r="C132" s="259" t="s">
        <v>296</v>
      </c>
      <c r="D132" s="265">
        <v>1</v>
      </c>
      <c r="E132" s="261">
        <v>2318.56</v>
      </c>
      <c r="F132" s="280">
        <v>2318.56</v>
      </c>
      <c r="G132" s="280">
        <v>27822.720000000001</v>
      </c>
      <c r="H132" s="261">
        <f>'Op.de maq. 3'!$D$137</f>
        <v>3064.16</v>
      </c>
      <c r="I132" s="280">
        <f>H132*D132</f>
        <v>3064.16</v>
      </c>
      <c r="J132" s="280">
        <f>I132*12</f>
        <v>36769.919999999998</v>
      </c>
      <c r="K132" s="263">
        <f>H132*3</f>
        <v>9192.48</v>
      </c>
      <c r="M132" s="274">
        <v>801648</v>
      </c>
      <c r="N132" s="246" t="s">
        <v>549</v>
      </c>
      <c r="P132" s="265"/>
      <c r="Q132" s="261">
        <f>'Op.de maq. 3'!I137</f>
        <v>0</v>
      </c>
      <c r="R132" s="280">
        <f>Q132*P132</f>
        <v>0</v>
      </c>
      <c r="S132" s="280">
        <f>R132*12</f>
        <v>0</v>
      </c>
      <c r="T132" s="246"/>
      <c r="Z132" s="265">
        <v>1</v>
      </c>
      <c r="AA132" s="261">
        <v>2318.56</v>
      </c>
      <c r="AB132" s="262">
        <v>2318.56</v>
      </c>
      <c r="AC132" s="280">
        <v>27822.720000000001</v>
      </c>
      <c r="AE132" s="265">
        <v>1</v>
      </c>
      <c r="AF132" s="441">
        <v>2589.1999999999998</v>
      </c>
      <c r="AG132" s="262">
        <v>2589.1999999999998</v>
      </c>
      <c r="AH132" s="280">
        <v>31070.399999999998</v>
      </c>
      <c r="AJ132" s="265">
        <v>1</v>
      </c>
      <c r="AK132" s="441">
        <v>2589.1999999999998</v>
      </c>
      <c r="AL132" s="262">
        <v>2589.1999999999998</v>
      </c>
      <c r="AM132" s="280">
        <v>31070.399999999998</v>
      </c>
      <c r="AO132" s="265">
        <v>1</v>
      </c>
      <c r="AP132" s="441">
        <v>2589.1999999999998</v>
      </c>
      <c r="AQ132" s="262">
        <v>2589.1999999999998</v>
      </c>
      <c r="AR132" s="280">
        <v>31070.399999999998</v>
      </c>
      <c r="AT132" s="265">
        <v>1</v>
      </c>
      <c r="AU132" s="441">
        <f>'Op.de maq. 3'!$D$137</f>
        <v>3064.16</v>
      </c>
      <c r="AV132" s="262">
        <f>AU132*AT132</f>
        <v>3064.16</v>
      </c>
      <c r="AW132" s="280">
        <f>AV132*12</f>
        <v>36769.919999999998</v>
      </c>
      <c r="AX132" s="265">
        <v>0</v>
      </c>
      <c r="AY132" s="441">
        <f>'Op.de maq. 3'!$D$137</f>
        <v>3064.16</v>
      </c>
      <c r="AZ132" s="262">
        <f>AY132*AX132</f>
        <v>0</v>
      </c>
      <c r="BA132" s="280">
        <f>AZ132*12</f>
        <v>0</v>
      </c>
    </row>
    <row r="133" spans="2:57" x14ac:dyDescent="0.25">
      <c r="B133" s="296"/>
      <c r="C133" s="297"/>
      <c r="D133" s="268">
        <f>SUM(D129:D132)</f>
        <v>7</v>
      </c>
      <c r="E133" s="269"/>
      <c r="F133" s="271">
        <v>7293.3099999999995</v>
      </c>
      <c r="G133" s="271">
        <v>87519.72</v>
      </c>
      <c r="H133" s="269"/>
      <c r="I133" s="271">
        <f>SUM(I129:I132)</f>
        <v>18511.98</v>
      </c>
      <c r="J133" s="271">
        <f>SUM(J129:J132)</f>
        <v>222143.76</v>
      </c>
      <c r="K133" s="271">
        <f>SUM(K129:K132)</f>
        <v>27680.34</v>
      </c>
      <c r="P133" s="268">
        <f>SUM(P129:P132)</f>
        <v>3</v>
      </c>
      <c r="Q133" s="269"/>
      <c r="R133" s="271">
        <f>SUM(R129:R132)</f>
        <v>7311.93</v>
      </c>
      <c r="S133" s="271">
        <f>SUM(S129:S132)</f>
        <v>87743.16</v>
      </c>
      <c r="Z133" s="423">
        <v>3</v>
      </c>
      <c r="AA133" s="269"/>
      <c r="AB133" s="270">
        <v>7542.75</v>
      </c>
      <c r="AC133" s="271">
        <v>90513</v>
      </c>
      <c r="AE133" s="464">
        <v>3</v>
      </c>
      <c r="AF133" s="443"/>
      <c r="AG133" s="270">
        <v>8056.9</v>
      </c>
      <c r="AH133" s="271">
        <v>96682.799999999988</v>
      </c>
      <c r="AJ133" s="470">
        <v>3</v>
      </c>
      <c r="AK133" s="443"/>
      <c r="AL133" s="270">
        <v>7813.4199999999992</v>
      </c>
      <c r="AM133" s="271">
        <v>93761.04</v>
      </c>
      <c r="AO133" s="575">
        <v>3</v>
      </c>
      <c r="AP133" s="443"/>
      <c r="AQ133" s="270">
        <v>7813.4199999999992</v>
      </c>
      <c r="AR133" s="271">
        <v>93761.04</v>
      </c>
      <c r="AT133" s="376">
        <f>SUM(AT129:AT132)</f>
        <v>3</v>
      </c>
      <c r="AU133" s="443"/>
      <c r="AV133" s="270">
        <f>SUM(AV129:AV132)</f>
        <v>9226.7799999999988</v>
      </c>
      <c r="AW133" s="271">
        <f>SUM(AW129:AW132)</f>
        <v>110721.36</v>
      </c>
      <c r="AX133" s="608">
        <f>SUM(AX129:AX132)</f>
        <v>3</v>
      </c>
      <c r="AY133" s="443"/>
      <c r="AZ133" s="270">
        <f>SUM(AZ129:AZ132)</f>
        <v>8483.92</v>
      </c>
      <c r="BA133" s="271">
        <f>SUM(BA129:BA132)</f>
        <v>101807.04000000001</v>
      </c>
    </row>
    <row r="134" spans="2:57" x14ac:dyDescent="0.25">
      <c r="H134" s="272"/>
      <c r="M134" s="272">
        <f>H132*2</f>
        <v>6128.32</v>
      </c>
      <c r="AA134" s="717" t="s">
        <v>570</v>
      </c>
      <c r="AB134" s="717"/>
      <c r="AC134" s="717"/>
      <c r="AF134" s="717" t="s">
        <v>627</v>
      </c>
      <c r="AG134" s="717"/>
      <c r="AH134" s="717"/>
      <c r="AK134" s="717" t="s">
        <v>657</v>
      </c>
      <c r="AL134" s="717"/>
      <c r="AM134" s="717"/>
      <c r="AP134" s="717" t="s">
        <v>693</v>
      </c>
      <c r="AQ134" s="717"/>
      <c r="AR134" s="717"/>
      <c r="AU134" s="717" t="s">
        <v>693</v>
      </c>
      <c r="AV134" s="717"/>
      <c r="AW134" s="717"/>
      <c r="AY134" s="717" t="s">
        <v>693</v>
      </c>
      <c r="AZ134" s="717"/>
      <c r="BA134" s="717"/>
    </row>
    <row r="135" spans="2:57" x14ac:dyDescent="0.25">
      <c r="B135" s="276" t="s">
        <v>303</v>
      </c>
      <c r="C135" s="282" t="s">
        <v>505</v>
      </c>
      <c r="E135" s="717" t="s">
        <v>566</v>
      </c>
      <c r="F135" s="717"/>
      <c r="G135" s="717"/>
      <c r="H135" s="717" t="s">
        <v>567</v>
      </c>
      <c r="I135" s="717"/>
      <c r="J135" s="717"/>
      <c r="P135" s="246" t="s">
        <v>517</v>
      </c>
      <c r="AA135" s="246" t="s">
        <v>645</v>
      </c>
      <c r="AF135" s="439"/>
      <c r="AK135" s="717" t="s">
        <v>657</v>
      </c>
      <c r="AL135" s="717"/>
      <c r="AM135" s="717"/>
    </row>
    <row r="136" spans="2:57" ht="47.25" x14ac:dyDescent="0.25">
      <c r="B136" s="256" t="s">
        <v>159</v>
      </c>
      <c r="C136" s="257" t="s">
        <v>160</v>
      </c>
      <c r="D136" s="257" t="s">
        <v>161</v>
      </c>
      <c r="E136" s="257" t="s">
        <v>168</v>
      </c>
      <c r="F136" s="257" t="s">
        <v>167</v>
      </c>
      <c r="G136" s="257" t="s">
        <v>162</v>
      </c>
      <c r="H136" s="257" t="s">
        <v>168</v>
      </c>
      <c r="I136" s="257" t="s">
        <v>167</v>
      </c>
      <c r="J136" s="257" t="s">
        <v>162</v>
      </c>
      <c r="L136" s="257" t="s">
        <v>520</v>
      </c>
      <c r="M136" s="257" t="s">
        <v>518</v>
      </c>
      <c r="N136" s="257" t="s">
        <v>548</v>
      </c>
      <c r="P136" s="257" t="s">
        <v>161</v>
      </c>
      <c r="Q136" s="257" t="s">
        <v>168</v>
      </c>
      <c r="R136" s="257" t="s">
        <v>167</v>
      </c>
      <c r="S136" s="257" t="s">
        <v>162</v>
      </c>
      <c r="U136" s="257" t="s">
        <v>161</v>
      </c>
      <c r="V136" s="257" t="s">
        <v>168</v>
      </c>
      <c r="W136" s="257" t="s">
        <v>167</v>
      </c>
      <c r="X136" s="257" t="s">
        <v>162</v>
      </c>
      <c r="Z136" s="257" t="s">
        <v>571</v>
      </c>
      <c r="AA136" s="257" t="s">
        <v>168</v>
      </c>
      <c r="AB136" s="257" t="s">
        <v>167</v>
      </c>
      <c r="AC136" s="257" t="s">
        <v>162</v>
      </c>
      <c r="AE136" s="257" t="s">
        <v>628</v>
      </c>
      <c r="AF136" s="440" t="s">
        <v>168</v>
      </c>
      <c r="AG136" s="257" t="s">
        <v>167</v>
      </c>
      <c r="AH136" s="257" t="s">
        <v>162</v>
      </c>
      <c r="AJ136" s="257" t="s">
        <v>628</v>
      </c>
      <c r="AK136" s="440" t="s">
        <v>168</v>
      </c>
      <c r="AL136" s="257" t="s">
        <v>167</v>
      </c>
      <c r="AM136" s="257" t="s">
        <v>162</v>
      </c>
      <c r="AO136" s="257" t="s">
        <v>628</v>
      </c>
      <c r="AP136" s="440" t="s">
        <v>168</v>
      </c>
      <c r="AQ136" s="257" t="s">
        <v>167</v>
      </c>
      <c r="AR136" s="257" t="s">
        <v>162</v>
      </c>
      <c r="AT136" s="257" t="s">
        <v>628</v>
      </c>
      <c r="AU136" s="440" t="s">
        <v>168</v>
      </c>
      <c r="AV136" s="257" t="s">
        <v>167</v>
      </c>
      <c r="AW136" s="257" t="s">
        <v>162</v>
      </c>
      <c r="AX136" s="257" t="s">
        <v>628</v>
      </c>
      <c r="AY136" s="440" t="s">
        <v>168</v>
      </c>
      <c r="AZ136" s="257" t="s">
        <v>167</v>
      </c>
      <c r="BA136" s="257" t="s">
        <v>162</v>
      </c>
    </row>
    <row r="137" spans="2:57" x14ac:dyDescent="0.25">
      <c r="B137" s="281">
        <v>2</v>
      </c>
      <c r="C137" s="278" t="s">
        <v>2</v>
      </c>
      <c r="D137" s="279">
        <v>1</v>
      </c>
      <c r="E137" s="280">
        <v>2016.08</v>
      </c>
      <c r="F137" s="280">
        <v>2016.08</v>
      </c>
      <c r="G137" s="280">
        <v>24192.959999999999</v>
      </c>
      <c r="H137" s="280">
        <f>'Recepção 4'!$D$137</f>
        <v>2682.63</v>
      </c>
      <c r="I137" s="280">
        <f>H137*D137</f>
        <v>2682.63</v>
      </c>
      <c r="J137" s="280">
        <f>I137*12</f>
        <v>32191.56</v>
      </c>
      <c r="L137" s="264">
        <f>I137*2</f>
        <v>5365.26</v>
      </c>
      <c r="M137" s="274">
        <v>802065</v>
      </c>
      <c r="N137" s="246" t="s">
        <v>554</v>
      </c>
      <c r="P137" s="279"/>
      <c r="Q137" s="280">
        <f>'Recepção 4'!I137</f>
        <v>0</v>
      </c>
      <c r="R137" s="280">
        <f>Q137*P137</f>
        <v>0</v>
      </c>
      <c r="S137" s="280">
        <f>R137*12</f>
        <v>0</v>
      </c>
      <c r="U137" s="279">
        <v>0</v>
      </c>
      <c r="V137" s="280">
        <f>'Recepção 4'!$D$137</f>
        <v>2682.63</v>
      </c>
      <c r="W137" s="280">
        <f>V137*U137</f>
        <v>0</v>
      </c>
      <c r="X137" s="280">
        <f>W137*12</f>
        <v>0</v>
      </c>
      <c r="Z137" s="279">
        <v>1</v>
      </c>
      <c r="AA137" s="280">
        <v>2016.08</v>
      </c>
      <c r="AB137" s="262">
        <v>2016.08</v>
      </c>
      <c r="AC137" s="280">
        <v>24192.959999999999</v>
      </c>
      <c r="AE137" s="279">
        <v>1</v>
      </c>
      <c r="AF137" s="450">
        <v>2262.41</v>
      </c>
      <c r="AG137" s="262">
        <v>2262.41</v>
      </c>
      <c r="AH137" s="280">
        <v>27148.92</v>
      </c>
      <c r="AJ137" s="279">
        <v>1</v>
      </c>
      <c r="AK137" s="450">
        <v>2262.41</v>
      </c>
      <c r="AL137" s="262">
        <v>2262.41</v>
      </c>
      <c r="AM137" s="280">
        <v>27148.92</v>
      </c>
      <c r="AO137" s="279">
        <v>1</v>
      </c>
      <c r="AP137" s="450">
        <v>2262.41</v>
      </c>
      <c r="AQ137" s="262">
        <v>2262.41</v>
      </c>
      <c r="AR137" s="280">
        <v>27148.92</v>
      </c>
      <c r="AT137" s="279">
        <v>1</v>
      </c>
      <c r="AU137" s="450">
        <f>'Recepção 4'!$D$137</f>
        <v>2682.63</v>
      </c>
      <c r="AV137" s="262">
        <f>AU137*AT137</f>
        <v>2682.63</v>
      </c>
      <c r="AW137" s="280">
        <f>AV137*12</f>
        <v>32191.56</v>
      </c>
      <c r="AX137" s="279">
        <v>1</v>
      </c>
      <c r="AY137" s="450">
        <f>'Recepção 4'!$D$137</f>
        <v>2682.63</v>
      </c>
      <c r="AZ137" s="262">
        <f>AY137*AX137</f>
        <v>2682.63</v>
      </c>
      <c r="BA137" s="280">
        <f>AZ137*12</f>
        <v>32191.56</v>
      </c>
    </row>
    <row r="138" spans="2:57" x14ac:dyDescent="0.25">
      <c r="B138" s="281">
        <v>4</v>
      </c>
      <c r="C138" s="278" t="s">
        <v>3</v>
      </c>
      <c r="D138" s="279">
        <v>1</v>
      </c>
      <c r="E138" s="280">
        <v>2526.89</v>
      </c>
      <c r="F138" s="280">
        <v>2526.89</v>
      </c>
      <c r="G138" s="280">
        <v>30322.68</v>
      </c>
      <c r="H138" s="280">
        <f>'Porteiro 4'!$D$137</f>
        <v>3368.47</v>
      </c>
      <c r="I138" s="280">
        <f>H138*D138</f>
        <v>3368.47</v>
      </c>
      <c r="J138" s="280">
        <f>I138*12</f>
        <v>40421.64</v>
      </c>
      <c r="L138" s="264">
        <f>I138*2</f>
        <v>6736.94</v>
      </c>
      <c r="M138" s="274">
        <v>802065</v>
      </c>
      <c r="N138" s="246" t="s">
        <v>554</v>
      </c>
      <c r="P138" s="279">
        <v>1</v>
      </c>
      <c r="Q138" s="280">
        <v>2644.54</v>
      </c>
      <c r="R138" s="280">
        <f>Q138*P138</f>
        <v>2644.54</v>
      </c>
      <c r="S138" s="280">
        <f>R138*12</f>
        <v>31734.48</v>
      </c>
      <c r="U138" s="279">
        <v>1</v>
      </c>
      <c r="V138" s="280">
        <f>'Porteiro 4'!$D$137</f>
        <v>3368.47</v>
      </c>
      <c r="W138" s="280">
        <f>V138*U138</f>
        <v>3368.47</v>
      </c>
      <c r="X138" s="280">
        <f>W138*12</f>
        <v>40421.64</v>
      </c>
      <c r="Z138" s="279">
        <v>1</v>
      </c>
      <c r="AA138" s="280">
        <v>2526.89</v>
      </c>
      <c r="AB138" s="262">
        <v>2526.89</v>
      </c>
      <c r="AC138" s="280">
        <v>30322.68</v>
      </c>
      <c r="AE138" s="405">
        <v>1</v>
      </c>
      <c r="AF138" s="454">
        <v>2850.11</v>
      </c>
      <c r="AG138" s="310">
        <v>2850.11</v>
      </c>
      <c r="AH138" s="325">
        <v>34201.32</v>
      </c>
      <c r="AJ138" s="405">
        <v>1</v>
      </c>
      <c r="AK138" s="454">
        <v>2850.11</v>
      </c>
      <c r="AL138" s="310">
        <v>2850.11</v>
      </c>
      <c r="AM138" s="325">
        <v>34201.32</v>
      </c>
      <c r="AO138" s="405">
        <v>1</v>
      </c>
      <c r="AP138" s="454">
        <v>2850.11</v>
      </c>
      <c r="AQ138" s="310">
        <v>2850.11</v>
      </c>
      <c r="AR138" s="325">
        <v>34201.32</v>
      </c>
      <c r="AT138" s="405">
        <v>1</v>
      </c>
      <c r="AU138" s="454">
        <f>'Porteiro 4'!$D$137</f>
        <v>3368.47</v>
      </c>
      <c r="AV138" s="310">
        <f>AU138*D138</f>
        <v>3368.47</v>
      </c>
      <c r="AW138" s="325">
        <f>AV138*12</f>
        <v>40421.64</v>
      </c>
      <c r="AX138" s="405">
        <v>1</v>
      </c>
      <c r="AY138" s="454">
        <f>'Porteiro 4'!$D$137</f>
        <v>3368.47</v>
      </c>
      <c r="AZ138" s="310">
        <f>AY138*AX138</f>
        <v>3368.47</v>
      </c>
      <c r="BA138" s="325">
        <f>AZ138*12</f>
        <v>40421.64</v>
      </c>
    </row>
    <row r="139" spans="2:57" x14ac:dyDescent="0.25">
      <c r="B139" s="323">
        <v>5</v>
      </c>
      <c r="C139" s="404" t="s">
        <v>292</v>
      </c>
      <c r="D139" s="405" t="s">
        <v>519</v>
      </c>
      <c r="E139" s="325" t="s">
        <v>519</v>
      </c>
      <c r="F139" s="325" t="s">
        <v>519</v>
      </c>
      <c r="G139" s="325" t="s">
        <v>519</v>
      </c>
      <c r="H139" s="325" t="s">
        <v>519</v>
      </c>
      <c r="I139" s="325" t="s">
        <v>519</v>
      </c>
      <c r="J139" s="325" t="s">
        <v>519</v>
      </c>
      <c r="K139" s="406" t="e">
        <f>H139*3</f>
        <v>#VALUE!</v>
      </c>
      <c r="L139" s="250"/>
      <c r="M139" s="407">
        <v>801649</v>
      </c>
      <c r="N139" s="250" t="s">
        <v>549</v>
      </c>
      <c r="O139" s="250"/>
      <c r="P139" s="405"/>
      <c r="Q139" s="325">
        <f>'ASG 4'!I117</f>
        <v>0</v>
      </c>
      <c r="R139" s="325">
        <f>Q139*P139</f>
        <v>0</v>
      </c>
      <c r="S139" s="325">
        <f>R139*12</f>
        <v>0</v>
      </c>
      <c r="T139" s="250"/>
      <c r="U139" s="250"/>
      <c r="V139" s="250"/>
      <c r="W139" s="250"/>
      <c r="X139" s="250"/>
      <c r="Y139" s="250"/>
      <c r="Z139" s="405">
        <v>1</v>
      </c>
      <c r="AA139" s="325">
        <v>1753.67</v>
      </c>
      <c r="AB139" s="410">
        <v>1753.67</v>
      </c>
      <c r="AC139" s="409">
        <v>21044.04</v>
      </c>
      <c r="AE139" s="405">
        <v>1</v>
      </c>
      <c r="AF139" s="454">
        <v>1956.31</v>
      </c>
      <c r="AG139" s="310">
        <v>1956.31</v>
      </c>
      <c r="AH139" s="325">
        <v>23475.72</v>
      </c>
      <c r="AJ139" s="405">
        <v>1</v>
      </c>
      <c r="AK139" s="454">
        <v>1956.31</v>
      </c>
      <c r="AL139" s="310">
        <v>1956.31</v>
      </c>
      <c r="AM139" s="325">
        <v>23475.72</v>
      </c>
      <c r="AO139" s="405">
        <v>1</v>
      </c>
      <c r="AP139" s="454">
        <v>1956.31</v>
      </c>
      <c r="AQ139" s="310">
        <v>1956.31</v>
      </c>
      <c r="AR139" s="325">
        <v>23475.72</v>
      </c>
      <c r="AT139" s="405">
        <v>1</v>
      </c>
      <c r="AU139" s="454">
        <f>'ASG 4'!$D$137</f>
        <v>2348.0500000000002</v>
      </c>
      <c r="AV139" s="310">
        <f>AU139*AT139</f>
        <v>2348.0500000000002</v>
      </c>
      <c r="AW139" s="325">
        <f>AV139*12</f>
        <v>28176.600000000002</v>
      </c>
      <c r="AX139" s="405">
        <v>1</v>
      </c>
      <c r="AY139" s="454">
        <f>'ASG 4'!$D$137</f>
        <v>2348.0500000000002</v>
      </c>
      <c r="AZ139" s="310">
        <f>AY139*AX139</f>
        <v>2348.0500000000002</v>
      </c>
      <c r="BA139" s="325">
        <f>AZ139*12</f>
        <v>28176.600000000002</v>
      </c>
    </row>
    <row r="140" spans="2:57" x14ac:dyDescent="0.25">
      <c r="B140" s="258">
        <v>8</v>
      </c>
      <c r="C140" s="259" t="s">
        <v>293</v>
      </c>
      <c r="D140" s="265">
        <v>1</v>
      </c>
      <c r="E140" s="261">
        <v>3016.01</v>
      </c>
      <c r="F140" s="280">
        <v>3016.01</v>
      </c>
      <c r="G140" s="280">
        <v>36192.120000000003</v>
      </c>
      <c r="H140" s="261">
        <f>'Oficial 4'!$D$136</f>
        <v>3551.03</v>
      </c>
      <c r="I140" s="280">
        <f>H140*D140</f>
        <v>3551.03</v>
      </c>
      <c r="J140" s="280">
        <f>I140*12</f>
        <v>42612.36</v>
      </c>
      <c r="L140" s="264">
        <f>I140*2</f>
        <v>7102.06</v>
      </c>
      <c r="M140" s="274">
        <v>802064</v>
      </c>
      <c r="N140" s="246" t="s">
        <v>554</v>
      </c>
      <c r="P140" s="265"/>
      <c r="Q140" s="261">
        <f>'Oficial 4'!I136</f>
        <v>0</v>
      </c>
      <c r="R140" s="280">
        <f>Q140*P140</f>
        <v>0</v>
      </c>
      <c r="S140" s="280">
        <f>R140*12</f>
        <v>0</v>
      </c>
      <c r="U140" s="265">
        <v>0</v>
      </c>
      <c r="V140" s="261">
        <f>'Oficial 4'!$D$136</f>
        <v>3551.03</v>
      </c>
      <c r="W140" s="280">
        <f>V140*U140</f>
        <v>0</v>
      </c>
      <c r="X140" s="280">
        <f>W140*12</f>
        <v>0</v>
      </c>
      <c r="Z140" s="265">
        <v>1</v>
      </c>
      <c r="AA140" s="261">
        <v>3268.33</v>
      </c>
      <c r="AB140" s="262">
        <v>3268.33</v>
      </c>
      <c r="AC140" s="280">
        <v>39219.96</v>
      </c>
      <c r="AE140" s="260">
        <v>1</v>
      </c>
      <c r="AF140" s="446">
        <v>3268.33</v>
      </c>
      <c r="AG140" s="310">
        <v>3268.33</v>
      </c>
      <c r="AH140" s="325">
        <v>39219.96</v>
      </c>
      <c r="AJ140" s="260">
        <v>1</v>
      </c>
      <c r="AK140" s="446">
        <v>3022.02</v>
      </c>
      <c r="AL140" s="310">
        <v>3022.02</v>
      </c>
      <c r="AM140" s="325">
        <v>36264.239999999998</v>
      </c>
      <c r="AO140" s="260">
        <v>1</v>
      </c>
      <c r="AP140" s="446">
        <v>3022.02</v>
      </c>
      <c r="AQ140" s="310">
        <v>3022.02</v>
      </c>
      <c r="AR140" s="325">
        <v>36264.239999999998</v>
      </c>
      <c r="AT140" s="260">
        <v>1</v>
      </c>
      <c r="AU140" s="446">
        <f>'Oficial 4'!$D$136</f>
        <v>3551.03</v>
      </c>
      <c r="AV140" s="310">
        <f>AU140*D140</f>
        <v>3551.03</v>
      </c>
      <c r="AW140" s="325">
        <f>AV140*12</f>
        <v>42612.36</v>
      </c>
      <c r="AX140" s="260">
        <v>1</v>
      </c>
      <c r="AY140" s="446">
        <f>'Oficial 4'!$D$136</f>
        <v>3551.03</v>
      </c>
      <c r="AZ140" s="310">
        <f>AY140*AX140</f>
        <v>3551.03</v>
      </c>
      <c r="BA140" s="325">
        <f>AZ140*12</f>
        <v>42612.36</v>
      </c>
    </row>
    <row r="141" spans="2:57" x14ac:dyDescent="0.25">
      <c r="B141" s="258">
        <v>9</v>
      </c>
      <c r="C141" s="259" t="s">
        <v>296</v>
      </c>
      <c r="D141" s="265">
        <v>1</v>
      </c>
      <c r="E141" s="261">
        <v>2345.2800000000002</v>
      </c>
      <c r="F141" s="280">
        <v>2345.2800000000002</v>
      </c>
      <c r="G141" s="280">
        <v>28143.360000000001</v>
      </c>
      <c r="H141" s="261">
        <f>'Op.de maq. 4'!$D$137</f>
        <v>3099.48</v>
      </c>
      <c r="I141" s="280">
        <f>H141*D141</f>
        <v>3099.48</v>
      </c>
      <c r="J141" s="280">
        <f>I141*12</f>
        <v>37193.760000000002</v>
      </c>
      <c r="L141" s="264">
        <f>I141*2</f>
        <v>6198.96</v>
      </c>
      <c r="M141" s="274">
        <v>802065</v>
      </c>
      <c r="N141" s="246" t="s">
        <v>554</v>
      </c>
      <c r="P141" s="265"/>
      <c r="Q141" s="261">
        <f>'Op.de maq. 4'!I137</f>
        <v>0</v>
      </c>
      <c r="R141" s="280">
        <f>Q141*P141</f>
        <v>0</v>
      </c>
      <c r="S141" s="280">
        <f>R141*12</f>
        <v>0</v>
      </c>
      <c r="U141" s="265">
        <v>0</v>
      </c>
      <c r="V141" s="261">
        <f>'Op.de maq. 4'!$D$137</f>
        <v>3099.48</v>
      </c>
      <c r="W141" s="280">
        <f>V141*U141</f>
        <v>0</v>
      </c>
      <c r="X141" s="280">
        <f>W141*12</f>
        <v>0</v>
      </c>
      <c r="Z141" s="265">
        <v>1</v>
      </c>
      <c r="AA141" s="261">
        <v>2345.2800000000002</v>
      </c>
      <c r="AB141" s="262">
        <v>2345.2800000000002</v>
      </c>
      <c r="AC141" s="280">
        <v>28143.360000000001</v>
      </c>
      <c r="AE141" s="265">
        <v>1</v>
      </c>
      <c r="AF141" s="441">
        <v>2619.04</v>
      </c>
      <c r="AG141" s="262">
        <v>2619.04</v>
      </c>
      <c r="AH141" s="280">
        <v>31428.48</v>
      </c>
      <c r="AJ141" s="265">
        <v>1</v>
      </c>
      <c r="AK141" s="441">
        <v>2619.04</v>
      </c>
      <c r="AL141" s="262">
        <v>2619.04</v>
      </c>
      <c r="AM141" s="280">
        <v>31428.48</v>
      </c>
      <c r="AO141" s="265">
        <v>1</v>
      </c>
      <c r="AP141" s="441">
        <v>2619.04</v>
      </c>
      <c r="AQ141" s="262">
        <v>2619.04</v>
      </c>
      <c r="AR141" s="280">
        <v>31428.48</v>
      </c>
      <c r="AT141" s="596">
        <v>0</v>
      </c>
      <c r="AU141" s="597">
        <f>'Op.de maq. 4'!$D$137</f>
        <v>3099.48</v>
      </c>
      <c r="AV141" s="598">
        <f>AU141*D141</f>
        <v>3099.48</v>
      </c>
      <c r="AW141" s="594">
        <f>AV141*12</f>
        <v>37193.760000000002</v>
      </c>
      <c r="AX141" s="596">
        <v>0</v>
      </c>
      <c r="AY141" s="597">
        <f>'Op.de maq. 4'!$D$137</f>
        <v>3099.48</v>
      </c>
      <c r="AZ141" s="598">
        <f>AY141*AX141</f>
        <v>0</v>
      </c>
      <c r="BA141" s="594">
        <f>AZ141*12</f>
        <v>0</v>
      </c>
    </row>
    <row r="142" spans="2:57" x14ac:dyDescent="0.25">
      <c r="B142" s="716"/>
      <c r="C142" s="716"/>
      <c r="D142" s="268">
        <f>SUM(D137:D141)</f>
        <v>4</v>
      </c>
      <c r="E142" s="269"/>
      <c r="F142" s="271">
        <v>9904.26</v>
      </c>
      <c r="G142" s="271">
        <v>118851.12000000001</v>
      </c>
      <c r="H142" s="269"/>
      <c r="I142" s="271">
        <f>SUM(I137:I141)</f>
        <v>12701.61</v>
      </c>
      <c r="J142" s="271">
        <f>SUM(J137:J141)</f>
        <v>152419.32</v>
      </c>
      <c r="L142" s="271">
        <f>SUM(L137:L141)</f>
        <v>25403.22</v>
      </c>
      <c r="P142" s="268">
        <f>SUM(P137:P141)</f>
        <v>1</v>
      </c>
      <c r="Q142" s="269"/>
      <c r="R142" s="271">
        <f>SUM(R137:R141)</f>
        <v>2644.54</v>
      </c>
      <c r="S142" s="271">
        <f>SUM(S137:S141)</f>
        <v>31734.48</v>
      </c>
      <c r="U142" s="268">
        <f>SUM(U137:U141)</f>
        <v>1</v>
      </c>
      <c r="V142" s="269"/>
      <c r="W142" s="271">
        <f>SUM(W137:W141)</f>
        <v>3368.47</v>
      </c>
      <c r="X142" s="271">
        <f>SUM(X137:X141)</f>
        <v>40421.64</v>
      </c>
      <c r="Z142" s="423">
        <v>5</v>
      </c>
      <c r="AA142" s="269"/>
      <c r="AB142" s="270">
        <v>11910.25</v>
      </c>
      <c r="AC142" s="271">
        <v>142923</v>
      </c>
      <c r="AE142" s="464">
        <v>5</v>
      </c>
      <c r="AF142" s="443"/>
      <c r="AG142" s="270">
        <v>12956.2</v>
      </c>
      <c r="AH142" s="271">
        <v>155474.4</v>
      </c>
      <c r="AJ142" s="470">
        <v>5</v>
      </c>
      <c r="AK142" s="443"/>
      <c r="AL142" s="270">
        <v>12709.89</v>
      </c>
      <c r="AM142" s="271">
        <v>152518.68</v>
      </c>
      <c r="AO142" s="575">
        <v>5</v>
      </c>
      <c r="AP142" s="443"/>
      <c r="AQ142" s="270">
        <v>12709.89</v>
      </c>
      <c r="AR142" s="271">
        <v>152518.68</v>
      </c>
      <c r="AT142" s="376">
        <f>SUM(AT137:AT141)</f>
        <v>4</v>
      </c>
      <c r="AU142" s="443"/>
      <c r="AV142" s="270">
        <f>SUM(AV137:AV141)</f>
        <v>15049.660000000002</v>
      </c>
      <c r="AW142" s="271">
        <f>SUM(AW137:AW141)</f>
        <v>180595.92</v>
      </c>
      <c r="AX142" s="608">
        <f>SUM(AX137:AX141)</f>
        <v>4</v>
      </c>
      <c r="AY142" s="443"/>
      <c r="AZ142" s="270">
        <f>SUM(AZ137:AZ141)</f>
        <v>11950.180000000002</v>
      </c>
      <c r="BA142" s="271">
        <f>SUM(BA137:BA141)</f>
        <v>143402.16</v>
      </c>
      <c r="BE142" s="272">
        <f>AU139*8</f>
        <v>18784.400000000001</v>
      </c>
    </row>
    <row r="143" spans="2:57" x14ac:dyDescent="0.25">
      <c r="AA143" s="717" t="s">
        <v>570</v>
      </c>
      <c r="AB143" s="717"/>
      <c r="AC143" s="717"/>
      <c r="AF143" s="717" t="s">
        <v>627</v>
      </c>
      <c r="AG143" s="717"/>
      <c r="AH143" s="717"/>
      <c r="AK143" s="717" t="s">
        <v>657</v>
      </c>
      <c r="AL143" s="717"/>
      <c r="AM143" s="717"/>
      <c r="AP143" s="717" t="s">
        <v>693</v>
      </c>
      <c r="AQ143" s="717"/>
      <c r="AR143" s="717"/>
      <c r="AU143" s="717" t="s">
        <v>693</v>
      </c>
      <c r="AV143" s="717"/>
      <c r="AW143" s="717"/>
      <c r="AY143" s="717" t="s">
        <v>693</v>
      </c>
      <c r="AZ143" s="717"/>
      <c r="BA143" s="717"/>
    </row>
    <row r="144" spans="2:57" x14ac:dyDescent="0.25">
      <c r="B144" s="276" t="s">
        <v>304</v>
      </c>
      <c r="C144" s="282" t="s">
        <v>504</v>
      </c>
      <c r="E144" s="717" t="s">
        <v>566</v>
      </c>
      <c r="F144" s="717"/>
      <c r="G144" s="717"/>
      <c r="H144" s="717" t="s">
        <v>569</v>
      </c>
      <c r="I144" s="717"/>
      <c r="J144" s="717"/>
      <c r="AA144" s="246" t="s">
        <v>645</v>
      </c>
      <c r="AF144" s="439"/>
      <c r="AK144" s="439"/>
    </row>
    <row r="145" spans="2:56" ht="47.25" x14ac:dyDescent="0.25">
      <c r="B145" s="256" t="s">
        <v>159</v>
      </c>
      <c r="C145" s="257" t="s">
        <v>160</v>
      </c>
      <c r="D145" s="257" t="s">
        <v>161</v>
      </c>
      <c r="E145" s="257" t="s">
        <v>168</v>
      </c>
      <c r="F145" s="257" t="s">
        <v>167</v>
      </c>
      <c r="G145" s="257" t="s">
        <v>162</v>
      </c>
      <c r="H145" s="257" t="s">
        <v>168</v>
      </c>
      <c r="I145" s="257" t="s">
        <v>167</v>
      </c>
      <c r="J145" s="257" t="s">
        <v>162</v>
      </c>
      <c r="L145" s="257" t="s">
        <v>520</v>
      </c>
      <c r="M145" s="257" t="s">
        <v>518</v>
      </c>
      <c r="N145" s="257" t="s">
        <v>548</v>
      </c>
      <c r="P145" s="257" t="s">
        <v>161</v>
      </c>
      <c r="Q145" s="257" t="s">
        <v>168</v>
      </c>
      <c r="R145" s="257" t="s">
        <v>167</v>
      </c>
      <c r="S145" s="257" t="s">
        <v>162</v>
      </c>
      <c r="U145" s="257" t="s">
        <v>161</v>
      </c>
      <c r="V145" s="257" t="s">
        <v>168</v>
      </c>
      <c r="W145" s="257" t="s">
        <v>167</v>
      </c>
      <c r="X145" s="257" t="s">
        <v>162</v>
      </c>
      <c r="Z145" s="257" t="s">
        <v>571</v>
      </c>
      <c r="AA145" s="257" t="s">
        <v>168</v>
      </c>
      <c r="AB145" s="257" t="s">
        <v>167</v>
      </c>
      <c r="AC145" s="257" t="s">
        <v>162</v>
      </c>
      <c r="AE145" s="257" t="s">
        <v>628</v>
      </c>
      <c r="AF145" s="440" t="s">
        <v>168</v>
      </c>
      <c r="AG145" s="257" t="s">
        <v>167</v>
      </c>
      <c r="AH145" s="257" t="s">
        <v>162</v>
      </c>
      <c r="AJ145" s="257" t="s">
        <v>628</v>
      </c>
      <c r="AK145" s="440" t="s">
        <v>168</v>
      </c>
      <c r="AL145" s="257" t="s">
        <v>167</v>
      </c>
      <c r="AM145" s="257" t="s">
        <v>162</v>
      </c>
      <c r="AO145" s="257" t="s">
        <v>628</v>
      </c>
      <c r="AP145" s="440" t="s">
        <v>168</v>
      </c>
      <c r="AQ145" s="257" t="s">
        <v>167</v>
      </c>
      <c r="AR145" s="257" t="s">
        <v>162</v>
      </c>
      <c r="AT145" s="257" t="s">
        <v>628</v>
      </c>
      <c r="AU145" s="440" t="s">
        <v>168</v>
      </c>
      <c r="AV145" s="257" t="s">
        <v>167</v>
      </c>
      <c r="AW145" s="257" t="s">
        <v>162</v>
      </c>
      <c r="AX145" s="257" t="s">
        <v>628</v>
      </c>
      <c r="AY145" s="440" t="s">
        <v>168</v>
      </c>
      <c r="AZ145" s="257" t="s">
        <v>167</v>
      </c>
      <c r="BA145" s="257" t="s">
        <v>162</v>
      </c>
    </row>
    <row r="146" spans="2:56" x14ac:dyDescent="0.25">
      <c r="B146" s="281">
        <v>2</v>
      </c>
      <c r="C146" s="278" t="s">
        <v>2</v>
      </c>
      <c r="D146" s="279">
        <v>3</v>
      </c>
      <c r="E146" s="298">
        <v>1993.11</v>
      </c>
      <c r="F146" s="280">
        <v>5979.33</v>
      </c>
      <c r="G146" s="280">
        <v>71751.959999999992</v>
      </c>
      <c r="H146" s="298">
        <f>'Recepção 3'!$D$137</f>
        <v>2652.06</v>
      </c>
      <c r="I146" s="280">
        <f>H146*D146</f>
        <v>7956.18</v>
      </c>
      <c r="J146" s="280">
        <f>I146*12</f>
        <v>95474.16</v>
      </c>
      <c r="L146" s="264">
        <f>I146*2</f>
        <v>15912.36</v>
      </c>
      <c r="M146" s="274">
        <v>802066</v>
      </c>
      <c r="N146" s="246" t="s">
        <v>554</v>
      </c>
      <c r="P146" s="279">
        <v>3</v>
      </c>
      <c r="Q146" s="298">
        <v>2039.36</v>
      </c>
      <c r="R146" s="280">
        <f>Q146*P146</f>
        <v>6118.08</v>
      </c>
      <c r="S146" s="280">
        <f>R146*12</f>
        <v>73416.959999999992</v>
      </c>
      <c r="U146" s="279">
        <v>3</v>
      </c>
      <c r="V146" s="298">
        <f>'Recepção 3'!$D$137</f>
        <v>2652.06</v>
      </c>
      <c r="W146" s="280">
        <f>V146*U146</f>
        <v>7956.18</v>
      </c>
      <c r="X146" s="280">
        <f>W146*12</f>
        <v>95474.16</v>
      </c>
      <c r="Z146" s="279">
        <v>3</v>
      </c>
      <c r="AA146" s="298">
        <v>1993.11</v>
      </c>
      <c r="AB146" s="262">
        <v>5979.33</v>
      </c>
      <c r="AC146" s="280">
        <v>71751.959999999992</v>
      </c>
      <c r="AE146" s="279">
        <v>3</v>
      </c>
      <c r="AF146" s="452">
        <v>2236.62</v>
      </c>
      <c r="AG146" s="262">
        <v>6709.86</v>
      </c>
      <c r="AH146" s="280">
        <v>80518.319999999992</v>
      </c>
      <c r="AJ146" s="279">
        <v>3</v>
      </c>
      <c r="AK146" s="452">
        <v>2236.62</v>
      </c>
      <c r="AL146" s="262">
        <v>6709.86</v>
      </c>
      <c r="AM146" s="280">
        <v>80518.319999999992</v>
      </c>
      <c r="AO146" s="279">
        <v>3</v>
      </c>
      <c r="AP146" s="452">
        <v>2236.62</v>
      </c>
      <c r="AQ146" s="262">
        <v>6709.86</v>
      </c>
      <c r="AR146" s="280">
        <v>80518.319999999992</v>
      </c>
      <c r="AT146" s="279">
        <v>5</v>
      </c>
      <c r="AU146" s="452">
        <f>'Recepção 3'!$D$137</f>
        <v>2652.06</v>
      </c>
      <c r="AV146" s="262">
        <f t="shared" ref="AV146:AV152" si="57">AU146*AT146</f>
        <v>13260.3</v>
      </c>
      <c r="AW146" s="280">
        <f>AV146*12</f>
        <v>159123.59999999998</v>
      </c>
      <c r="AX146" s="279">
        <v>5</v>
      </c>
      <c r="AY146" s="452">
        <f>'Recepção 3'!$D$137</f>
        <v>2652.06</v>
      </c>
      <c r="AZ146" s="262">
        <f t="shared" ref="AZ146:AZ152" si="58">AY146*AX146</f>
        <v>13260.3</v>
      </c>
      <c r="BA146" s="280">
        <f>AZ146*12</f>
        <v>159123.59999999998</v>
      </c>
    </row>
    <row r="147" spans="2:56" x14ac:dyDescent="0.25">
      <c r="B147" s="281">
        <v>4</v>
      </c>
      <c r="C147" s="278" t="s">
        <v>3</v>
      </c>
      <c r="D147" s="279">
        <v>1</v>
      </c>
      <c r="E147" s="298">
        <v>2498.1</v>
      </c>
      <c r="F147" s="280">
        <v>2498.1</v>
      </c>
      <c r="G147" s="280">
        <v>29977.199999999997</v>
      </c>
      <c r="H147" s="298">
        <f>'Porteiro 3'!$D$137</f>
        <v>3330.09</v>
      </c>
      <c r="I147" s="280">
        <f t="shared" ref="I147:I152" si="59">H147*D147</f>
        <v>3330.09</v>
      </c>
      <c r="J147" s="280">
        <f t="shared" ref="J147:J152" si="60">I147*12</f>
        <v>39961.08</v>
      </c>
      <c r="L147" s="264">
        <f t="shared" ref="L147:L152" si="61">I147*2</f>
        <v>6660.18</v>
      </c>
      <c r="M147" s="274">
        <v>802066</v>
      </c>
      <c r="N147" s="246" t="s">
        <v>554</v>
      </c>
      <c r="P147" s="279">
        <v>1</v>
      </c>
      <c r="Q147" s="298">
        <v>2585.48</v>
      </c>
      <c r="R147" s="280">
        <f t="shared" ref="R147:R152" si="62">Q147*P147</f>
        <v>2585.48</v>
      </c>
      <c r="S147" s="280">
        <f t="shared" ref="S147:S152" si="63">R147*12</f>
        <v>31025.760000000002</v>
      </c>
      <c r="U147" s="279">
        <v>1</v>
      </c>
      <c r="V147" s="298">
        <f>'Porteiro 3'!$D$137</f>
        <v>3330.09</v>
      </c>
      <c r="W147" s="280">
        <f t="shared" ref="W147:W152" si="64">V147*U147</f>
        <v>3330.09</v>
      </c>
      <c r="X147" s="280">
        <f t="shared" ref="X147:X152" si="65">W147*12</f>
        <v>39961.08</v>
      </c>
      <c r="Z147" s="279">
        <v>1</v>
      </c>
      <c r="AA147" s="298">
        <v>2498.1</v>
      </c>
      <c r="AB147" s="262">
        <v>2498.1</v>
      </c>
      <c r="AC147" s="280">
        <v>29977.199999999997</v>
      </c>
      <c r="AE147" s="279">
        <v>1</v>
      </c>
      <c r="AF147" s="452">
        <v>2817.63</v>
      </c>
      <c r="AG147" s="262">
        <v>2817.63</v>
      </c>
      <c r="AH147" s="280">
        <v>33811.56</v>
      </c>
      <c r="AJ147" s="279">
        <v>1</v>
      </c>
      <c r="AK147" s="452">
        <v>2817.63</v>
      </c>
      <c r="AL147" s="262">
        <v>2817.63</v>
      </c>
      <c r="AM147" s="280">
        <v>33811.56</v>
      </c>
      <c r="AO147" s="279">
        <v>1</v>
      </c>
      <c r="AP147" s="452">
        <v>2817.63</v>
      </c>
      <c r="AQ147" s="262">
        <v>2817.63</v>
      </c>
      <c r="AR147" s="280">
        <v>33811.56</v>
      </c>
      <c r="AT147" s="279">
        <v>1</v>
      </c>
      <c r="AU147" s="452">
        <f>'Porteiro 3'!$D$137</f>
        <v>3330.09</v>
      </c>
      <c r="AV147" s="262">
        <f t="shared" si="57"/>
        <v>3330.09</v>
      </c>
      <c r="AW147" s="280">
        <f t="shared" ref="AW147:AW152" si="66">AV147*12</f>
        <v>39961.08</v>
      </c>
      <c r="AX147" s="279">
        <v>1</v>
      </c>
      <c r="AY147" s="452">
        <f>'Porteiro 3'!$D$137</f>
        <v>3330.09</v>
      </c>
      <c r="AZ147" s="262">
        <f t="shared" si="58"/>
        <v>3330.09</v>
      </c>
      <c r="BA147" s="280">
        <f t="shared" ref="BA147:BA152" si="67">AZ147*12</f>
        <v>39961.08</v>
      </c>
    </row>
    <row r="148" spans="2:56" x14ac:dyDescent="0.25">
      <c r="B148" s="281">
        <v>5</v>
      </c>
      <c r="C148" s="278" t="s">
        <v>292</v>
      </c>
      <c r="D148" s="279">
        <v>4</v>
      </c>
      <c r="E148" s="298">
        <v>1733.68</v>
      </c>
      <c r="F148" s="280">
        <v>6934.72</v>
      </c>
      <c r="G148" s="280">
        <v>83216.639999999999</v>
      </c>
      <c r="H148" s="298">
        <f>'ASG 3'!$D$137</f>
        <v>2321.3000000000002</v>
      </c>
      <c r="I148" s="280">
        <f t="shared" si="59"/>
        <v>9285.2000000000007</v>
      </c>
      <c r="J148" s="280">
        <f t="shared" si="60"/>
        <v>111422.40000000001</v>
      </c>
      <c r="L148" s="264">
        <f t="shared" si="61"/>
        <v>18570.400000000001</v>
      </c>
      <c r="M148" s="274">
        <v>802066</v>
      </c>
      <c r="N148" s="246" t="s">
        <v>554</v>
      </c>
      <c r="P148" s="279">
        <v>3</v>
      </c>
      <c r="Q148" s="298">
        <v>2437.31</v>
      </c>
      <c r="R148" s="280">
        <f t="shared" si="62"/>
        <v>7311.93</v>
      </c>
      <c r="S148" s="280">
        <f t="shared" si="63"/>
        <v>87743.16</v>
      </c>
      <c r="U148" s="279">
        <v>3</v>
      </c>
      <c r="V148" s="298">
        <f>'ASG 3'!$D$137</f>
        <v>2321.3000000000002</v>
      </c>
      <c r="W148" s="280">
        <f t="shared" si="64"/>
        <v>6963.9000000000005</v>
      </c>
      <c r="X148" s="280">
        <f t="shared" si="65"/>
        <v>83566.8</v>
      </c>
      <c r="Z148" s="279">
        <v>4</v>
      </c>
      <c r="AA148" s="298">
        <v>1733.68</v>
      </c>
      <c r="AB148" s="262">
        <v>6934.72</v>
      </c>
      <c r="AC148" s="280">
        <v>83216.639999999999</v>
      </c>
      <c r="AE148" s="279">
        <v>4</v>
      </c>
      <c r="AF148" s="452">
        <v>1934.02</v>
      </c>
      <c r="AG148" s="262">
        <v>7736.08</v>
      </c>
      <c r="AH148" s="280">
        <v>92832.959999999992</v>
      </c>
      <c r="AJ148" s="279">
        <v>4</v>
      </c>
      <c r="AK148" s="452">
        <v>1934.02</v>
      </c>
      <c r="AL148" s="262">
        <v>7736.08</v>
      </c>
      <c r="AM148" s="280">
        <v>92832.959999999992</v>
      </c>
      <c r="AO148" s="279">
        <v>4</v>
      </c>
      <c r="AP148" s="452">
        <v>1934.02</v>
      </c>
      <c r="AQ148" s="262">
        <v>7736.08</v>
      </c>
      <c r="AR148" s="280">
        <v>92832.959999999992</v>
      </c>
      <c r="AT148" s="279">
        <v>0</v>
      </c>
      <c r="AU148" s="452">
        <f>'ASG 3'!$D$137</f>
        <v>2321.3000000000002</v>
      </c>
      <c r="AV148" s="262">
        <f t="shared" si="57"/>
        <v>0</v>
      </c>
      <c r="AW148" s="280">
        <f t="shared" si="66"/>
        <v>0</v>
      </c>
      <c r="AX148" s="279">
        <v>0</v>
      </c>
      <c r="AY148" s="452">
        <f>'ASG 3'!$D$137</f>
        <v>2321.3000000000002</v>
      </c>
      <c r="AZ148" s="262">
        <f t="shared" si="58"/>
        <v>0</v>
      </c>
      <c r="BA148" s="280">
        <f t="shared" si="67"/>
        <v>0</v>
      </c>
    </row>
    <row r="149" spans="2:56" x14ac:dyDescent="0.25">
      <c r="B149" s="281">
        <v>6</v>
      </c>
      <c r="C149" s="278" t="s">
        <v>305</v>
      </c>
      <c r="D149" s="279">
        <v>1</v>
      </c>
      <c r="E149" s="280">
        <v>2981.85</v>
      </c>
      <c r="F149" s="280">
        <v>2981.85</v>
      </c>
      <c r="G149" s="280">
        <v>35782.199999999997</v>
      </c>
      <c r="H149" s="280">
        <f>'Caldereiro 3'!$D$136</f>
        <v>3902.63</v>
      </c>
      <c r="I149" s="280">
        <f t="shared" si="59"/>
        <v>3902.63</v>
      </c>
      <c r="J149" s="280">
        <f t="shared" si="60"/>
        <v>46831.56</v>
      </c>
      <c r="L149" s="264">
        <f t="shared" si="61"/>
        <v>7805.26</v>
      </c>
      <c r="M149" s="274">
        <v>802066</v>
      </c>
      <c r="N149" s="246" t="s">
        <v>554</v>
      </c>
      <c r="P149" s="279"/>
      <c r="Q149" s="280">
        <f>'Caldereiro 3'!I136</f>
        <v>0</v>
      </c>
      <c r="R149" s="280">
        <f t="shared" si="62"/>
        <v>0</v>
      </c>
      <c r="S149" s="280">
        <f t="shared" si="63"/>
        <v>0</v>
      </c>
      <c r="U149" s="279">
        <v>0</v>
      </c>
      <c r="V149" s="280">
        <f>'Caldereiro 3'!$D$136</f>
        <v>3902.63</v>
      </c>
      <c r="W149" s="280">
        <f t="shared" si="64"/>
        <v>0</v>
      </c>
      <c r="X149" s="280">
        <f t="shared" si="65"/>
        <v>0</v>
      </c>
      <c r="Z149" s="279">
        <v>1</v>
      </c>
      <c r="AA149" s="280">
        <v>3274.27</v>
      </c>
      <c r="AB149" s="262">
        <v>3274.27</v>
      </c>
      <c r="AC149" s="280">
        <v>39291.24</v>
      </c>
      <c r="AE149" s="279">
        <v>1</v>
      </c>
      <c r="AF149" s="450">
        <v>3274.27</v>
      </c>
      <c r="AG149" s="262">
        <v>3274.27</v>
      </c>
      <c r="AH149" s="280">
        <v>39291.24</v>
      </c>
      <c r="AJ149" s="279">
        <v>1</v>
      </c>
      <c r="AK149" s="450">
        <v>3274.27</v>
      </c>
      <c r="AL149" s="262">
        <v>3274.27</v>
      </c>
      <c r="AM149" s="280">
        <v>39291.24</v>
      </c>
      <c r="AO149" s="279">
        <v>1</v>
      </c>
      <c r="AP149" s="450">
        <v>3274.27</v>
      </c>
      <c r="AQ149" s="262">
        <v>3274.27</v>
      </c>
      <c r="AR149" s="280">
        <v>39291.24</v>
      </c>
      <c r="AT149" s="279">
        <v>1</v>
      </c>
      <c r="AU149" s="450">
        <f>'Caldereiro 3'!$D$136</f>
        <v>3902.63</v>
      </c>
      <c r="AV149" s="262">
        <f t="shared" si="57"/>
        <v>3902.63</v>
      </c>
      <c r="AW149" s="280">
        <f t="shared" si="66"/>
        <v>46831.56</v>
      </c>
      <c r="AX149" s="279">
        <v>1</v>
      </c>
      <c r="AY149" s="450">
        <f>'Caldereiro 3'!$D$136</f>
        <v>3902.63</v>
      </c>
      <c r="AZ149" s="262">
        <f t="shared" si="58"/>
        <v>3902.63</v>
      </c>
      <c r="BA149" s="280">
        <f t="shared" si="67"/>
        <v>46831.56</v>
      </c>
    </row>
    <row r="150" spans="2:56" x14ac:dyDescent="0.25">
      <c r="B150" s="258">
        <v>8</v>
      </c>
      <c r="C150" s="259" t="s">
        <v>293</v>
      </c>
      <c r="D150" s="265">
        <v>1</v>
      </c>
      <c r="E150" s="261">
        <v>2981.64</v>
      </c>
      <c r="F150" s="280">
        <v>2981.64</v>
      </c>
      <c r="G150" s="280">
        <v>35779.68</v>
      </c>
      <c r="H150" s="261">
        <f>'Oficial 3'!$D$136</f>
        <v>3510.56</v>
      </c>
      <c r="I150" s="280">
        <f t="shared" si="59"/>
        <v>3510.56</v>
      </c>
      <c r="J150" s="280">
        <f t="shared" si="60"/>
        <v>42126.720000000001</v>
      </c>
      <c r="L150" s="264">
        <f t="shared" si="61"/>
        <v>7021.12</v>
      </c>
      <c r="M150" s="274">
        <v>802067</v>
      </c>
      <c r="N150" s="246" t="s">
        <v>554</v>
      </c>
      <c r="P150" s="265">
        <v>1</v>
      </c>
      <c r="Q150" s="261">
        <v>2921.02</v>
      </c>
      <c r="R150" s="280">
        <f t="shared" si="62"/>
        <v>2921.02</v>
      </c>
      <c r="S150" s="280">
        <f t="shared" si="63"/>
        <v>35052.239999999998</v>
      </c>
      <c r="U150" s="265">
        <v>1</v>
      </c>
      <c r="V150" s="261">
        <f>'Oficial 3'!$D$136</f>
        <v>3510.56</v>
      </c>
      <c r="W150" s="280">
        <f t="shared" si="64"/>
        <v>3510.56</v>
      </c>
      <c r="X150" s="280">
        <f t="shared" si="65"/>
        <v>42126.720000000001</v>
      </c>
      <c r="Z150" s="401">
        <v>2</v>
      </c>
      <c r="AA150" s="402">
        <v>3231.08</v>
      </c>
      <c r="AB150" s="403">
        <v>6462.16</v>
      </c>
      <c r="AC150" s="409">
        <v>77545.919999999998</v>
      </c>
      <c r="AE150" s="260">
        <v>2</v>
      </c>
      <c r="AF150" s="446">
        <v>3231.08</v>
      </c>
      <c r="AG150" s="310">
        <v>6462.16</v>
      </c>
      <c r="AH150" s="325">
        <v>77545.919999999998</v>
      </c>
      <c r="AJ150" s="260">
        <v>2</v>
      </c>
      <c r="AK150" s="446">
        <v>2987.6</v>
      </c>
      <c r="AL150" s="310">
        <v>5975.2</v>
      </c>
      <c r="AM150" s="325">
        <v>71702.399999999994</v>
      </c>
      <c r="AO150" s="260">
        <v>2</v>
      </c>
      <c r="AP150" s="446">
        <v>2987.6</v>
      </c>
      <c r="AQ150" s="310">
        <v>5975.2</v>
      </c>
      <c r="AR150" s="325">
        <v>71702.399999999994</v>
      </c>
      <c r="AT150" s="260">
        <v>2</v>
      </c>
      <c r="AU150" s="446">
        <f>'Oficial 3'!$D$136</f>
        <v>3510.56</v>
      </c>
      <c r="AV150" s="310">
        <f t="shared" si="57"/>
        <v>7021.12</v>
      </c>
      <c r="AW150" s="325">
        <f t="shared" si="66"/>
        <v>84253.440000000002</v>
      </c>
      <c r="AX150" s="260">
        <v>2</v>
      </c>
      <c r="AY150" s="446">
        <f>'Oficial 3'!$D$136</f>
        <v>3510.56</v>
      </c>
      <c r="AZ150" s="310">
        <f t="shared" si="58"/>
        <v>7021.12</v>
      </c>
      <c r="BA150" s="325">
        <f t="shared" si="67"/>
        <v>84253.440000000002</v>
      </c>
      <c r="BD150" s="272">
        <f>AU150*8</f>
        <v>28084.48</v>
      </c>
    </row>
    <row r="151" spans="2:56" x14ac:dyDescent="0.25">
      <c r="B151" s="258">
        <v>9</v>
      </c>
      <c r="C151" s="259" t="s">
        <v>296</v>
      </c>
      <c r="D151" s="265">
        <v>3</v>
      </c>
      <c r="E151" s="261">
        <v>2318.56</v>
      </c>
      <c r="F151" s="280">
        <v>6955.68</v>
      </c>
      <c r="G151" s="280">
        <v>83468.160000000003</v>
      </c>
      <c r="H151" s="261">
        <f>'Op.de maq. 3'!$D$137</f>
        <v>3064.16</v>
      </c>
      <c r="I151" s="280">
        <f t="shared" si="59"/>
        <v>9192.48</v>
      </c>
      <c r="J151" s="280">
        <f t="shared" si="60"/>
        <v>110309.75999999999</v>
      </c>
      <c r="L151" s="264">
        <f t="shared" si="61"/>
        <v>18384.96</v>
      </c>
      <c r="M151" s="274">
        <v>802066</v>
      </c>
      <c r="N151" s="246" t="s">
        <v>554</v>
      </c>
      <c r="P151" s="265"/>
      <c r="Q151" s="261">
        <f>'Op.de maq. 3'!I137</f>
        <v>0</v>
      </c>
      <c r="R151" s="280">
        <f t="shared" si="62"/>
        <v>0</v>
      </c>
      <c r="S151" s="280">
        <f t="shared" si="63"/>
        <v>0</v>
      </c>
      <c r="U151" s="265">
        <v>0</v>
      </c>
      <c r="V151" s="261">
        <f>'Op.de maq. 3'!$D$137</f>
        <v>3064.16</v>
      </c>
      <c r="W151" s="280">
        <f t="shared" si="64"/>
        <v>0</v>
      </c>
      <c r="X151" s="280">
        <f t="shared" si="65"/>
        <v>0</v>
      </c>
      <c r="Z151" s="265">
        <v>3</v>
      </c>
      <c r="AA151" s="261">
        <v>2318.56</v>
      </c>
      <c r="AB151" s="262">
        <v>6955.68</v>
      </c>
      <c r="AC151" s="280">
        <v>83468.160000000003</v>
      </c>
      <c r="AE151" s="260">
        <v>3</v>
      </c>
      <c r="AF151" s="446">
        <v>2589.1999999999998</v>
      </c>
      <c r="AG151" s="310">
        <v>7767.5999999999995</v>
      </c>
      <c r="AH151" s="325">
        <v>93211.199999999997</v>
      </c>
      <c r="AJ151" s="260">
        <v>3</v>
      </c>
      <c r="AK151" s="446">
        <v>2589.1999999999998</v>
      </c>
      <c r="AL151" s="310">
        <v>7767.5999999999995</v>
      </c>
      <c r="AM151" s="325">
        <v>93211.199999999997</v>
      </c>
      <c r="AO151" s="260">
        <v>3</v>
      </c>
      <c r="AP151" s="446">
        <v>2589.1999999999998</v>
      </c>
      <c r="AQ151" s="310">
        <v>7767.5999999999995</v>
      </c>
      <c r="AR151" s="325">
        <v>93211.199999999997</v>
      </c>
      <c r="AT151" s="260">
        <v>2</v>
      </c>
      <c r="AU151" s="446">
        <f>'Op.de maq. 3'!$D$137</f>
        <v>3064.16</v>
      </c>
      <c r="AV151" s="310">
        <f t="shared" si="57"/>
        <v>6128.32</v>
      </c>
      <c r="AW151" s="325">
        <f t="shared" si="66"/>
        <v>73539.839999999997</v>
      </c>
      <c r="AX151" s="260">
        <v>0</v>
      </c>
      <c r="AY151" s="446">
        <f>'Op.de maq. 3'!$D$137</f>
        <v>3064.16</v>
      </c>
      <c r="AZ151" s="310">
        <f t="shared" si="58"/>
        <v>0</v>
      </c>
      <c r="BA151" s="325">
        <f t="shared" si="67"/>
        <v>0</v>
      </c>
    </row>
    <row r="152" spans="2:56" x14ac:dyDescent="0.25">
      <c r="B152" s="258">
        <v>10</v>
      </c>
      <c r="C152" s="259" t="s">
        <v>4</v>
      </c>
      <c r="D152" s="265">
        <v>1</v>
      </c>
      <c r="E152" s="261">
        <v>1951.36</v>
      </c>
      <c r="F152" s="280">
        <v>1951.36</v>
      </c>
      <c r="G152" s="280">
        <v>23416.32</v>
      </c>
      <c r="H152" s="261">
        <f>'Jardineiro 3'!$D$137</f>
        <v>2504.21</v>
      </c>
      <c r="I152" s="280">
        <f t="shared" si="59"/>
        <v>2504.21</v>
      </c>
      <c r="J152" s="280">
        <f t="shared" si="60"/>
        <v>30050.52</v>
      </c>
      <c r="L152" s="264">
        <f t="shared" si="61"/>
        <v>5008.42</v>
      </c>
      <c r="M152" s="274">
        <v>802066</v>
      </c>
      <c r="N152" s="246" t="s">
        <v>554</v>
      </c>
      <c r="P152" s="265">
        <v>4</v>
      </c>
      <c r="Q152" s="261">
        <v>2031.16</v>
      </c>
      <c r="R152" s="280">
        <f t="shared" si="62"/>
        <v>8124.64</v>
      </c>
      <c r="S152" s="280">
        <f t="shared" si="63"/>
        <v>97495.680000000008</v>
      </c>
      <c r="U152" s="265">
        <v>4</v>
      </c>
      <c r="V152" s="261">
        <f>'Jardineiro 3'!$D$137</f>
        <v>2504.21</v>
      </c>
      <c r="W152" s="280">
        <f t="shared" si="64"/>
        <v>10016.84</v>
      </c>
      <c r="X152" s="280">
        <f t="shared" si="65"/>
        <v>120202.08</v>
      </c>
      <c r="Z152" s="265">
        <v>1</v>
      </c>
      <c r="AA152" s="261">
        <v>1951.36</v>
      </c>
      <c r="AB152" s="262">
        <v>1951.36</v>
      </c>
      <c r="AC152" s="280">
        <v>23416.32</v>
      </c>
      <c r="AE152" s="265">
        <v>1</v>
      </c>
      <c r="AF152" s="441">
        <v>2176.35</v>
      </c>
      <c r="AG152" s="262">
        <v>2176.35</v>
      </c>
      <c r="AH152" s="280">
        <v>26116.199999999997</v>
      </c>
      <c r="AJ152" s="265">
        <v>1</v>
      </c>
      <c r="AK152" s="441">
        <v>2176.35</v>
      </c>
      <c r="AL152" s="262">
        <v>2176.35</v>
      </c>
      <c r="AM152" s="280">
        <v>26116.199999999997</v>
      </c>
      <c r="AO152" s="265">
        <v>1</v>
      </c>
      <c r="AP152" s="441">
        <v>2176.35</v>
      </c>
      <c r="AQ152" s="262">
        <v>2176.35</v>
      </c>
      <c r="AR152" s="280">
        <v>26116.199999999997</v>
      </c>
      <c r="AT152" s="265">
        <v>1</v>
      </c>
      <c r="AU152" s="441">
        <f>'Jardineiro 3'!$D$137</f>
        <v>2504.21</v>
      </c>
      <c r="AV152" s="262">
        <f t="shared" si="57"/>
        <v>2504.21</v>
      </c>
      <c r="AW152" s="280">
        <f t="shared" si="66"/>
        <v>30050.52</v>
      </c>
      <c r="AX152" s="265">
        <v>1</v>
      </c>
      <c r="AY152" s="441">
        <f>'Jardineiro 3'!$D$137</f>
        <v>2504.21</v>
      </c>
      <c r="AZ152" s="262">
        <f t="shared" si="58"/>
        <v>2504.21</v>
      </c>
      <c r="BA152" s="280">
        <f t="shared" si="67"/>
        <v>30050.52</v>
      </c>
    </row>
    <row r="153" spans="2:56" x14ac:dyDescent="0.25">
      <c r="B153" s="716"/>
      <c r="C153" s="716"/>
      <c r="D153" s="268">
        <f>SUM(D146:D152)</f>
        <v>14</v>
      </c>
      <c r="E153" s="269"/>
      <c r="F153" s="271">
        <v>30282.68</v>
      </c>
      <c r="G153" s="271">
        <v>363392.16</v>
      </c>
      <c r="H153" s="269"/>
      <c r="I153" s="271">
        <f>SUM(I146:I152)</f>
        <v>39681.35</v>
      </c>
      <c r="J153" s="271">
        <f>SUM(J146:J152)</f>
        <v>476176.20000000007</v>
      </c>
      <c r="L153" s="271">
        <f>SUM(L146:L152)</f>
        <v>79362.7</v>
      </c>
      <c r="P153" s="268">
        <f>SUM(P146:P152)</f>
        <v>12</v>
      </c>
      <c r="Q153" s="269"/>
      <c r="R153" s="271">
        <f>SUM(R146:R152)</f>
        <v>27061.149999999998</v>
      </c>
      <c r="S153" s="271">
        <f>SUM(S146:S152)</f>
        <v>324733.8</v>
      </c>
      <c r="U153" s="268">
        <f>SUM(U146:U152)</f>
        <v>12</v>
      </c>
      <c r="V153" s="269"/>
      <c r="W153" s="271">
        <f>SUM(W146:W152)</f>
        <v>31777.570000000003</v>
      </c>
      <c r="X153" s="271">
        <f>SUM(X146:X152)</f>
        <v>381330.83999999997</v>
      </c>
      <c r="Z153" s="423">
        <v>15</v>
      </c>
      <c r="AA153" s="269"/>
      <c r="AB153" s="270">
        <v>34055.620000000003</v>
      </c>
      <c r="AC153" s="271">
        <v>408667.44</v>
      </c>
      <c r="AE153" s="464">
        <v>15</v>
      </c>
      <c r="AF153" s="443"/>
      <c r="AG153" s="270">
        <v>36943.949999999997</v>
      </c>
      <c r="AH153" s="271">
        <v>443327.39999999997</v>
      </c>
      <c r="AJ153" s="470">
        <v>15</v>
      </c>
      <c r="AK153" s="443"/>
      <c r="AL153" s="270">
        <v>36456.99</v>
      </c>
      <c r="AM153" s="271">
        <v>437483.88</v>
      </c>
      <c r="AO153" s="575">
        <v>15</v>
      </c>
      <c r="AP153" s="443"/>
      <c r="AQ153" s="270">
        <v>36456.99</v>
      </c>
      <c r="AR153" s="271">
        <v>437483.88</v>
      </c>
      <c r="AT153" s="376">
        <f>SUM(AT146:AT152)</f>
        <v>12</v>
      </c>
      <c r="AU153" s="443"/>
      <c r="AV153" s="270">
        <f>SUM(AV146:AV152)</f>
        <v>36146.67</v>
      </c>
      <c r="AW153" s="271">
        <f>SUM(AW146:AW152)</f>
        <v>433760.04000000004</v>
      </c>
      <c r="AX153" s="608">
        <f>SUM(AX146:AX152)</f>
        <v>10</v>
      </c>
      <c r="AY153" s="443"/>
      <c r="AZ153" s="270">
        <f>SUM(AZ146:AZ152)</f>
        <v>30018.35</v>
      </c>
      <c r="BA153" s="271">
        <f>SUM(BA146:BA152)</f>
        <v>360220.2</v>
      </c>
    </row>
    <row r="154" spans="2:56" x14ac:dyDescent="0.25">
      <c r="B154" s="511"/>
      <c r="C154" s="511"/>
      <c r="D154" s="511"/>
      <c r="E154" s="512"/>
      <c r="F154" s="519"/>
      <c r="G154" s="519"/>
      <c r="H154" s="512"/>
      <c r="I154" s="519"/>
      <c r="J154" s="519"/>
      <c r="L154" s="514"/>
      <c r="P154" s="511"/>
      <c r="Q154" s="515"/>
      <c r="R154" s="514"/>
      <c r="S154" s="514"/>
      <c r="U154" s="511"/>
      <c r="V154" s="515"/>
      <c r="W154" s="514"/>
      <c r="X154" s="514"/>
      <c r="Z154" s="511"/>
      <c r="AA154" s="515"/>
      <c r="AB154" s="516"/>
      <c r="AC154" s="514"/>
      <c r="AE154" s="511"/>
      <c r="AF154" s="517"/>
      <c r="AG154" s="516"/>
      <c r="AH154" s="514"/>
      <c r="AJ154" s="511"/>
      <c r="AK154" s="518"/>
      <c r="AL154" s="513"/>
      <c r="AM154" s="519"/>
      <c r="AO154" s="511"/>
      <c r="AP154" s="717" t="s">
        <v>693</v>
      </c>
      <c r="AQ154" s="717"/>
      <c r="AR154" s="717"/>
      <c r="AT154" s="511"/>
      <c r="AU154" s="717" t="s">
        <v>693</v>
      </c>
      <c r="AV154" s="717"/>
      <c r="AW154" s="717"/>
      <c r="AX154" s="511"/>
      <c r="AY154" s="717" t="s">
        <v>693</v>
      </c>
      <c r="AZ154" s="717"/>
      <c r="BA154" s="717"/>
    </row>
    <row r="155" spans="2:56" x14ac:dyDescent="0.25">
      <c r="B155" s="276" t="s">
        <v>513</v>
      </c>
      <c r="C155" s="282" t="s">
        <v>505</v>
      </c>
      <c r="E155" s="717" t="s">
        <v>566</v>
      </c>
      <c r="F155" s="717"/>
      <c r="G155" s="717"/>
      <c r="H155" s="717" t="s">
        <v>569</v>
      </c>
      <c r="I155" s="717"/>
      <c r="J155" s="717"/>
      <c r="AA155" s="246" t="s">
        <v>645</v>
      </c>
      <c r="AF155" s="439"/>
      <c r="AK155" s="717" t="s">
        <v>657</v>
      </c>
      <c r="AL155" s="717"/>
      <c r="AM155" s="717"/>
    </row>
    <row r="156" spans="2:56" ht="47.25" x14ac:dyDescent="0.25">
      <c r="B156" s="256" t="s">
        <v>159</v>
      </c>
      <c r="C156" s="257" t="s">
        <v>160</v>
      </c>
      <c r="D156" s="257" t="s">
        <v>161</v>
      </c>
      <c r="E156" s="257" t="s">
        <v>168</v>
      </c>
      <c r="F156" s="257" t="s">
        <v>167</v>
      </c>
      <c r="G156" s="257" t="s">
        <v>162</v>
      </c>
      <c r="H156" s="257" t="s">
        <v>168</v>
      </c>
      <c r="I156" s="257" t="s">
        <v>167</v>
      </c>
      <c r="J156" s="257" t="s">
        <v>162</v>
      </c>
      <c r="K156" s="257" t="s">
        <v>515</v>
      </c>
      <c r="M156" s="257" t="s">
        <v>518</v>
      </c>
      <c r="N156" s="257" t="s">
        <v>548</v>
      </c>
      <c r="P156" s="257" t="s">
        <v>161</v>
      </c>
      <c r="Q156" s="257" t="s">
        <v>168</v>
      </c>
      <c r="R156" s="257" t="s">
        <v>167</v>
      </c>
      <c r="S156" s="257" t="s">
        <v>162</v>
      </c>
      <c r="Z156" s="257" t="s">
        <v>571</v>
      </c>
      <c r="AA156" s="257" t="s">
        <v>168</v>
      </c>
      <c r="AB156" s="257" t="s">
        <v>167</v>
      </c>
      <c r="AC156" s="257" t="s">
        <v>162</v>
      </c>
      <c r="AE156" s="257" t="s">
        <v>628</v>
      </c>
      <c r="AF156" s="440" t="s">
        <v>168</v>
      </c>
      <c r="AG156" s="257" t="s">
        <v>167</v>
      </c>
      <c r="AH156" s="257" t="s">
        <v>162</v>
      </c>
      <c r="AJ156" s="257" t="s">
        <v>628</v>
      </c>
      <c r="AK156" s="440" t="s">
        <v>168</v>
      </c>
      <c r="AL156" s="257" t="s">
        <v>167</v>
      </c>
      <c r="AM156" s="257" t="s">
        <v>162</v>
      </c>
      <c r="AO156" s="257" t="s">
        <v>628</v>
      </c>
      <c r="AP156" s="440" t="s">
        <v>168</v>
      </c>
      <c r="AQ156" s="257" t="s">
        <v>167</v>
      </c>
      <c r="AR156" s="257" t="s">
        <v>162</v>
      </c>
      <c r="AT156" s="257" t="s">
        <v>628</v>
      </c>
      <c r="AU156" s="440" t="s">
        <v>168</v>
      </c>
      <c r="AV156" s="257" t="s">
        <v>167</v>
      </c>
      <c r="AW156" s="257" t="s">
        <v>162</v>
      </c>
      <c r="AX156" s="257" t="s">
        <v>628</v>
      </c>
      <c r="AY156" s="440" t="s">
        <v>168</v>
      </c>
      <c r="AZ156" s="257" t="s">
        <v>167</v>
      </c>
      <c r="BA156" s="257" t="s">
        <v>162</v>
      </c>
    </row>
    <row r="157" spans="2:56" x14ac:dyDescent="0.25">
      <c r="B157" s="281">
        <v>2</v>
      </c>
      <c r="C157" s="278" t="s">
        <v>2</v>
      </c>
      <c r="D157" s="279">
        <v>2</v>
      </c>
      <c r="E157" s="280">
        <v>2016.08</v>
      </c>
      <c r="F157" s="280">
        <v>4032.16</v>
      </c>
      <c r="G157" s="280">
        <v>48385.919999999998</v>
      </c>
      <c r="H157" s="280">
        <f>'Recepção 4'!$D$137</f>
        <v>2682.63</v>
      </c>
      <c r="I157" s="280">
        <f>H157*D157</f>
        <v>5365.26</v>
      </c>
      <c r="J157" s="280">
        <f>I157*12</f>
        <v>64383.12</v>
      </c>
      <c r="K157" s="263">
        <f>I157*3</f>
        <v>16095.78</v>
      </c>
      <c r="M157" s="274">
        <v>801649</v>
      </c>
      <c r="N157" s="246" t="s">
        <v>549</v>
      </c>
      <c r="P157" s="279"/>
      <c r="Q157" s="280">
        <f>'Recepção 4'!I137</f>
        <v>0</v>
      </c>
      <c r="R157" s="280">
        <f>Q157*P157</f>
        <v>0</v>
      </c>
      <c r="S157" s="280">
        <f>R157*12</f>
        <v>0</v>
      </c>
      <c r="Z157" s="279">
        <v>2</v>
      </c>
      <c r="AA157" s="280">
        <v>2016.08</v>
      </c>
      <c r="AB157" s="262">
        <v>4032.16</v>
      </c>
      <c r="AC157" s="280">
        <v>48385.919999999998</v>
      </c>
      <c r="AE157" s="279">
        <v>2</v>
      </c>
      <c r="AF157" s="450">
        <v>2262.41</v>
      </c>
      <c r="AG157" s="262">
        <v>4524.82</v>
      </c>
      <c r="AH157" s="280">
        <v>54297.84</v>
      </c>
      <c r="AJ157" s="279">
        <v>2</v>
      </c>
      <c r="AK157" s="450">
        <v>2262.41</v>
      </c>
      <c r="AL157" s="262">
        <v>4524.82</v>
      </c>
      <c r="AM157" s="280">
        <v>54297.84</v>
      </c>
      <c r="AO157" s="279">
        <v>2</v>
      </c>
      <c r="AP157" s="450">
        <v>2262.41</v>
      </c>
      <c r="AQ157" s="262">
        <v>4524.82</v>
      </c>
      <c r="AR157" s="280">
        <v>54297.84</v>
      </c>
      <c r="AT157" s="279">
        <v>2</v>
      </c>
      <c r="AU157" s="450">
        <f>'Recepção 4'!$D$137</f>
        <v>2682.63</v>
      </c>
      <c r="AV157" s="262">
        <f>AU157*AT157</f>
        <v>5365.26</v>
      </c>
      <c r="AW157" s="280">
        <f>AV157*12</f>
        <v>64383.12</v>
      </c>
      <c r="AX157" s="279">
        <v>1</v>
      </c>
      <c r="AY157" s="450">
        <f>'Recepção 4'!$D$137</f>
        <v>2682.63</v>
      </c>
      <c r="AZ157" s="262">
        <f>AY157*AX157</f>
        <v>2682.63</v>
      </c>
      <c r="BA157" s="280">
        <f>AZ157*12</f>
        <v>32191.56</v>
      </c>
    </row>
    <row r="158" spans="2:56" x14ac:dyDescent="0.25">
      <c r="B158" s="281">
        <v>3</v>
      </c>
      <c r="C158" s="278" t="s">
        <v>290</v>
      </c>
      <c r="D158" s="279">
        <v>1</v>
      </c>
      <c r="E158" s="280">
        <v>1453.14</v>
      </c>
      <c r="F158" s="280">
        <v>1453.14</v>
      </c>
      <c r="G158" s="280">
        <v>17437.68</v>
      </c>
      <c r="H158" s="280">
        <f>'Copeira 4'!$D$137</f>
        <v>2374.36</v>
      </c>
      <c r="I158" s="280">
        <f>H158*D158</f>
        <v>2374.36</v>
      </c>
      <c r="J158" s="280">
        <f>I158*12</f>
        <v>28492.32</v>
      </c>
      <c r="K158" s="263">
        <f>H158*3</f>
        <v>7123.08</v>
      </c>
      <c r="M158" s="274">
        <v>801866</v>
      </c>
      <c r="N158" s="246" t="s">
        <v>549</v>
      </c>
      <c r="P158" s="279"/>
      <c r="Q158" s="280">
        <f>'Copeira 4'!I137</f>
        <v>0</v>
      </c>
      <c r="R158" s="280">
        <f>Q158*P158</f>
        <v>0</v>
      </c>
      <c r="S158" s="280">
        <f>R158*12</f>
        <v>0</v>
      </c>
      <c r="Z158" s="279">
        <v>1</v>
      </c>
      <c r="AA158" s="280">
        <v>1453.14</v>
      </c>
      <c r="AB158" s="262">
        <v>1453.14</v>
      </c>
      <c r="AC158" s="280">
        <v>17437.68</v>
      </c>
      <c r="AE158" s="279">
        <v>1</v>
      </c>
      <c r="AF158" s="450">
        <v>1604.03</v>
      </c>
      <c r="AG158" s="262">
        <v>1604.03</v>
      </c>
      <c r="AH158" s="280">
        <v>19248.36</v>
      </c>
      <c r="AJ158" s="279">
        <v>1</v>
      </c>
      <c r="AK158" s="450">
        <v>1604.03</v>
      </c>
      <c r="AL158" s="262">
        <v>1604.03</v>
      </c>
      <c r="AM158" s="280">
        <v>19248.36</v>
      </c>
      <c r="AO158" s="279">
        <v>1</v>
      </c>
      <c r="AP158" s="450">
        <v>1604.03</v>
      </c>
      <c r="AQ158" s="262">
        <v>1604.03</v>
      </c>
      <c r="AR158" s="280">
        <v>19248.36</v>
      </c>
      <c r="AT158" s="279">
        <v>1</v>
      </c>
      <c r="AU158" s="450">
        <f>'Copeira 4'!$D$137</f>
        <v>2374.36</v>
      </c>
      <c r="AV158" s="262">
        <f>AU158*AT158</f>
        <v>2374.36</v>
      </c>
      <c r="AW158" s="280">
        <f>AV158*12</f>
        <v>28492.32</v>
      </c>
      <c r="AX158" s="279">
        <v>1</v>
      </c>
      <c r="AY158" s="450">
        <f>'Copeira 4'!$D$137</f>
        <v>2374.36</v>
      </c>
      <c r="AZ158" s="262">
        <f>AY158*AX158</f>
        <v>2374.36</v>
      </c>
      <c r="BA158" s="280">
        <f>AZ158*12</f>
        <v>28492.32</v>
      </c>
    </row>
    <row r="159" spans="2:56" x14ac:dyDescent="0.25">
      <c r="B159" s="281">
        <v>5</v>
      </c>
      <c r="C159" s="278" t="s">
        <v>292</v>
      </c>
      <c r="D159" s="279">
        <v>1</v>
      </c>
      <c r="E159" s="280">
        <v>1753.67</v>
      </c>
      <c r="F159" s="280">
        <v>1753.67</v>
      </c>
      <c r="G159" s="280">
        <v>21044.04</v>
      </c>
      <c r="H159" s="280">
        <f>'ASG 4'!$D$137</f>
        <v>2348.0500000000002</v>
      </c>
      <c r="I159" s="280">
        <f>H159*D159</f>
        <v>2348.0500000000002</v>
      </c>
      <c r="J159" s="280">
        <f>I159*12</f>
        <v>28176.600000000002</v>
      </c>
      <c r="K159" s="263">
        <f>H159*3</f>
        <v>7044.1500000000005</v>
      </c>
      <c r="M159" s="274">
        <v>801649</v>
      </c>
      <c r="N159" s="246" t="s">
        <v>549</v>
      </c>
      <c r="P159" s="279"/>
      <c r="Q159" s="280">
        <f>'ASG 4'!I137</f>
        <v>0</v>
      </c>
      <c r="R159" s="280">
        <f>Q159*P159</f>
        <v>0</v>
      </c>
      <c r="S159" s="280">
        <f>R159*12</f>
        <v>0</v>
      </c>
      <c r="Z159" s="279">
        <v>1</v>
      </c>
      <c r="AA159" s="280">
        <v>1753.67</v>
      </c>
      <c r="AB159" s="262">
        <v>1753.67</v>
      </c>
      <c r="AC159" s="280">
        <v>21044.04</v>
      </c>
      <c r="AE159" s="279">
        <v>1</v>
      </c>
      <c r="AF159" s="450">
        <v>1956.31</v>
      </c>
      <c r="AG159" s="262">
        <v>1956.31</v>
      </c>
      <c r="AH159" s="280">
        <v>23475.72</v>
      </c>
      <c r="AJ159" s="279">
        <v>1</v>
      </c>
      <c r="AK159" s="450">
        <v>1956.31</v>
      </c>
      <c r="AL159" s="262">
        <v>1956.31</v>
      </c>
      <c r="AM159" s="280">
        <v>23475.72</v>
      </c>
      <c r="AO159" s="279">
        <v>1</v>
      </c>
      <c r="AP159" s="450">
        <v>1956.31</v>
      </c>
      <c r="AQ159" s="262">
        <v>1956.31</v>
      </c>
      <c r="AR159" s="280">
        <v>23475.72</v>
      </c>
      <c r="AT159" s="279">
        <v>1</v>
      </c>
      <c r="AU159" s="450">
        <f>'ASG 4'!$D$137</f>
        <v>2348.0500000000002</v>
      </c>
      <c r="AV159" s="262">
        <f>AU159*AT159</f>
        <v>2348.0500000000002</v>
      </c>
      <c r="AW159" s="280">
        <f>AV159*12</f>
        <v>28176.600000000002</v>
      </c>
      <c r="AX159" s="279">
        <v>1</v>
      </c>
      <c r="AY159" s="450">
        <f>'ASG 4'!$D$137</f>
        <v>2348.0500000000002</v>
      </c>
      <c r="AZ159" s="262">
        <f>AY159*AX159</f>
        <v>2348.0500000000002</v>
      </c>
      <c r="BA159" s="280">
        <f>AZ159*12</f>
        <v>28176.600000000002</v>
      </c>
    </row>
    <row r="160" spans="2:56" x14ac:dyDescent="0.25">
      <c r="B160" s="258">
        <v>8</v>
      </c>
      <c r="C160" s="259" t="s">
        <v>293</v>
      </c>
      <c r="D160" s="265">
        <v>1</v>
      </c>
      <c r="E160" s="261">
        <v>3016.01</v>
      </c>
      <c r="F160" s="280">
        <v>3016.01</v>
      </c>
      <c r="G160" s="280">
        <v>36192.120000000003</v>
      </c>
      <c r="H160" s="261">
        <f>'Oficial 4'!$D$136</f>
        <v>3551.03</v>
      </c>
      <c r="I160" s="280">
        <f>H160*D160</f>
        <v>3551.03</v>
      </c>
      <c r="J160" s="280">
        <f>I160*12</f>
        <v>42612.36</v>
      </c>
      <c r="K160" s="263">
        <f>H160*3</f>
        <v>10653.09</v>
      </c>
      <c r="M160" s="274">
        <v>801650</v>
      </c>
      <c r="N160" s="246" t="s">
        <v>549</v>
      </c>
      <c r="P160" s="265"/>
      <c r="Q160" s="261">
        <f>'Oficial 4'!I136</f>
        <v>0</v>
      </c>
      <c r="R160" s="280">
        <f>Q160*P160</f>
        <v>0</v>
      </c>
      <c r="S160" s="280">
        <f>R160*12</f>
        <v>0</v>
      </c>
      <c r="Z160" s="265">
        <v>1</v>
      </c>
      <c r="AA160" s="261">
        <v>3268.33</v>
      </c>
      <c r="AB160" s="262">
        <v>3268.33</v>
      </c>
      <c r="AC160" s="280">
        <v>39219.96</v>
      </c>
      <c r="AE160" s="265">
        <v>1</v>
      </c>
      <c r="AF160" s="441">
        <v>3268.33</v>
      </c>
      <c r="AG160" s="262">
        <v>3268.33</v>
      </c>
      <c r="AH160" s="280">
        <v>39219.96</v>
      </c>
      <c r="AJ160" s="265">
        <v>1</v>
      </c>
      <c r="AK160" s="441">
        <v>3022.02</v>
      </c>
      <c r="AL160" s="262">
        <v>3022.02</v>
      </c>
      <c r="AM160" s="280">
        <v>36264.239999999998</v>
      </c>
      <c r="AO160" s="265">
        <v>1</v>
      </c>
      <c r="AP160" s="441">
        <v>3022.02</v>
      </c>
      <c r="AQ160" s="262">
        <v>3022.02</v>
      </c>
      <c r="AR160" s="280">
        <v>36264.239999999998</v>
      </c>
      <c r="AT160" s="265">
        <v>1</v>
      </c>
      <c r="AU160" s="441">
        <f>'Oficial 4'!$D$136</f>
        <v>3551.03</v>
      </c>
      <c r="AV160" s="262">
        <f>AU160*AT160</f>
        <v>3551.03</v>
      </c>
      <c r="AW160" s="280">
        <f>AV160*12</f>
        <v>42612.36</v>
      </c>
      <c r="AX160" s="265">
        <v>1</v>
      </c>
      <c r="AY160" s="441">
        <f>'Oficial 4'!$D$136</f>
        <v>3551.03</v>
      </c>
      <c r="AZ160" s="262">
        <f>AY160*AX160</f>
        <v>3551.03</v>
      </c>
      <c r="BA160" s="280">
        <f>AZ160*12</f>
        <v>42612.36</v>
      </c>
    </row>
    <row r="161" spans="2:53" x14ac:dyDescent="0.25">
      <c r="B161" s="721"/>
      <c r="C161" s="721"/>
      <c r="D161" s="299">
        <f>SUM(D157:D160)</f>
        <v>5</v>
      </c>
      <c r="E161" s="300"/>
      <c r="F161" s="301">
        <v>10254.98</v>
      </c>
      <c r="G161" s="301">
        <v>123059.76000000001</v>
      </c>
      <c r="H161" s="300"/>
      <c r="I161" s="301">
        <f>SUM(I157:I160)</f>
        <v>13638.700000000003</v>
      </c>
      <c r="J161" s="301">
        <f>SUM(J157:J160)</f>
        <v>163664.40000000002</v>
      </c>
      <c r="K161" s="302">
        <f>SUM(K157:K160)</f>
        <v>40916.100000000006</v>
      </c>
      <c r="L161" s="277"/>
      <c r="M161" s="277"/>
      <c r="N161" s="277"/>
      <c r="P161" s="268">
        <f>SUM(P157:P160)</f>
        <v>0</v>
      </c>
      <c r="Q161" s="269"/>
      <c r="R161" s="271">
        <f>SUM(R157:R160)</f>
        <v>0</v>
      </c>
      <c r="S161" s="271">
        <f>SUM(S157:S160)</f>
        <v>0</v>
      </c>
      <c r="Z161" s="424">
        <v>5</v>
      </c>
      <c r="AA161" s="300"/>
      <c r="AB161" s="379">
        <v>10507.3</v>
      </c>
      <c r="AC161" s="301">
        <v>126087.6</v>
      </c>
      <c r="AE161" s="465">
        <v>5</v>
      </c>
      <c r="AF161" s="453"/>
      <c r="AG161" s="379">
        <v>11353.49</v>
      </c>
      <c r="AH161" s="301">
        <v>136241.88</v>
      </c>
      <c r="AJ161" s="471">
        <v>5</v>
      </c>
      <c r="AK161" s="453"/>
      <c r="AL161" s="379">
        <v>11107.18</v>
      </c>
      <c r="AM161" s="301">
        <v>133286.16</v>
      </c>
      <c r="AO161" s="576">
        <v>5</v>
      </c>
      <c r="AP161" s="453"/>
      <c r="AQ161" s="379">
        <v>11107.18</v>
      </c>
      <c r="AR161" s="301">
        <v>133286.16</v>
      </c>
      <c r="AT161" s="377">
        <f>SUM(AT157:AT160)</f>
        <v>5</v>
      </c>
      <c r="AU161" s="453"/>
      <c r="AV161" s="379">
        <f>SUM(AV157:AV160)</f>
        <v>13638.700000000003</v>
      </c>
      <c r="AW161" s="301">
        <f>SUM(AW157:AW160)</f>
        <v>163664.40000000002</v>
      </c>
      <c r="AX161" s="609">
        <f>SUM(AX157:AX160)</f>
        <v>4</v>
      </c>
      <c r="AY161" s="453"/>
      <c r="AZ161" s="379">
        <f>SUM(AZ157:AZ160)</f>
        <v>10956.07</v>
      </c>
      <c r="BA161" s="301">
        <f>SUM(BA157:BA160)</f>
        <v>131472.84000000003</v>
      </c>
    </row>
    <row r="162" spans="2:53" x14ac:dyDescent="0.25">
      <c r="AA162" s="717" t="s">
        <v>570</v>
      </c>
      <c r="AB162" s="717"/>
      <c r="AC162" s="717"/>
      <c r="AF162" s="717" t="s">
        <v>627</v>
      </c>
      <c r="AG162" s="717"/>
      <c r="AH162" s="717"/>
      <c r="AK162" s="717" t="s">
        <v>657</v>
      </c>
      <c r="AL162" s="717"/>
      <c r="AM162" s="717"/>
      <c r="AP162" s="717" t="s">
        <v>693</v>
      </c>
      <c r="AQ162" s="717"/>
      <c r="AR162" s="717"/>
      <c r="AU162" s="717" t="s">
        <v>693</v>
      </c>
      <c r="AV162" s="717"/>
      <c r="AW162" s="717"/>
      <c r="AY162" s="717" t="s">
        <v>693</v>
      </c>
      <c r="AZ162" s="717"/>
      <c r="BA162" s="717"/>
    </row>
    <row r="163" spans="2:53" x14ac:dyDescent="0.25">
      <c r="B163" s="276" t="s">
        <v>511</v>
      </c>
      <c r="C163" s="282" t="s">
        <v>504</v>
      </c>
      <c r="E163" s="717" t="s">
        <v>566</v>
      </c>
      <c r="F163" s="717"/>
      <c r="G163" s="717"/>
      <c r="H163" s="717" t="s">
        <v>569</v>
      </c>
      <c r="I163" s="717"/>
      <c r="J163" s="717"/>
      <c r="M163" s="272"/>
      <c r="N163" s="272"/>
      <c r="AA163" s="246" t="s">
        <v>645</v>
      </c>
      <c r="AF163" s="439"/>
      <c r="AK163" s="439"/>
    </row>
    <row r="164" spans="2:53" ht="47.25" x14ac:dyDescent="0.25">
      <c r="B164" s="256" t="s">
        <v>159</v>
      </c>
      <c r="C164" s="257" t="s">
        <v>160</v>
      </c>
      <c r="D164" s="257" t="s">
        <v>161</v>
      </c>
      <c r="E164" s="257" t="s">
        <v>168</v>
      </c>
      <c r="F164" s="257" t="s">
        <v>167</v>
      </c>
      <c r="G164" s="257" t="s">
        <v>162</v>
      </c>
      <c r="H164" s="257" t="s">
        <v>168</v>
      </c>
      <c r="I164" s="257" t="s">
        <v>167</v>
      </c>
      <c r="J164" s="257" t="s">
        <v>162</v>
      </c>
      <c r="K164" s="257" t="s">
        <v>515</v>
      </c>
      <c r="L164" s="257" t="s">
        <v>520</v>
      </c>
      <c r="M164" s="257" t="s">
        <v>518</v>
      </c>
      <c r="N164" s="257" t="s">
        <v>548</v>
      </c>
      <c r="P164" s="257" t="s">
        <v>161</v>
      </c>
      <c r="Q164" s="257" t="s">
        <v>168</v>
      </c>
      <c r="R164" s="257" t="s">
        <v>167</v>
      </c>
      <c r="S164" s="257" t="s">
        <v>162</v>
      </c>
      <c r="U164" s="257" t="s">
        <v>161</v>
      </c>
      <c r="V164" s="257" t="s">
        <v>168</v>
      </c>
      <c r="W164" s="257" t="s">
        <v>167</v>
      </c>
      <c r="X164" s="257" t="s">
        <v>162</v>
      </c>
      <c r="Z164" s="257" t="s">
        <v>571</v>
      </c>
      <c r="AA164" s="257" t="s">
        <v>168</v>
      </c>
      <c r="AB164" s="257" t="s">
        <v>167</v>
      </c>
      <c r="AC164" s="257" t="s">
        <v>162</v>
      </c>
      <c r="AE164" s="257" t="s">
        <v>628</v>
      </c>
      <c r="AF164" s="440" t="s">
        <v>168</v>
      </c>
      <c r="AG164" s="257" t="s">
        <v>167</v>
      </c>
      <c r="AH164" s="257" t="s">
        <v>162</v>
      </c>
      <c r="AJ164" s="257" t="s">
        <v>628</v>
      </c>
      <c r="AK164" s="440" t="s">
        <v>168</v>
      </c>
      <c r="AL164" s="257" t="s">
        <v>167</v>
      </c>
      <c r="AM164" s="257" t="s">
        <v>162</v>
      </c>
      <c r="AO164" s="257" t="s">
        <v>628</v>
      </c>
      <c r="AP164" s="440" t="s">
        <v>168</v>
      </c>
      <c r="AQ164" s="257" t="s">
        <v>167</v>
      </c>
      <c r="AR164" s="257" t="s">
        <v>162</v>
      </c>
      <c r="AT164" s="257" t="s">
        <v>628</v>
      </c>
      <c r="AU164" s="440" t="s">
        <v>168</v>
      </c>
      <c r="AV164" s="257" t="s">
        <v>167</v>
      </c>
      <c r="AW164" s="257" t="s">
        <v>162</v>
      </c>
      <c r="AX164" s="257" t="s">
        <v>628</v>
      </c>
      <c r="AY164" s="440" t="s">
        <v>168</v>
      </c>
      <c r="AZ164" s="257" t="s">
        <v>167</v>
      </c>
      <c r="BA164" s="257" t="s">
        <v>162</v>
      </c>
    </row>
    <row r="165" spans="2:53" x14ac:dyDescent="0.25">
      <c r="B165" s="281">
        <v>2</v>
      </c>
      <c r="C165" s="278" t="s">
        <v>2</v>
      </c>
      <c r="D165" s="279">
        <v>1</v>
      </c>
      <c r="E165" s="280">
        <v>1993.11</v>
      </c>
      <c r="F165" s="280">
        <v>1993.11</v>
      </c>
      <c r="G165" s="280">
        <v>23917.32</v>
      </c>
      <c r="H165" s="280">
        <f>'Recepção 3'!$D$137</f>
        <v>2652.06</v>
      </c>
      <c r="I165" s="280">
        <f t="shared" ref="I165:I171" si="68">H165*D165</f>
        <v>2652.06</v>
      </c>
      <c r="J165" s="280">
        <f t="shared" ref="J165:J171" si="69">I165*12</f>
        <v>31824.720000000001</v>
      </c>
      <c r="K165" s="263">
        <f>I165*3</f>
        <v>7956.18</v>
      </c>
      <c r="L165" s="264" t="s">
        <v>519</v>
      </c>
      <c r="M165" s="274">
        <v>801861</v>
      </c>
      <c r="N165" s="246" t="s">
        <v>549</v>
      </c>
      <c r="P165" s="279"/>
      <c r="Q165" s="280">
        <f>'Recepção 3'!I137</f>
        <v>0</v>
      </c>
      <c r="R165" s="280">
        <f t="shared" ref="R165:R171" si="70">Q165*P165</f>
        <v>0</v>
      </c>
      <c r="S165" s="280">
        <f t="shared" ref="S165:S171" si="71">R165*12</f>
        <v>0</v>
      </c>
      <c r="U165" s="279">
        <v>0</v>
      </c>
      <c r="V165" s="280">
        <f>'Recepção 3'!$D$137</f>
        <v>2652.06</v>
      </c>
      <c r="W165" s="280">
        <f t="shared" ref="W165:W171" si="72">V165*U165</f>
        <v>0</v>
      </c>
      <c r="X165" s="280">
        <f t="shared" ref="X165:X171" si="73">W165*12</f>
        <v>0</v>
      </c>
      <c r="Z165" s="279">
        <v>1</v>
      </c>
      <c r="AA165" s="280">
        <v>1993.11</v>
      </c>
      <c r="AB165" s="262">
        <v>1993.11</v>
      </c>
      <c r="AC165" s="280">
        <v>23917.32</v>
      </c>
      <c r="AE165" s="279">
        <v>1</v>
      </c>
      <c r="AF165" s="450">
        <v>2236.62</v>
      </c>
      <c r="AG165" s="262">
        <v>2236.62</v>
      </c>
      <c r="AH165" s="280">
        <v>26839.439999999999</v>
      </c>
      <c r="AJ165" s="279">
        <v>1</v>
      </c>
      <c r="AK165" s="450">
        <v>2236.62</v>
      </c>
      <c r="AL165" s="262">
        <v>2236.62</v>
      </c>
      <c r="AM165" s="280">
        <v>26839.439999999999</v>
      </c>
      <c r="AO165" s="279">
        <v>1</v>
      </c>
      <c r="AP165" s="450">
        <v>2236.62</v>
      </c>
      <c r="AQ165" s="262">
        <v>2236.62</v>
      </c>
      <c r="AR165" s="280">
        <v>26839.439999999999</v>
      </c>
      <c r="AT165" s="279">
        <v>1</v>
      </c>
      <c r="AU165" s="450">
        <f>'Recepção 3'!$D$137</f>
        <v>2652.06</v>
      </c>
      <c r="AV165" s="262">
        <f t="shared" ref="AV165:AV171" si="74">AU165*AT165</f>
        <v>2652.06</v>
      </c>
      <c r="AW165" s="280">
        <f t="shared" ref="AW165:AW171" si="75">AV165*12</f>
        <v>31824.720000000001</v>
      </c>
      <c r="AX165" s="279">
        <v>1</v>
      </c>
      <c r="AY165" s="450">
        <f>'Recepção 3'!$D$137</f>
        <v>2652.06</v>
      </c>
      <c r="AZ165" s="262">
        <f t="shared" ref="AZ165:AZ171" si="76">AY165*AX165</f>
        <v>2652.06</v>
      </c>
      <c r="BA165" s="280">
        <f t="shared" ref="BA165:BA171" si="77">AZ165*12</f>
        <v>31824.720000000001</v>
      </c>
    </row>
    <row r="166" spans="2:53" x14ac:dyDescent="0.25">
      <c r="B166" s="281">
        <v>3</v>
      </c>
      <c r="C166" s="278" t="s">
        <v>290</v>
      </c>
      <c r="D166" s="279">
        <v>0</v>
      </c>
      <c r="E166" s="280">
        <v>1436.57</v>
      </c>
      <c r="F166" s="280">
        <v>0</v>
      </c>
      <c r="G166" s="280">
        <v>0</v>
      </c>
      <c r="H166" s="280">
        <f>'Copeira 3'!$D$137</f>
        <v>2347.3000000000002</v>
      </c>
      <c r="I166" s="280">
        <f t="shared" si="68"/>
        <v>0</v>
      </c>
      <c r="J166" s="280">
        <f t="shared" si="69"/>
        <v>0</v>
      </c>
      <c r="K166" s="263">
        <f>I166*3</f>
        <v>0</v>
      </c>
      <c r="L166" s="264" t="s">
        <v>519</v>
      </c>
      <c r="M166" s="274">
        <v>801871</v>
      </c>
      <c r="N166" s="277" t="s">
        <v>552</v>
      </c>
      <c r="P166" s="279"/>
      <c r="Q166" s="280">
        <f>'Copeira 3'!I137</f>
        <v>0</v>
      </c>
      <c r="R166" s="280">
        <f t="shared" si="70"/>
        <v>0</v>
      </c>
      <c r="S166" s="280">
        <f t="shared" si="71"/>
        <v>0</v>
      </c>
      <c r="U166" s="279">
        <v>0</v>
      </c>
      <c r="V166" s="280">
        <f>'Copeira 3'!$D$137</f>
        <v>2347.3000000000002</v>
      </c>
      <c r="W166" s="280">
        <f t="shared" si="72"/>
        <v>0</v>
      </c>
      <c r="X166" s="280">
        <f t="shared" si="73"/>
        <v>0</v>
      </c>
      <c r="Z166" s="279">
        <v>0</v>
      </c>
      <c r="AA166" s="280">
        <v>1436.57</v>
      </c>
      <c r="AB166" s="262">
        <v>0</v>
      </c>
      <c r="AC166" s="280">
        <v>0</v>
      </c>
      <c r="AE166" s="279">
        <v>0</v>
      </c>
      <c r="AF166" s="450">
        <v>1585.74</v>
      </c>
      <c r="AG166" s="262">
        <v>0</v>
      </c>
      <c r="AH166" s="280">
        <v>0</v>
      </c>
      <c r="AJ166" s="279">
        <v>0</v>
      </c>
      <c r="AK166" s="450">
        <v>1585.74</v>
      </c>
      <c r="AL166" s="262">
        <v>0</v>
      </c>
      <c r="AM166" s="280">
        <v>0</v>
      </c>
      <c r="AO166" s="279">
        <v>0</v>
      </c>
      <c r="AP166" s="450">
        <v>1585.74</v>
      </c>
      <c r="AQ166" s="262">
        <v>0</v>
      </c>
      <c r="AR166" s="280">
        <v>0</v>
      </c>
      <c r="AT166" s="279">
        <v>0</v>
      </c>
      <c r="AU166" s="450">
        <f>'Copeira 3'!$D$137</f>
        <v>2347.3000000000002</v>
      </c>
      <c r="AV166" s="262">
        <f t="shared" si="74"/>
        <v>0</v>
      </c>
      <c r="AW166" s="280">
        <f t="shared" si="75"/>
        <v>0</v>
      </c>
      <c r="AX166" s="279">
        <v>0</v>
      </c>
      <c r="AY166" s="450">
        <f>'Copeira 3'!D137</f>
        <v>2347.3000000000002</v>
      </c>
      <c r="AZ166" s="262">
        <f t="shared" si="76"/>
        <v>0</v>
      </c>
      <c r="BA166" s="280">
        <f t="shared" si="77"/>
        <v>0</v>
      </c>
    </row>
    <row r="167" spans="2:53" x14ac:dyDescent="0.25">
      <c r="B167" s="281">
        <v>4</v>
      </c>
      <c r="C167" s="278" t="s">
        <v>3</v>
      </c>
      <c r="D167" s="279"/>
      <c r="E167" s="280"/>
      <c r="F167" s="280"/>
      <c r="G167" s="280"/>
      <c r="H167" s="280"/>
      <c r="I167" s="280"/>
      <c r="J167" s="280"/>
      <c r="K167" s="263"/>
      <c r="L167" s="264"/>
      <c r="M167" s="274"/>
      <c r="N167" s="277"/>
      <c r="P167" s="279"/>
      <c r="Q167" s="280"/>
      <c r="R167" s="280"/>
      <c r="S167" s="280"/>
      <c r="U167" s="279"/>
      <c r="V167" s="280"/>
      <c r="W167" s="280"/>
      <c r="X167" s="280"/>
      <c r="Z167" s="279"/>
      <c r="AA167" s="280"/>
      <c r="AB167" s="262"/>
      <c r="AC167" s="280"/>
      <c r="AE167" s="279"/>
      <c r="AF167" s="450"/>
      <c r="AG167" s="262"/>
      <c r="AH167" s="280"/>
      <c r="AJ167" s="279"/>
      <c r="AK167" s="450"/>
      <c r="AL167" s="262"/>
      <c r="AM167" s="280"/>
      <c r="AO167" s="468">
        <v>1</v>
      </c>
      <c r="AP167" s="462">
        <v>2817.63</v>
      </c>
      <c r="AQ167" s="456">
        <v>2817.63</v>
      </c>
      <c r="AR167" s="457">
        <v>33811.56</v>
      </c>
      <c r="AS167" s="267" t="s">
        <v>695</v>
      </c>
      <c r="AT167" s="405">
        <v>1</v>
      </c>
      <c r="AU167" s="454">
        <f>'Porteiro 3'!D138</f>
        <v>3330.09</v>
      </c>
      <c r="AV167" s="310">
        <f t="shared" si="74"/>
        <v>3330.09</v>
      </c>
      <c r="AW167" s="325">
        <f t="shared" si="75"/>
        <v>39961.08</v>
      </c>
      <c r="AX167" s="405">
        <v>1</v>
      </c>
      <c r="AY167" s="454">
        <f>'Porteiro 3'!D137</f>
        <v>3330.09</v>
      </c>
      <c r="AZ167" s="310">
        <f t="shared" si="76"/>
        <v>3330.09</v>
      </c>
      <c r="BA167" s="325">
        <f t="shared" si="77"/>
        <v>39961.08</v>
      </c>
    </row>
    <row r="168" spans="2:53" x14ac:dyDescent="0.25">
      <c r="B168" s="281">
        <v>5</v>
      </c>
      <c r="C168" s="278" t="s">
        <v>292</v>
      </c>
      <c r="D168" s="279">
        <v>1</v>
      </c>
      <c r="E168" s="280">
        <v>1733.68</v>
      </c>
      <c r="F168" s="280">
        <v>1733.68</v>
      </c>
      <c r="G168" s="280">
        <v>20804.16</v>
      </c>
      <c r="H168" s="280">
        <f>'ASG 3'!$D$137</f>
        <v>2321.3000000000002</v>
      </c>
      <c r="I168" s="280">
        <f t="shared" si="68"/>
        <v>2321.3000000000002</v>
      </c>
      <c r="J168" s="280">
        <f t="shared" si="69"/>
        <v>27855.600000000002</v>
      </c>
      <c r="K168" s="263">
        <f>I168*3</f>
        <v>6963.9000000000005</v>
      </c>
      <c r="L168" s="264" t="s">
        <v>519</v>
      </c>
      <c r="M168" s="274">
        <v>801861</v>
      </c>
      <c r="N168" s="246" t="s">
        <v>549</v>
      </c>
      <c r="P168" s="279"/>
      <c r="Q168" s="280">
        <f>'ASG 3'!I137</f>
        <v>0</v>
      </c>
      <c r="R168" s="280">
        <f t="shared" si="70"/>
        <v>0</v>
      </c>
      <c r="S168" s="280">
        <f t="shared" si="71"/>
        <v>0</v>
      </c>
      <c r="U168" s="279">
        <v>0</v>
      </c>
      <c r="V168" s="280">
        <f>'ASG 3'!$D$137</f>
        <v>2321.3000000000002</v>
      </c>
      <c r="W168" s="280">
        <f t="shared" si="72"/>
        <v>0</v>
      </c>
      <c r="X168" s="280">
        <f t="shared" si="73"/>
        <v>0</v>
      </c>
      <c r="Z168" s="279">
        <v>1</v>
      </c>
      <c r="AA168" s="280">
        <v>1733.68</v>
      </c>
      <c r="AB168" s="262">
        <v>1733.68</v>
      </c>
      <c r="AC168" s="280">
        <v>20804.16</v>
      </c>
      <c r="AE168" s="279">
        <v>1</v>
      </c>
      <c r="AF168" s="450">
        <v>1934.02</v>
      </c>
      <c r="AG168" s="262">
        <v>1934.02</v>
      </c>
      <c r="AH168" s="280">
        <v>23208.239999999998</v>
      </c>
      <c r="AJ168" s="279">
        <v>1</v>
      </c>
      <c r="AK168" s="450">
        <v>1934.02</v>
      </c>
      <c r="AL168" s="262">
        <v>1934.02</v>
      </c>
      <c r="AM168" s="280">
        <v>23208.239999999998</v>
      </c>
      <c r="AO168" s="279">
        <v>1</v>
      </c>
      <c r="AP168" s="450">
        <v>1934.02</v>
      </c>
      <c r="AQ168" s="262">
        <v>1934.02</v>
      </c>
      <c r="AR168" s="280">
        <v>23208.239999999998</v>
      </c>
      <c r="AT168" s="279">
        <v>1</v>
      </c>
      <c r="AU168" s="450">
        <f>'ASG 3'!$D$137</f>
        <v>2321.3000000000002</v>
      </c>
      <c r="AV168" s="262">
        <f t="shared" si="74"/>
        <v>2321.3000000000002</v>
      </c>
      <c r="AW168" s="280">
        <f t="shared" si="75"/>
        <v>27855.600000000002</v>
      </c>
      <c r="AX168" s="279">
        <v>1</v>
      </c>
      <c r="AY168" s="450">
        <f>'ASG 3'!$D$137</f>
        <v>2321.3000000000002</v>
      </c>
      <c r="AZ168" s="262">
        <f t="shared" si="76"/>
        <v>2321.3000000000002</v>
      </c>
      <c r="BA168" s="280">
        <f t="shared" si="77"/>
        <v>27855.600000000002</v>
      </c>
    </row>
    <row r="169" spans="2:53" x14ac:dyDescent="0.25">
      <c r="B169" s="258">
        <v>8</v>
      </c>
      <c r="C169" s="259" t="s">
        <v>293</v>
      </c>
      <c r="D169" s="265">
        <v>1</v>
      </c>
      <c r="E169" s="261">
        <v>2981.64</v>
      </c>
      <c r="F169" s="280">
        <v>2981.64</v>
      </c>
      <c r="G169" s="280">
        <v>35779.68</v>
      </c>
      <c r="H169" s="261">
        <f>'Oficial 3'!$D$136</f>
        <v>3510.56</v>
      </c>
      <c r="I169" s="280">
        <f t="shared" si="68"/>
        <v>3510.56</v>
      </c>
      <c r="J169" s="280">
        <f t="shared" si="69"/>
        <v>42126.720000000001</v>
      </c>
      <c r="K169" s="266" t="s">
        <v>519</v>
      </c>
      <c r="L169" s="264">
        <f>I169*2</f>
        <v>7021.12</v>
      </c>
      <c r="M169" s="274">
        <v>802068</v>
      </c>
      <c r="N169" s="246" t="s">
        <v>554</v>
      </c>
      <c r="P169" s="265">
        <v>1</v>
      </c>
      <c r="Q169" s="261">
        <v>2920.92</v>
      </c>
      <c r="R169" s="280">
        <f t="shared" si="70"/>
        <v>2920.92</v>
      </c>
      <c r="S169" s="280">
        <f t="shared" si="71"/>
        <v>35051.040000000001</v>
      </c>
      <c r="U169" s="265">
        <v>1</v>
      </c>
      <c r="V169" s="261">
        <f>'Oficial 3'!$D$136</f>
        <v>3510.56</v>
      </c>
      <c r="W169" s="280">
        <f t="shared" si="72"/>
        <v>3510.56</v>
      </c>
      <c r="X169" s="280">
        <f t="shared" si="73"/>
        <v>42126.720000000001</v>
      </c>
      <c r="Z169" s="265">
        <v>1</v>
      </c>
      <c r="AA169" s="261">
        <v>3231.08</v>
      </c>
      <c r="AB169" s="262">
        <v>3231.08</v>
      </c>
      <c r="AC169" s="280">
        <v>38772.959999999999</v>
      </c>
      <c r="AE169" s="265">
        <v>1</v>
      </c>
      <c r="AF169" s="441">
        <v>3231.08</v>
      </c>
      <c r="AG169" s="262">
        <v>3231.08</v>
      </c>
      <c r="AH169" s="280">
        <v>38772.959999999999</v>
      </c>
      <c r="AJ169" s="265">
        <v>1</v>
      </c>
      <c r="AK169" s="441">
        <v>2987.6</v>
      </c>
      <c r="AL169" s="262">
        <v>2987.6</v>
      </c>
      <c r="AM169" s="280">
        <v>35851.199999999997</v>
      </c>
      <c r="AO169" s="265">
        <v>1</v>
      </c>
      <c r="AP169" s="441">
        <v>2987.6</v>
      </c>
      <c r="AQ169" s="262">
        <v>2987.6</v>
      </c>
      <c r="AR169" s="280">
        <v>35851.199999999997</v>
      </c>
      <c r="AT169" s="265">
        <v>1</v>
      </c>
      <c r="AU169" s="441">
        <f>'Oficial 3'!$D$136</f>
        <v>3510.56</v>
      </c>
      <c r="AV169" s="262">
        <f t="shared" si="74"/>
        <v>3510.56</v>
      </c>
      <c r="AW169" s="280">
        <f t="shared" si="75"/>
        <v>42126.720000000001</v>
      </c>
      <c r="AX169" s="265">
        <v>1</v>
      </c>
      <c r="AY169" s="441">
        <f>'Oficial 3'!$D$136</f>
        <v>3510.56</v>
      </c>
      <c r="AZ169" s="262">
        <f t="shared" si="76"/>
        <v>3510.56</v>
      </c>
      <c r="BA169" s="280">
        <f t="shared" si="77"/>
        <v>42126.720000000001</v>
      </c>
    </row>
    <row r="170" spans="2:53" x14ac:dyDescent="0.25">
      <c r="B170" s="258">
        <v>9</v>
      </c>
      <c r="C170" s="259" t="s">
        <v>306</v>
      </c>
      <c r="D170" s="265">
        <v>1</v>
      </c>
      <c r="E170" s="261">
        <v>2318.56</v>
      </c>
      <c r="F170" s="280">
        <v>2318.56</v>
      </c>
      <c r="G170" s="280">
        <v>27822.720000000001</v>
      </c>
      <c r="H170" s="261">
        <f>'Op.de maq. 3'!$D$137</f>
        <v>3064.16</v>
      </c>
      <c r="I170" s="280">
        <f t="shared" si="68"/>
        <v>3064.16</v>
      </c>
      <c r="J170" s="280">
        <f t="shared" si="69"/>
        <v>36769.919999999998</v>
      </c>
      <c r="K170" s="263">
        <f>I170*3</f>
        <v>9192.48</v>
      </c>
      <c r="L170" s="264" t="s">
        <v>519</v>
      </c>
      <c r="M170" s="274">
        <v>801861</v>
      </c>
      <c r="N170" s="246" t="s">
        <v>549</v>
      </c>
      <c r="P170" s="265"/>
      <c r="Q170" s="261">
        <f>'Op.de maq. 3'!I137</f>
        <v>0</v>
      </c>
      <c r="R170" s="280">
        <f t="shared" si="70"/>
        <v>0</v>
      </c>
      <c r="S170" s="280">
        <f t="shared" si="71"/>
        <v>0</v>
      </c>
      <c r="U170" s="265">
        <v>0</v>
      </c>
      <c r="V170" s="261">
        <f>'Op.de maq. 3'!$D$137</f>
        <v>3064.16</v>
      </c>
      <c r="W170" s="280">
        <f t="shared" si="72"/>
        <v>0</v>
      </c>
      <c r="X170" s="280">
        <f t="shared" si="73"/>
        <v>0</v>
      </c>
      <c r="Z170" s="265">
        <v>1</v>
      </c>
      <c r="AA170" s="261">
        <v>2318.56</v>
      </c>
      <c r="AB170" s="262">
        <v>2318.56</v>
      </c>
      <c r="AC170" s="280">
        <v>27822.720000000001</v>
      </c>
      <c r="AE170" s="265">
        <v>1</v>
      </c>
      <c r="AF170" s="441">
        <v>2589.1999999999998</v>
      </c>
      <c r="AG170" s="262">
        <v>2589.1999999999998</v>
      </c>
      <c r="AH170" s="280">
        <v>31070.399999999998</v>
      </c>
      <c r="AJ170" s="265">
        <v>1</v>
      </c>
      <c r="AK170" s="441">
        <v>2589.1999999999998</v>
      </c>
      <c r="AL170" s="262">
        <v>2589.1999999999998</v>
      </c>
      <c r="AM170" s="280">
        <v>31070.399999999998</v>
      </c>
      <c r="AO170" s="265">
        <v>1</v>
      </c>
      <c r="AP170" s="441">
        <v>2589.1999999999998</v>
      </c>
      <c r="AQ170" s="262">
        <v>2589.1999999999998</v>
      </c>
      <c r="AR170" s="280">
        <v>31070.399999999998</v>
      </c>
      <c r="AT170" s="265">
        <v>1</v>
      </c>
      <c r="AU170" s="441">
        <f>'Op.de maq. 3'!$D$137</f>
        <v>3064.16</v>
      </c>
      <c r="AV170" s="262">
        <f t="shared" si="74"/>
        <v>3064.16</v>
      </c>
      <c r="AW170" s="280">
        <f t="shared" si="75"/>
        <v>36769.919999999998</v>
      </c>
      <c r="AX170" s="265">
        <v>0</v>
      </c>
      <c r="AY170" s="441">
        <f>'Op.de maq. 3'!$D$137</f>
        <v>3064.16</v>
      </c>
      <c r="AZ170" s="262">
        <f t="shared" si="76"/>
        <v>0</v>
      </c>
      <c r="BA170" s="280">
        <f t="shared" si="77"/>
        <v>0</v>
      </c>
    </row>
    <row r="171" spans="2:53" x14ac:dyDescent="0.25">
      <c r="B171" s="258">
        <v>10</v>
      </c>
      <c r="C171" s="259" t="s">
        <v>4</v>
      </c>
      <c r="D171" s="265">
        <v>1</v>
      </c>
      <c r="E171" s="261">
        <v>1951.36</v>
      </c>
      <c r="F171" s="280">
        <v>1951.36</v>
      </c>
      <c r="G171" s="280">
        <v>23416.32</v>
      </c>
      <c r="H171" s="261">
        <f>'Jardineiro 3'!$D$137</f>
        <v>2504.21</v>
      </c>
      <c r="I171" s="280">
        <f t="shared" si="68"/>
        <v>2504.21</v>
      </c>
      <c r="J171" s="280">
        <f t="shared" si="69"/>
        <v>30050.52</v>
      </c>
      <c r="K171" s="263">
        <f>I171*3</f>
        <v>7512.63</v>
      </c>
      <c r="L171" s="264" t="s">
        <v>519</v>
      </c>
      <c r="M171" s="274">
        <v>801861</v>
      </c>
      <c r="N171" s="246" t="s">
        <v>549</v>
      </c>
      <c r="P171" s="265"/>
      <c r="Q171" s="261">
        <f>'Jardineiro 3'!I137</f>
        <v>0</v>
      </c>
      <c r="R171" s="280">
        <f t="shared" si="70"/>
        <v>0</v>
      </c>
      <c r="S171" s="280">
        <f t="shared" si="71"/>
        <v>0</v>
      </c>
      <c r="U171" s="265">
        <v>0</v>
      </c>
      <c r="V171" s="261">
        <f>'Jardineiro 3'!$D$137</f>
        <v>2504.21</v>
      </c>
      <c r="W171" s="280">
        <f t="shared" si="72"/>
        <v>0</v>
      </c>
      <c r="X171" s="280">
        <f t="shared" si="73"/>
        <v>0</v>
      </c>
      <c r="Z171" s="265">
        <v>1</v>
      </c>
      <c r="AA171" s="261">
        <v>1951.36</v>
      </c>
      <c r="AB171" s="262">
        <v>1951.36</v>
      </c>
      <c r="AC171" s="280">
        <v>23416.32</v>
      </c>
      <c r="AE171" s="265">
        <v>1</v>
      </c>
      <c r="AF171" s="441">
        <v>2176.35</v>
      </c>
      <c r="AG171" s="262">
        <v>2176.35</v>
      </c>
      <c r="AH171" s="280">
        <v>26116.199999999997</v>
      </c>
      <c r="AJ171" s="265">
        <v>1</v>
      </c>
      <c r="AK171" s="441">
        <v>2176.35</v>
      </c>
      <c r="AL171" s="262">
        <v>2176.35</v>
      </c>
      <c r="AM171" s="280">
        <v>26116.199999999997</v>
      </c>
      <c r="AO171" s="496">
        <v>0</v>
      </c>
      <c r="AP171" s="458">
        <v>2176.35</v>
      </c>
      <c r="AQ171" s="456">
        <v>0</v>
      </c>
      <c r="AR171" s="457">
        <v>0</v>
      </c>
      <c r="AS171" s="267" t="s">
        <v>694</v>
      </c>
      <c r="AT171" s="260">
        <v>0</v>
      </c>
      <c r="AU171" s="446">
        <f>'Jardineiro 3'!$D$137</f>
        <v>2504.21</v>
      </c>
      <c r="AV171" s="310">
        <f t="shared" si="74"/>
        <v>0</v>
      </c>
      <c r="AW171" s="325">
        <f t="shared" si="75"/>
        <v>0</v>
      </c>
      <c r="AX171" s="260">
        <v>0</v>
      </c>
      <c r="AY171" s="446">
        <f>'Jardineiro 3'!D137</f>
        <v>2504.21</v>
      </c>
      <c r="AZ171" s="310">
        <f t="shared" si="76"/>
        <v>0</v>
      </c>
      <c r="BA171" s="325">
        <f t="shared" si="77"/>
        <v>0</v>
      </c>
    </row>
    <row r="172" spans="2:53" x14ac:dyDescent="0.25">
      <c r="B172" s="716"/>
      <c r="C172" s="716"/>
      <c r="D172" s="268">
        <f>SUM(D165:D171)</f>
        <v>5</v>
      </c>
      <c r="E172" s="269"/>
      <c r="F172" s="269">
        <v>10978.35</v>
      </c>
      <c r="G172" s="269">
        <v>131740.20000000001</v>
      </c>
      <c r="H172" s="269"/>
      <c r="I172" s="269">
        <f>SUM(I165:I171)</f>
        <v>14052.29</v>
      </c>
      <c r="J172" s="269">
        <f>SUM(J165:J171)</f>
        <v>168627.48</v>
      </c>
      <c r="K172" s="269">
        <f>SUM(K165:K171)</f>
        <v>31625.190000000002</v>
      </c>
      <c r="L172" s="269">
        <f>SUM(L165:L171)</f>
        <v>7021.12</v>
      </c>
      <c r="P172" s="268">
        <f>SUM(P165:P171)</f>
        <v>1</v>
      </c>
      <c r="Q172" s="269"/>
      <c r="R172" s="271">
        <f>SUM(R165:R171)</f>
        <v>2920.92</v>
      </c>
      <c r="S172" s="303">
        <f>SUM(S165:S171)</f>
        <v>35051.040000000001</v>
      </c>
      <c r="U172" s="268">
        <f>SUM(U165:U171)</f>
        <v>1</v>
      </c>
      <c r="V172" s="269"/>
      <c r="W172" s="303">
        <f>SUM(W165:W171)</f>
        <v>3510.56</v>
      </c>
      <c r="X172" s="303">
        <f>SUM(X165:X171)</f>
        <v>42126.720000000001</v>
      </c>
      <c r="Z172" s="423">
        <v>5</v>
      </c>
      <c r="AA172" s="269"/>
      <c r="AB172" s="269">
        <v>11227.79</v>
      </c>
      <c r="AC172" s="269">
        <v>134733.48000000001</v>
      </c>
      <c r="AE172" s="464">
        <v>5</v>
      </c>
      <c r="AF172" s="443"/>
      <c r="AG172" s="379">
        <v>12167.269999999999</v>
      </c>
      <c r="AH172" s="379">
        <v>146007.24</v>
      </c>
      <c r="AJ172" s="470">
        <v>5</v>
      </c>
      <c r="AK172" s="443"/>
      <c r="AL172" s="379">
        <v>11923.789999999999</v>
      </c>
      <c r="AM172" s="379">
        <v>143085.47999999998</v>
      </c>
      <c r="AO172" s="575">
        <v>5</v>
      </c>
      <c r="AP172" s="443"/>
      <c r="AQ172" s="379">
        <v>12565.07</v>
      </c>
      <c r="AR172" s="379">
        <v>150780.84</v>
      </c>
      <c r="AT172" s="586">
        <f>SUM(AT165:AT171)</f>
        <v>5</v>
      </c>
      <c r="AU172" s="587"/>
      <c r="AV172" s="588">
        <f>SUM(AV165:AV171)</f>
        <v>14878.17</v>
      </c>
      <c r="AW172" s="588">
        <f>SUM(AW165:AW171)</f>
        <v>178538.03999999998</v>
      </c>
      <c r="AX172" s="657">
        <f>SUM(AX165:AX171)</f>
        <v>4</v>
      </c>
      <c r="AY172" s="658"/>
      <c r="AZ172" s="659">
        <f>SUM(AZ165:AZ171)</f>
        <v>11814.01</v>
      </c>
      <c r="BA172" s="659">
        <f>SUM(BA165:BA171)</f>
        <v>141768.12</v>
      </c>
    </row>
    <row r="173" spans="2:53" x14ac:dyDescent="0.25">
      <c r="AA173" s="717" t="s">
        <v>570</v>
      </c>
      <c r="AB173" s="717"/>
      <c r="AC173" s="717"/>
      <c r="AF173" s="717" t="s">
        <v>627</v>
      </c>
      <c r="AG173" s="717"/>
      <c r="AH173" s="717"/>
      <c r="AK173" s="717" t="s">
        <v>657</v>
      </c>
      <c r="AL173" s="717"/>
      <c r="AM173" s="717"/>
      <c r="AP173" s="717" t="s">
        <v>693</v>
      </c>
      <c r="AQ173" s="717"/>
      <c r="AR173" s="717"/>
      <c r="AU173" s="717" t="s">
        <v>693</v>
      </c>
      <c r="AV173" s="717"/>
      <c r="AW173" s="717"/>
      <c r="AY173" s="717" t="s">
        <v>693</v>
      </c>
      <c r="AZ173" s="717"/>
      <c r="BA173" s="717"/>
    </row>
    <row r="174" spans="2:53" x14ac:dyDescent="0.25">
      <c r="B174" s="304" t="s">
        <v>512</v>
      </c>
      <c r="C174" s="282" t="s">
        <v>504</v>
      </c>
      <c r="E174" s="717" t="s">
        <v>566</v>
      </c>
      <c r="F174" s="717"/>
      <c r="G174" s="717"/>
      <c r="H174" s="717" t="s">
        <v>569</v>
      </c>
      <c r="I174" s="717"/>
      <c r="J174" s="717"/>
      <c r="AA174" s="246" t="s">
        <v>645</v>
      </c>
      <c r="AF174" s="439"/>
      <c r="AK174" s="717" t="s">
        <v>657</v>
      </c>
      <c r="AL174" s="717"/>
      <c r="AM174" s="717"/>
    </row>
    <row r="175" spans="2:53" ht="47.25" x14ac:dyDescent="0.25">
      <c r="B175" s="256" t="s">
        <v>159</v>
      </c>
      <c r="C175" s="257" t="s">
        <v>160</v>
      </c>
      <c r="D175" s="257" t="s">
        <v>161</v>
      </c>
      <c r="E175" s="257" t="s">
        <v>168</v>
      </c>
      <c r="F175" s="257" t="s">
        <v>167</v>
      </c>
      <c r="G175" s="257" t="s">
        <v>162</v>
      </c>
      <c r="H175" s="257" t="s">
        <v>168</v>
      </c>
      <c r="I175" s="257" t="s">
        <v>167</v>
      </c>
      <c r="J175" s="257" t="s">
        <v>162</v>
      </c>
      <c r="K175" s="257" t="s">
        <v>515</v>
      </c>
      <c r="L175" s="257" t="s">
        <v>520</v>
      </c>
      <c r="M175" s="257" t="s">
        <v>518</v>
      </c>
      <c r="N175" s="257" t="s">
        <v>548</v>
      </c>
      <c r="P175" s="257" t="s">
        <v>161</v>
      </c>
      <c r="Q175" s="257" t="s">
        <v>168</v>
      </c>
      <c r="R175" s="257" t="s">
        <v>167</v>
      </c>
      <c r="S175" s="257" t="s">
        <v>162</v>
      </c>
      <c r="U175" s="257" t="s">
        <v>161</v>
      </c>
      <c r="V175" s="257" t="s">
        <v>168</v>
      </c>
      <c r="W175" s="257" t="s">
        <v>167</v>
      </c>
      <c r="X175" s="257" t="s">
        <v>162</v>
      </c>
      <c r="Z175" s="257" t="s">
        <v>571</v>
      </c>
      <c r="AA175" s="257" t="s">
        <v>168</v>
      </c>
      <c r="AB175" s="257" t="s">
        <v>167</v>
      </c>
      <c r="AC175" s="257" t="s">
        <v>162</v>
      </c>
      <c r="AE175" s="257" t="s">
        <v>628</v>
      </c>
      <c r="AF175" s="440" t="s">
        <v>168</v>
      </c>
      <c r="AG175" s="257" t="s">
        <v>167</v>
      </c>
      <c r="AH175" s="257" t="s">
        <v>162</v>
      </c>
      <c r="AJ175" s="257" t="s">
        <v>628</v>
      </c>
      <c r="AK175" s="440" t="s">
        <v>168</v>
      </c>
      <c r="AL175" s="257" t="s">
        <v>167</v>
      </c>
      <c r="AM175" s="257" t="s">
        <v>162</v>
      </c>
      <c r="AO175" s="257" t="s">
        <v>628</v>
      </c>
      <c r="AP175" s="440" t="s">
        <v>168</v>
      </c>
      <c r="AQ175" s="257" t="s">
        <v>167</v>
      </c>
      <c r="AR175" s="257" t="s">
        <v>162</v>
      </c>
      <c r="AT175" s="257" t="s">
        <v>628</v>
      </c>
      <c r="AU175" s="440" t="s">
        <v>168</v>
      </c>
      <c r="AV175" s="257" t="s">
        <v>167</v>
      </c>
      <c r="AW175" s="257" t="s">
        <v>162</v>
      </c>
      <c r="AX175" s="257" t="s">
        <v>628</v>
      </c>
      <c r="AY175" s="440" t="s">
        <v>168</v>
      </c>
      <c r="AZ175" s="257" t="s">
        <v>167</v>
      </c>
      <c r="BA175" s="257" t="s">
        <v>162</v>
      </c>
    </row>
    <row r="176" spans="2:53" x14ac:dyDescent="0.25">
      <c r="B176" s="281">
        <v>4</v>
      </c>
      <c r="C176" s="278" t="s">
        <v>3</v>
      </c>
      <c r="D176" s="279">
        <v>0</v>
      </c>
      <c r="E176" s="298">
        <v>0</v>
      </c>
      <c r="F176" s="280">
        <v>0</v>
      </c>
      <c r="G176" s="280">
        <v>0</v>
      </c>
      <c r="H176" s="298">
        <v>0</v>
      </c>
      <c r="I176" s="280">
        <f>H176*D176</f>
        <v>0</v>
      </c>
      <c r="J176" s="280">
        <f>I176*12</f>
        <v>0</v>
      </c>
      <c r="L176" s="264">
        <f>I176*2</f>
        <v>0</v>
      </c>
      <c r="M176" s="274">
        <v>802066</v>
      </c>
      <c r="N176" s="246" t="s">
        <v>554</v>
      </c>
      <c r="P176" s="279">
        <v>1</v>
      </c>
      <c r="Q176" s="298">
        <v>2585.48</v>
      </c>
      <c r="R176" s="280">
        <f>Q176*P176</f>
        <v>2585.48</v>
      </c>
      <c r="S176" s="280">
        <f>R176*12</f>
        <v>31025.760000000002</v>
      </c>
      <c r="U176" s="279">
        <v>1</v>
      </c>
      <c r="V176" s="298">
        <f>'Porteiro 3'!$D$137</f>
        <v>3330.09</v>
      </c>
      <c r="W176" s="280">
        <f>V176*U176</f>
        <v>3330.09</v>
      </c>
      <c r="X176" s="280">
        <f>W176*12</f>
        <v>39961.08</v>
      </c>
      <c r="Z176" s="408">
        <v>1</v>
      </c>
      <c r="AA176" s="402">
        <v>2498.1</v>
      </c>
      <c r="AB176" s="403">
        <v>2498.1</v>
      </c>
      <c r="AC176" s="409">
        <v>29977.199999999997</v>
      </c>
      <c r="AE176" s="405">
        <v>1</v>
      </c>
      <c r="AF176" s="446">
        <v>2817.63</v>
      </c>
      <c r="AG176" s="310">
        <v>2817.63</v>
      </c>
      <c r="AH176" s="325">
        <v>33811.56</v>
      </c>
      <c r="AJ176" s="405">
        <v>1</v>
      </c>
      <c r="AK176" s="446">
        <v>2817.63</v>
      </c>
      <c r="AL176" s="310">
        <v>2817.63</v>
      </c>
      <c r="AM176" s="325">
        <v>33811.56</v>
      </c>
      <c r="AO176" s="405">
        <v>1</v>
      </c>
      <c r="AP176" s="446">
        <v>2817.63</v>
      </c>
      <c r="AQ176" s="310">
        <v>2817.63</v>
      </c>
      <c r="AR176" s="325">
        <v>33811.56</v>
      </c>
      <c r="AT176" s="405">
        <v>1</v>
      </c>
      <c r="AU176" s="446">
        <f>'Porteiro 3'!$D$137</f>
        <v>3330.09</v>
      </c>
      <c r="AV176" s="310">
        <f>AU176*1</f>
        <v>3330.09</v>
      </c>
      <c r="AW176" s="325">
        <f>AV176*12</f>
        <v>39961.08</v>
      </c>
      <c r="AX176" s="405">
        <v>0</v>
      </c>
      <c r="AY176" s="446">
        <f>'Porteiro 3'!$D$137</f>
        <v>3330.09</v>
      </c>
      <c r="AZ176" s="310">
        <f>AY176*AX176</f>
        <v>0</v>
      </c>
      <c r="BA176" s="325">
        <f>AZ176*12</f>
        <v>0</v>
      </c>
    </row>
    <row r="177" spans="1:55" x14ac:dyDescent="0.25">
      <c r="B177" s="281">
        <v>5</v>
      </c>
      <c r="C177" s="278" t="s">
        <v>292</v>
      </c>
      <c r="D177" s="279">
        <v>1</v>
      </c>
      <c r="E177" s="280">
        <v>1733.68</v>
      </c>
      <c r="F177" s="280">
        <v>1733.68</v>
      </c>
      <c r="G177" s="280">
        <v>20804.16</v>
      </c>
      <c r="H177" s="280">
        <f>'ASG 3'!$D$137</f>
        <v>2321.3000000000002</v>
      </c>
      <c r="I177" s="280">
        <f>H177*D177</f>
        <v>2321.3000000000002</v>
      </c>
      <c r="J177" s="280">
        <f>I177*12</f>
        <v>27855.600000000002</v>
      </c>
      <c r="K177" s="266" t="s">
        <v>519</v>
      </c>
      <c r="L177" s="264">
        <f>I177*2</f>
        <v>4642.6000000000004</v>
      </c>
      <c r="M177" s="274">
        <v>802069</v>
      </c>
      <c r="N177" s="246" t="s">
        <v>554</v>
      </c>
      <c r="P177" s="279">
        <v>1</v>
      </c>
      <c r="Q177" s="280">
        <v>2413.89</v>
      </c>
      <c r="R177" s="280">
        <f>Q177*P177</f>
        <v>2413.89</v>
      </c>
      <c r="S177" s="280">
        <f>R177*12</f>
        <v>28966.68</v>
      </c>
      <c r="U177" s="279">
        <v>1</v>
      </c>
      <c r="V177" s="280">
        <f>'ASG 3'!$D$137</f>
        <v>2321.3000000000002</v>
      </c>
      <c r="W177" s="280">
        <f>V177*U177</f>
        <v>2321.3000000000002</v>
      </c>
      <c r="X177" s="280">
        <f>W177*12</f>
        <v>27855.600000000002</v>
      </c>
      <c r="Z177" s="408">
        <v>0</v>
      </c>
      <c r="AA177" s="409">
        <v>1733.68</v>
      </c>
      <c r="AB177" s="403">
        <v>0</v>
      </c>
      <c r="AC177" s="409">
        <v>0</v>
      </c>
      <c r="AE177" s="405">
        <v>0</v>
      </c>
      <c r="AF177" s="462">
        <v>1934.02</v>
      </c>
      <c r="AG177" s="456">
        <v>0</v>
      </c>
      <c r="AH177" s="457">
        <v>0</v>
      </c>
      <c r="AI177" s="267" t="s">
        <v>649</v>
      </c>
      <c r="AJ177" s="405">
        <v>0</v>
      </c>
      <c r="AK177" s="454">
        <v>0</v>
      </c>
      <c r="AL177" s="310">
        <v>0</v>
      </c>
      <c r="AM177" s="325">
        <v>0</v>
      </c>
      <c r="AN177" s="250"/>
      <c r="AO177" s="405">
        <v>0</v>
      </c>
      <c r="AP177" s="454">
        <v>0</v>
      </c>
      <c r="AQ177" s="310">
        <v>0</v>
      </c>
      <c r="AR177" s="325">
        <v>0</v>
      </c>
      <c r="AS177" s="250"/>
      <c r="AT177" s="405">
        <v>0</v>
      </c>
      <c r="AU177" s="454">
        <v>0</v>
      </c>
      <c r="AV177" s="310">
        <f>AU177*AT177</f>
        <v>0</v>
      </c>
      <c r="AW177" s="325">
        <f>AV177*12</f>
        <v>0</v>
      </c>
      <c r="AX177" s="405">
        <v>0</v>
      </c>
      <c r="AY177" s="454">
        <f>'ASG 3'!D137</f>
        <v>2321.3000000000002</v>
      </c>
      <c r="AZ177" s="310">
        <f>AY177*AX177</f>
        <v>0</v>
      </c>
      <c r="BA177" s="325">
        <f>AZ177*12</f>
        <v>0</v>
      </c>
    </row>
    <row r="178" spans="1:55" x14ac:dyDescent="0.25">
      <c r="B178" s="258">
        <v>8</v>
      </c>
      <c r="C178" s="259" t="s">
        <v>293</v>
      </c>
      <c r="D178" s="265">
        <v>1</v>
      </c>
      <c r="E178" s="261">
        <v>2981.64</v>
      </c>
      <c r="F178" s="280">
        <v>2981.64</v>
      </c>
      <c r="G178" s="280">
        <v>35779.68</v>
      </c>
      <c r="H178" s="261">
        <f>'Oficial 3'!$D$136</f>
        <v>3510.56</v>
      </c>
      <c r="I178" s="280">
        <f>H178*D178</f>
        <v>3510.56</v>
      </c>
      <c r="J178" s="280">
        <f>I178*12</f>
        <v>42126.720000000001</v>
      </c>
      <c r="K178" s="263">
        <f>I178*3</f>
        <v>10531.68</v>
      </c>
      <c r="L178" s="264" t="s">
        <v>519</v>
      </c>
      <c r="M178" s="274">
        <v>801864</v>
      </c>
      <c r="N178" s="246" t="s">
        <v>549</v>
      </c>
      <c r="P178" s="265"/>
      <c r="Q178" s="261">
        <f>'Oficial 3'!I136</f>
        <v>0</v>
      </c>
      <c r="R178" s="280">
        <f>Q178*P178</f>
        <v>0</v>
      </c>
      <c r="S178" s="280">
        <f>R178*12</f>
        <v>0</v>
      </c>
      <c r="U178" s="265"/>
      <c r="V178" s="261">
        <f>'Oficial 3'!$D$136</f>
        <v>3510.56</v>
      </c>
      <c r="W178" s="280">
        <f>V178*U178</f>
        <v>0</v>
      </c>
      <c r="X178" s="280">
        <f>W178*12</f>
        <v>0</v>
      </c>
      <c r="Z178" s="265">
        <v>1</v>
      </c>
      <c r="AA178" s="261">
        <v>3231.08</v>
      </c>
      <c r="AB178" s="262">
        <v>3231.08</v>
      </c>
      <c r="AC178" s="280">
        <v>38772.959999999999</v>
      </c>
      <c r="AE178" s="260">
        <v>1</v>
      </c>
      <c r="AF178" s="446">
        <v>3231.08</v>
      </c>
      <c r="AG178" s="310">
        <v>3231.08</v>
      </c>
      <c r="AH178" s="325">
        <v>38772.959999999999</v>
      </c>
      <c r="AJ178" s="260">
        <v>1</v>
      </c>
      <c r="AK178" s="446">
        <v>2987.6</v>
      </c>
      <c r="AL178" s="310">
        <v>2987.6</v>
      </c>
      <c r="AM178" s="325">
        <v>35851.199999999997</v>
      </c>
      <c r="AO178" s="260">
        <v>1</v>
      </c>
      <c r="AP178" s="446">
        <v>2987.6</v>
      </c>
      <c r="AQ178" s="310">
        <v>2987.6</v>
      </c>
      <c r="AR178" s="325">
        <v>35851.199999999997</v>
      </c>
      <c r="AT178" s="260">
        <v>1</v>
      </c>
      <c r="AU178" s="446">
        <f>'Oficial 3'!$D$136</f>
        <v>3510.56</v>
      </c>
      <c r="AV178" s="310">
        <f>AU178*D178</f>
        <v>3510.56</v>
      </c>
      <c r="AW178" s="325">
        <f>AV178*12</f>
        <v>42126.720000000001</v>
      </c>
      <c r="AX178" s="260">
        <v>1</v>
      </c>
      <c r="AY178" s="446">
        <f>'Oficial 3'!$D$136</f>
        <v>3510.56</v>
      </c>
      <c r="AZ178" s="310">
        <f>AY178*AX178</f>
        <v>3510.56</v>
      </c>
      <c r="BA178" s="325">
        <f>AZ178*12</f>
        <v>42126.720000000001</v>
      </c>
    </row>
    <row r="179" spans="1:55" x14ac:dyDescent="0.25">
      <c r="B179" s="258">
        <v>9</v>
      </c>
      <c r="C179" s="259" t="s">
        <v>306</v>
      </c>
      <c r="D179" s="265">
        <v>1</v>
      </c>
      <c r="E179" s="261">
        <v>2318.56</v>
      </c>
      <c r="F179" s="280">
        <v>2318.56</v>
      </c>
      <c r="G179" s="280">
        <v>27822.720000000001</v>
      </c>
      <c r="H179" s="261">
        <f>'Op.de maq. 3'!$D$137</f>
        <v>3064.16</v>
      </c>
      <c r="I179" s="280">
        <f>H179*D179</f>
        <v>3064.16</v>
      </c>
      <c r="J179" s="280">
        <f>I179*12</f>
        <v>36769.919999999998</v>
      </c>
      <c r="K179" s="263">
        <f>I179*3</f>
        <v>9192.48</v>
      </c>
      <c r="L179" s="264" t="s">
        <v>519</v>
      </c>
      <c r="M179" s="274">
        <v>801863</v>
      </c>
      <c r="N179" s="246" t="s">
        <v>549</v>
      </c>
      <c r="P179" s="265"/>
      <c r="Q179" s="261">
        <f>'Op.de maq. 3'!I137</f>
        <v>0</v>
      </c>
      <c r="R179" s="280">
        <f>Q179*P179</f>
        <v>0</v>
      </c>
      <c r="S179" s="280">
        <f>R179*12</f>
        <v>0</v>
      </c>
      <c r="U179" s="265"/>
      <c r="V179" s="261">
        <f>'Op.de maq. 3'!$D$137</f>
        <v>3064.16</v>
      </c>
      <c r="W179" s="280">
        <f>V179*U179</f>
        <v>0</v>
      </c>
      <c r="X179" s="280">
        <f>W179*12</f>
        <v>0</v>
      </c>
      <c r="Z179" s="265">
        <v>1</v>
      </c>
      <c r="AA179" s="261">
        <v>2318.56</v>
      </c>
      <c r="AB179" s="262">
        <v>2318.56</v>
      </c>
      <c r="AC179" s="280">
        <v>27822.720000000001</v>
      </c>
      <c r="AE179" s="260">
        <v>1</v>
      </c>
      <c r="AF179" s="446">
        <v>2589.1999999999998</v>
      </c>
      <c r="AG179" s="310">
        <v>2589.1999999999998</v>
      </c>
      <c r="AH179" s="325">
        <v>31070.399999999998</v>
      </c>
      <c r="AJ179" s="260">
        <v>1</v>
      </c>
      <c r="AK179" s="446">
        <v>2589.1999999999998</v>
      </c>
      <c r="AL179" s="310">
        <v>2589.1999999999998</v>
      </c>
      <c r="AM179" s="325">
        <v>31070.399999999998</v>
      </c>
      <c r="AO179" s="260">
        <v>1</v>
      </c>
      <c r="AP179" s="446">
        <v>2589.1999999999998</v>
      </c>
      <c r="AQ179" s="310">
        <v>2589.1999999999998</v>
      </c>
      <c r="AR179" s="325">
        <v>31070.399999999998</v>
      </c>
      <c r="AT179" s="260">
        <v>1</v>
      </c>
      <c r="AU179" s="446">
        <f>'Op.de maq. 3'!$D$137</f>
        <v>3064.16</v>
      </c>
      <c r="AV179" s="310">
        <f>AU179*D179</f>
        <v>3064.16</v>
      </c>
      <c r="AW179" s="325">
        <f>AV179*12</f>
        <v>36769.919999999998</v>
      </c>
      <c r="AX179" s="260">
        <v>0</v>
      </c>
      <c r="AY179" s="446">
        <f>'Op.de maq. 3'!$D$137</f>
        <v>3064.16</v>
      </c>
      <c r="AZ179" s="310">
        <f>AY179*AX179</f>
        <v>0</v>
      </c>
      <c r="BA179" s="325">
        <f>AZ179*12</f>
        <v>0</v>
      </c>
      <c r="BC179" s="272">
        <f>AU176-AU177*8</f>
        <v>3330.09</v>
      </c>
    </row>
    <row r="180" spans="1:55" x14ac:dyDescent="0.25">
      <c r="B180" s="716"/>
      <c r="C180" s="716"/>
      <c r="D180" s="268">
        <f>SUM(D177:D179)</f>
        <v>3</v>
      </c>
      <c r="E180" s="269"/>
      <c r="F180" s="269">
        <f>SUM(F177:F179)</f>
        <v>7033.8799999999992</v>
      </c>
      <c r="G180" s="269">
        <v>84406.56</v>
      </c>
      <c r="H180" s="269"/>
      <c r="I180" s="269">
        <f>SUM(I177:I179)</f>
        <v>8896.02</v>
      </c>
      <c r="J180" s="269">
        <f>SUM(J177:J179)</f>
        <v>106752.24</v>
      </c>
      <c r="K180" s="269">
        <f>SUM(K177:K179)</f>
        <v>19724.16</v>
      </c>
      <c r="L180" s="269">
        <f>SUM(L177:L179)</f>
        <v>4642.6000000000004</v>
      </c>
      <c r="M180" s="305"/>
      <c r="N180" s="305"/>
      <c r="P180" s="268">
        <f>SUM(P177:P179)</f>
        <v>1</v>
      </c>
      <c r="Q180" s="269"/>
      <c r="R180" s="303">
        <f>SUM(R177:R179)</f>
        <v>2413.89</v>
      </c>
      <c r="S180" s="303">
        <f>SUM(S177:S179)</f>
        <v>28966.68</v>
      </c>
      <c r="U180" s="268">
        <f>SUM(U177:U179)</f>
        <v>1</v>
      </c>
      <c r="V180" s="269"/>
      <c r="W180" s="303">
        <f>SUM(W177:W179)</f>
        <v>2321.3000000000002</v>
      </c>
      <c r="X180" s="303">
        <f>SUM(X177:X179)</f>
        <v>27855.600000000002</v>
      </c>
      <c r="Z180" s="423">
        <v>3</v>
      </c>
      <c r="AA180" s="269"/>
      <c r="AB180" s="270">
        <v>8047.74</v>
      </c>
      <c r="AC180" s="271">
        <v>96572.88</v>
      </c>
      <c r="AE180" s="464">
        <v>3</v>
      </c>
      <c r="AF180" s="443"/>
      <c r="AG180" s="270">
        <v>8637.91</v>
      </c>
      <c r="AH180" s="271">
        <v>103654.91999999998</v>
      </c>
      <c r="AJ180" s="470">
        <v>3</v>
      </c>
      <c r="AK180" s="443"/>
      <c r="AL180" s="270">
        <v>8394.43</v>
      </c>
      <c r="AM180" s="271">
        <v>100733.15999999999</v>
      </c>
      <c r="AO180" s="575">
        <v>3</v>
      </c>
      <c r="AP180" s="443"/>
      <c r="AQ180" s="270">
        <v>8394.43</v>
      </c>
      <c r="AR180" s="271">
        <v>100733.15999999999</v>
      </c>
      <c r="AT180" s="376">
        <f>SUM(AT176:AT179)</f>
        <v>3</v>
      </c>
      <c r="AU180" s="443"/>
      <c r="AV180" s="270">
        <f>SUM(AV176:AV179)</f>
        <v>9904.81</v>
      </c>
      <c r="AW180" s="271">
        <f>SUM(AW176:AW179)</f>
        <v>118857.72</v>
      </c>
      <c r="AX180" s="608">
        <f>SUM(AX176:AX179)</f>
        <v>1</v>
      </c>
      <c r="AY180" s="443"/>
      <c r="AZ180" s="270">
        <f>SUM(AZ176:AZ179)</f>
        <v>3510.56</v>
      </c>
      <c r="BA180" s="271">
        <f>SUM(BA176:BA179)</f>
        <v>42126.720000000001</v>
      </c>
    </row>
    <row r="181" spans="1:55" x14ac:dyDescent="0.25">
      <c r="AA181" s="717" t="s">
        <v>570</v>
      </c>
      <c r="AB181" s="717"/>
      <c r="AC181" s="717"/>
      <c r="AF181" s="717" t="s">
        <v>627</v>
      </c>
      <c r="AG181" s="717"/>
      <c r="AH181" s="717"/>
      <c r="AK181" s="717" t="s">
        <v>657</v>
      </c>
      <c r="AL181" s="717"/>
      <c r="AM181" s="717"/>
      <c r="AP181" s="717" t="s">
        <v>693</v>
      </c>
      <c r="AQ181" s="717"/>
      <c r="AR181" s="717"/>
      <c r="AU181" s="717" t="s">
        <v>693</v>
      </c>
      <c r="AV181" s="717"/>
      <c r="AW181" s="717"/>
      <c r="AY181" s="717" t="s">
        <v>693</v>
      </c>
      <c r="AZ181" s="717"/>
      <c r="BA181" s="717"/>
    </row>
    <row r="182" spans="1:55" x14ac:dyDescent="0.25">
      <c r="B182" s="304" t="s">
        <v>572</v>
      </c>
      <c r="C182" s="282" t="s">
        <v>504</v>
      </c>
      <c r="E182" s="627" t="s">
        <v>566</v>
      </c>
      <c r="F182" s="627"/>
      <c r="G182" s="627"/>
      <c r="H182" s="627" t="s">
        <v>569</v>
      </c>
      <c r="I182" s="627"/>
      <c r="J182" s="627"/>
      <c r="AA182" s="628" t="s">
        <v>570</v>
      </c>
      <c r="AB182" s="628"/>
      <c r="AC182" s="628"/>
      <c r="AF182" s="628" t="s">
        <v>627</v>
      </c>
      <c r="AG182" s="628"/>
      <c r="AH182" s="628"/>
      <c r="AK182" s="628" t="s">
        <v>657</v>
      </c>
      <c r="AL182" s="628"/>
      <c r="AM182" s="628"/>
    </row>
    <row r="183" spans="1:55" ht="47.25" x14ac:dyDescent="0.25">
      <c r="B183" s="256" t="s">
        <v>159</v>
      </c>
      <c r="C183" s="257" t="s">
        <v>160</v>
      </c>
      <c r="D183" s="257" t="s">
        <v>161</v>
      </c>
      <c r="E183" s="257" t="s">
        <v>168</v>
      </c>
      <c r="F183" s="257" t="s">
        <v>167</v>
      </c>
      <c r="G183" s="257" t="s">
        <v>162</v>
      </c>
      <c r="H183" s="257" t="s">
        <v>168</v>
      </c>
      <c r="I183" s="257" t="s">
        <v>167</v>
      </c>
      <c r="J183" s="257" t="s">
        <v>162</v>
      </c>
      <c r="K183" s="257" t="s">
        <v>515</v>
      </c>
      <c r="L183" s="257" t="s">
        <v>520</v>
      </c>
      <c r="M183" s="257" t="s">
        <v>518</v>
      </c>
      <c r="N183" s="257" t="s">
        <v>548</v>
      </c>
      <c r="P183" s="257" t="s">
        <v>161</v>
      </c>
      <c r="Q183" s="257" t="s">
        <v>168</v>
      </c>
      <c r="R183" s="257" t="s">
        <v>167</v>
      </c>
      <c r="S183" s="257" t="s">
        <v>162</v>
      </c>
      <c r="U183" s="257" t="s">
        <v>161</v>
      </c>
      <c r="V183" s="257" t="s">
        <v>168</v>
      </c>
      <c r="W183" s="257" t="s">
        <v>167</v>
      </c>
      <c r="X183" s="257" t="s">
        <v>162</v>
      </c>
      <c r="Z183" s="257" t="s">
        <v>571</v>
      </c>
      <c r="AA183" s="257" t="s">
        <v>168</v>
      </c>
      <c r="AB183" s="257" t="s">
        <v>167</v>
      </c>
      <c r="AC183" s="257" t="s">
        <v>162</v>
      </c>
      <c r="AE183" s="257" t="s">
        <v>628</v>
      </c>
      <c r="AF183" s="440" t="s">
        <v>168</v>
      </c>
      <c r="AG183" s="257" t="s">
        <v>167</v>
      </c>
      <c r="AH183" s="257" t="s">
        <v>162</v>
      </c>
      <c r="AJ183" s="257" t="s">
        <v>628</v>
      </c>
      <c r="AK183" s="440" t="s">
        <v>168</v>
      </c>
      <c r="AL183" s="257" t="s">
        <v>167</v>
      </c>
      <c r="AM183" s="257" t="s">
        <v>162</v>
      </c>
      <c r="AO183" s="257" t="s">
        <v>628</v>
      </c>
      <c r="AP183" s="440" t="s">
        <v>168</v>
      </c>
      <c r="AQ183" s="257" t="s">
        <v>167</v>
      </c>
      <c r="AR183" s="257" t="s">
        <v>162</v>
      </c>
      <c r="AT183" s="257" t="s">
        <v>628</v>
      </c>
      <c r="AU183" s="440" t="s">
        <v>168</v>
      </c>
      <c r="AV183" s="257" t="s">
        <v>167</v>
      </c>
      <c r="AW183" s="257" t="s">
        <v>162</v>
      </c>
      <c r="AX183" s="257" t="s">
        <v>628</v>
      </c>
      <c r="AY183" s="440" t="s">
        <v>168</v>
      </c>
      <c r="AZ183" s="257" t="s">
        <v>167</v>
      </c>
      <c r="BA183" s="257" t="s">
        <v>162</v>
      </c>
    </row>
    <row r="184" spans="1:55" x14ac:dyDescent="0.25">
      <c r="B184" s="281">
        <v>2</v>
      </c>
      <c r="C184" s="278" t="s">
        <v>2</v>
      </c>
      <c r="D184" s="279">
        <v>0</v>
      </c>
      <c r="E184" s="280">
        <v>0</v>
      </c>
      <c r="F184" s="280">
        <v>0</v>
      </c>
      <c r="G184" s="280">
        <v>0</v>
      </c>
      <c r="H184" s="280">
        <v>0</v>
      </c>
      <c r="I184" s="280">
        <f>H184*D184</f>
        <v>0</v>
      </c>
      <c r="J184" s="280">
        <f>I184*12</f>
        <v>0</v>
      </c>
      <c r="L184" s="264"/>
      <c r="M184" s="274"/>
      <c r="P184" s="279"/>
      <c r="Q184" s="298"/>
      <c r="R184" s="280"/>
      <c r="S184" s="280"/>
      <c r="U184" s="279"/>
      <c r="V184" s="298"/>
      <c r="W184" s="280"/>
      <c r="X184" s="280"/>
      <c r="Z184" s="408">
        <v>0</v>
      </c>
      <c r="AA184" s="409">
        <v>1993.11</v>
      </c>
      <c r="AB184" s="403">
        <v>0</v>
      </c>
      <c r="AC184" s="409">
        <v>0</v>
      </c>
      <c r="AD184" s="267" t="s">
        <v>583</v>
      </c>
      <c r="AE184" s="408">
        <v>0</v>
      </c>
      <c r="AF184" s="451">
        <f>'Recepção 3'!$D$137</f>
        <v>2652.06</v>
      </c>
      <c r="AG184" s="403">
        <f>AF184*AE184</f>
        <v>0</v>
      </c>
      <c r="AH184" s="409">
        <f>AG184*12</f>
        <v>0</v>
      </c>
      <c r="AI184" s="267" t="s">
        <v>583</v>
      </c>
      <c r="AJ184" s="405">
        <v>1</v>
      </c>
      <c r="AK184" s="454">
        <v>2236.62</v>
      </c>
      <c r="AL184" s="310">
        <v>2236.62</v>
      </c>
      <c r="AM184" s="325">
        <v>26839.439999999999</v>
      </c>
      <c r="AN184" s="267" t="s">
        <v>659</v>
      </c>
      <c r="AO184" s="405">
        <v>1</v>
      </c>
      <c r="AP184" s="454">
        <v>2236.62</v>
      </c>
      <c r="AQ184" s="310">
        <v>2236.62</v>
      </c>
      <c r="AR184" s="325">
        <v>26839.439999999999</v>
      </c>
      <c r="AS184" s="267" t="s">
        <v>659</v>
      </c>
      <c r="AT184" s="405">
        <v>1</v>
      </c>
      <c r="AU184" s="454">
        <f>'Recepção 3'!$D$137</f>
        <v>2652.06</v>
      </c>
      <c r="AV184" s="310">
        <f>AU184*AT184</f>
        <v>2652.06</v>
      </c>
      <c r="AW184" s="325">
        <f>AV184*12</f>
        <v>31824.720000000001</v>
      </c>
      <c r="AX184" s="405">
        <v>1</v>
      </c>
      <c r="AY184" s="454">
        <f>'Recepção 3'!$D$137</f>
        <v>2652.06</v>
      </c>
      <c r="AZ184" s="310">
        <f>AY184*AX184</f>
        <v>2652.06</v>
      </c>
      <c r="BA184" s="325">
        <f>AZ184*12</f>
        <v>31824.720000000001</v>
      </c>
    </row>
    <row r="185" spans="1:55" x14ac:dyDescent="0.25">
      <c r="B185" s="281">
        <v>3</v>
      </c>
      <c r="C185" s="278" t="s">
        <v>290</v>
      </c>
      <c r="D185" s="279"/>
      <c r="E185" s="280"/>
      <c r="F185" s="280"/>
      <c r="G185" s="280"/>
      <c r="H185" s="280"/>
      <c r="I185" s="280"/>
      <c r="J185" s="280"/>
      <c r="L185" s="264"/>
      <c r="M185" s="274"/>
      <c r="P185" s="279"/>
      <c r="Q185" s="298"/>
      <c r="R185" s="280"/>
      <c r="S185" s="280"/>
      <c r="U185" s="279"/>
      <c r="V185" s="298"/>
      <c r="W185" s="280"/>
      <c r="X185" s="280"/>
      <c r="Z185" s="408"/>
      <c r="AA185" s="409"/>
      <c r="AB185" s="403"/>
      <c r="AC185" s="409"/>
      <c r="AD185" s="267"/>
      <c r="AE185" s="408"/>
      <c r="AF185" s="451"/>
      <c r="AG185" s="403"/>
      <c r="AH185" s="409"/>
      <c r="AI185" s="267"/>
      <c r="AJ185" s="405"/>
      <c r="AK185" s="454"/>
      <c r="AL185" s="310"/>
      <c r="AM185" s="325"/>
      <c r="AN185" s="267"/>
      <c r="AO185" s="405"/>
      <c r="AP185" s="454"/>
      <c r="AQ185" s="310"/>
      <c r="AR185" s="325"/>
      <c r="AS185" s="267"/>
      <c r="AT185" s="405">
        <v>1</v>
      </c>
      <c r="AU185" s="454">
        <f>'Copeira 3'!D137</f>
        <v>2347.3000000000002</v>
      </c>
      <c r="AV185" s="310">
        <f>AU185*AT185</f>
        <v>2347.3000000000002</v>
      </c>
      <c r="AW185" s="325">
        <f>AV185*12</f>
        <v>28167.600000000002</v>
      </c>
      <c r="AX185" s="405">
        <v>1</v>
      </c>
      <c r="AY185" s="454">
        <f>'Copeira 3'!D137</f>
        <v>2347.3000000000002</v>
      </c>
      <c r="AZ185" s="310">
        <f>AY185*AX185</f>
        <v>2347.3000000000002</v>
      </c>
      <c r="BA185" s="325">
        <f>AZ185*12</f>
        <v>28167.600000000002</v>
      </c>
    </row>
    <row r="186" spans="1:55" x14ac:dyDescent="0.25">
      <c r="B186" s="281">
        <v>4</v>
      </c>
      <c r="C186" s="278" t="s">
        <v>3</v>
      </c>
      <c r="D186" s="279">
        <v>0</v>
      </c>
      <c r="E186" s="298">
        <v>0</v>
      </c>
      <c r="F186" s="280">
        <v>0</v>
      </c>
      <c r="G186" s="280">
        <v>0</v>
      </c>
      <c r="H186" s="298">
        <v>0</v>
      </c>
      <c r="I186" s="280">
        <f>H186*D186</f>
        <v>0</v>
      </c>
      <c r="J186" s="280">
        <f>I186*12</f>
        <v>0</v>
      </c>
      <c r="L186" s="264"/>
      <c r="M186" s="274"/>
      <c r="P186" s="279"/>
      <c r="Q186" s="298"/>
      <c r="R186" s="280"/>
      <c r="S186" s="280"/>
      <c r="U186" s="279"/>
      <c r="V186" s="298"/>
      <c r="W186" s="280"/>
      <c r="X186" s="280"/>
      <c r="Z186" s="408">
        <v>0</v>
      </c>
      <c r="AA186" s="402">
        <v>2498.1</v>
      </c>
      <c r="AB186" s="403">
        <v>0</v>
      </c>
      <c r="AC186" s="409">
        <v>0</v>
      </c>
      <c r="AD186" s="267" t="s">
        <v>583</v>
      </c>
      <c r="AE186" s="408">
        <v>0</v>
      </c>
      <c r="AF186" s="442">
        <f>'Porteiro 3'!$D$137</f>
        <v>3330.09</v>
      </c>
      <c r="AG186" s="403">
        <f>AF186*AE186</f>
        <v>0</v>
      </c>
      <c r="AH186" s="409">
        <f>AG186*12</f>
        <v>0</v>
      </c>
      <c r="AI186" s="267" t="s">
        <v>583</v>
      </c>
      <c r="AJ186" s="405">
        <v>2</v>
      </c>
      <c r="AK186" s="446">
        <v>2817.63</v>
      </c>
      <c r="AL186" s="310">
        <v>5635.26</v>
      </c>
      <c r="AM186" s="325">
        <v>67623.12</v>
      </c>
      <c r="AN186" s="267" t="s">
        <v>659</v>
      </c>
      <c r="AO186" s="405">
        <v>2</v>
      </c>
      <c r="AP186" s="446">
        <v>2817.63</v>
      </c>
      <c r="AQ186" s="310">
        <v>5635.26</v>
      </c>
      <c r="AR186" s="325">
        <v>67623.12</v>
      </c>
      <c r="AS186" s="267" t="s">
        <v>659</v>
      </c>
      <c r="AT186" s="405">
        <v>2</v>
      </c>
      <c r="AU186" s="446">
        <f>'Porteiro 3'!$D$137</f>
        <v>3330.09</v>
      </c>
      <c r="AV186" s="310">
        <f>AU186*AT186</f>
        <v>6660.18</v>
      </c>
      <c r="AW186" s="325">
        <f>AV186*12</f>
        <v>79922.16</v>
      </c>
      <c r="AX186" s="405">
        <v>2</v>
      </c>
      <c r="AY186" s="446">
        <f>'Porteiro 3'!$D$137</f>
        <v>3330.09</v>
      </c>
      <c r="AZ186" s="310">
        <f>AY186*AX186</f>
        <v>6660.18</v>
      </c>
      <c r="BA186" s="325">
        <f>AZ186*12</f>
        <v>79922.16</v>
      </c>
    </row>
    <row r="187" spans="1:55" x14ac:dyDescent="0.25">
      <c r="B187" s="258">
        <v>8</v>
      </c>
      <c r="C187" s="259" t="s">
        <v>293</v>
      </c>
      <c r="D187" s="279"/>
      <c r="E187" s="298"/>
      <c r="F187" s="280"/>
      <c r="G187" s="280"/>
      <c r="H187" s="298"/>
      <c r="I187" s="280"/>
      <c r="J187" s="280"/>
      <c r="L187" s="264"/>
      <c r="M187" s="277"/>
      <c r="P187" s="279"/>
      <c r="Q187" s="298"/>
      <c r="R187" s="280"/>
      <c r="S187" s="280"/>
      <c r="U187" s="279"/>
      <c r="V187" s="298"/>
      <c r="W187" s="280"/>
      <c r="X187" s="280"/>
      <c r="Z187" s="408"/>
      <c r="AA187" s="402"/>
      <c r="AB187" s="403"/>
      <c r="AC187" s="409"/>
      <c r="AD187" s="267"/>
      <c r="AE187" s="408"/>
      <c r="AF187" s="442"/>
      <c r="AG187" s="403"/>
      <c r="AH187" s="409"/>
      <c r="AI187" s="267"/>
      <c r="AJ187" s="405">
        <v>1</v>
      </c>
      <c r="AK187" s="446">
        <v>2987.6</v>
      </c>
      <c r="AL187" s="310">
        <v>2987.6</v>
      </c>
      <c r="AM187" s="325">
        <v>35851.199999999997</v>
      </c>
      <c r="AN187" s="267" t="s">
        <v>659</v>
      </c>
      <c r="AO187" s="405">
        <v>1</v>
      </c>
      <c r="AP187" s="446">
        <v>2987.6</v>
      </c>
      <c r="AQ187" s="310">
        <v>2987.6</v>
      </c>
      <c r="AR187" s="325">
        <v>35851.199999999997</v>
      </c>
      <c r="AS187" s="267" t="s">
        <v>659</v>
      </c>
      <c r="AT187" s="405">
        <v>1</v>
      </c>
      <c r="AU187" s="446">
        <f>'Oficial 3'!D136</f>
        <v>3510.56</v>
      </c>
      <c r="AV187" s="310">
        <f>AU187*AT187</f>
        <v>3510.56</v>
      </c>
      <c r="AW187" s="325">
        <f>AV187*12</f>
        <v>42126.720000000001</v>
      </c>
      <c r="AX187" s="405">
        <v>1</v>
      </c>
      <c r="AY187" s="446">
        <f>'Oficial 3'!D136</f>
        <v>3510.56</v>
      </c>
      <c r="AZ187" s="310">
        <f>AY187*AX187</f>
        <v>3510.56</v>
      </c>
      <c r="BA187" s="325">
        <f>AZ187*12</f>
        <v>42126.720000000001</v>
      </c>
    </row>
    <row r="188" spans="1:55" x14ac:dyDescent="0.25">
      <c r="B188" s="258">
        <v>9</v>
      </c>
      <c r="C188" s="259" t="s">
        <v>306</v>
      </c>
      <c r="D188" s="265">
        <v>1</v>
      </c>
      <c r="E188" s="261">
        <v>2318.56</v>
      </c>
      <c r="F188" s="280">
        <v>2318.56</v>
      </c>
      <c r="G188" s="280">
        <v>27822.720000000001</v>
      </c>
      <c r="H188" s="261">
        <f>'Op.de maq. 3'!$D$137</f>
        <v>3064.16</v>
      </c>
      <c r="I188" s="280">
        <f>H188*D188</f>
        <v>3064.16</v>
      </c>
      <c r="J188" s="280">
        <f>I188*12</f>
        <v>36769.919999999998</v>
      </c>
      <c r="K188" s="263">
        <f>I188*3</f>
        <v>9192.48</v>
      </c>
      <c r="L188" s="264" t="s">
        <v>519</v>
      </c>
      <c r="M188" s="274">
        <v>801863</v>
      </c>
      <c r="N188" s="246" t="s">
        <v>549</v>
      </c>
      <c r="P188" s="265"/>
      <c r="Q188" s="261">
        <f>'Op.de maq. 3'!I146</f>
        <v>0</v>
      </c>
      <c r="R188" s="280">
        <f>Q188*P188</f>
        <v>0</v>
      </c>
      <c r="S188" s="280">
        <f>R188*12</f>
        <v>0</v>
      </c>
      <c r="U188" s="265"/>
      <c r="V188" s="261">
        <f>'Op.de maq. 3'!$D$137</f>
        <v>3064.16</v>
      </c>
      <c r="W188" s="280">
        <f>V188*U188</f>
        <v>0</v>
      </c>
      <c r="X188" s="280">
        <f>W188*12</f>
        <v>0</v>
      </c>
      <c r="Z188" s="265">
        <v>1</v>
      </c>
      <c r="AA188" s="261">
        <v>2318.56</v>
      </c>
      <c r="AB188" s="262">
        <v>2318.56</v>
      </c>
      <c r="AC188" s="280">
        <v>27822.720000000001</v>
      </c>
      <c r="AE188" s="260">
        <v>1</v>
      </c>
      <c r="AF188" s="446">
        <v>2589.1999999999998</v>
      </c>
      <c r="AG188" s="310">
        <v>2589.1999999999998</v>
      </c>
      <c r="AH188" s="325">
        <v>31070.399999999998</v>
      </c>
      <c r="AJ188" s="260">
        <v>1</v>
      </c>
      <c r="AK188" s="446">
        <v>2589.1999999999998</v>
      </c>
      <c r="AL188" s="310">
        <v>2589.1999999999998</v>
      </c>
      <c r="AM188" s="325">
        <v>31070.399999999998</v>
      </c>
      <c r="AO188" s="260">
        <v>1</v>
      </c>
      <c r="AP188" s="446">
        <v>2589.1999999999998</v>
      </c>
      <c r="AQ188" s="310">
        <v>2589.1999999999998</v>
      </c>
      <c r="AR188" s="325">
        <v>31070.399999999998</v>
      </c>
      <c r="AT188" s="260">
        <v>1</v>
      </c>
      <c r="AU188" s="446">
        <f>'Op.de maq. 3'!$D$137</f>
        <v>3064.16</v>
      </c>
      <c r="AV188" s="310">
        <f>AU188*D188</f>
        <v>3064.16</v>
      </c>
      <c r="AW188" s="325">
        <f>AV188*12</f>
        <v>36769.919999999998</v>
      </c>
      <c r="AX188" s="260">
        <v>0</v>
      </c>
      <c r="AY188" s="446">
        <f>'Op.de maq. 3'!$D$137</f>
        <v>3064.16</v>
      </c>
      <c r="AZ188" s="310">
        <f>AY188*AX188</f>
        <v>0</v>
      </c>
      <c r="BA188" s="325">
        <f>AZ188*12</f>
        <v>0</v>
      </c>
    </row>
    <row r="189" spans="1:55" x14ac:dyDescent="0.25">
      <c r="B189" s="629"/>
      <c r="C189" s="629"/>
      <c r="D189" s="629">
        <f>SUM(D186:D186)</f>
        <v>0</v>
      </c>
      <c r="E189" s="269"/>
      <c r="F189" s="269">
        <f>SUM(F186:F186)</f>
        <v>0</v>
      </c>
      <c r="G189" s="269">
        <v>84406.56</v>
      </c>
      <c r="H189" s="269"/>
      <c r="I189" s="269">
        <f>SUM(I186:I186)</f>
        <v>0</v>
      </c>
      <c r="J189" s="269">
        <f>SUM(J186:J186)</f>
        <v>0</v>
      </c>
      <c r="K189" s="269">
        <f>SUM(K186:K186)</f>
        <v>0</v>
      </c>
      <c r="L189" s="269">
        <f>SUM(L186:L186)</f>
        <v>0</v>
      </c>
      <c r="M189" s="305"/>
      <c r="N189" s="305"/>
      <c r="P189" s="629">
        <f>SUM(P186:P186)</f>
        <v>0</v>
      </c>
      <c r="Q189" s="269"/>
      <c r="R189" s="303">
        <f>SUM(R186:R186)</f>
        <v>0</v>
      </c>
      <c r="S189" s="303">
        <f>SUM(S186:S186)</f>
        <v>0</v>
      </c>
      <c r="U189" s="629">
        <f>SUM(U186:U186)</f>
        <v>0</v>
      </c>
      <c r="V189" s="269"/>
      <c r="W189" s="303">
        <f>SUM(W186:W186)</f>
        <v>0</v>
      </c>
      <c r="X189" s="303">
        <f>SUM(X186:X186)</f>
        <v>0</v>
      </c>
      <c r="Z189" s="629">
        <v>0</v>
      </c>
      <c r="AA189" s="269"/>
      <c r="AB189" s="270">
        <v>0</v>
      </c>
      <c r="AC189" s="271">
        <v>0</v>
      </c>
      <c r="AE189" s="629">
        <f>SUM(AE184:AE186)</f>
        <v>0</v>
      </c>
      <c r="AF189" s="443"/>
      <c r="AG189" s="270">
        <f>SUM(AG184:AG186)</f>
        <v>0</v>
      </c>
      <c r="AH189" s="271">
        <f>SUM(AH184:AH186)</f>
        <v>0</v>
      </c>
      <c r="AJ189" s="629">
        <v>4</v>
      </c>
      <c r="AK189" s="443"/>
      <c r="AL189" s="270">
        <v>10859.48</v>
      </c>
      <c r="AM189" s="271">
        <v>130313.76</v>
      </c>
      <c r="AO189" s="629">
        <v>4</v>
      </c>
      <c r="AP189" s="443"/>
      <c r="AQ189" s="270">
        <v>10859.48</v>
      </c>
      <c r="AR189" s="271">
        <v>130313.76</v>
      </c>
      <c r="AT189" s="629">
        <f>SUM(AT184:AT187)</f>
        <v>5</v>
      </c>
      <c r="AU189" s="443"/>
      <c r="AV189" s="270">
        <f>SUM(AV184:AV187)</f>
        <v>15170.1</v>
      </c>
      <c r="AW189" s="271">
        <f>SUM(AW184:AW187)</f>
        <v>182041.2</v>
      </c>
      <c r="AX189" s="629">
        <f>SUM(AX184:AX188)</f>
        <v>5</v>
      </c>
      <c r="AY189" s="443"/>
      <c r="AZ189" s="270">
        <f>SUM(AZ184:AZ188)</f>
        <v>15170.1</v>
      </c>
      <c r="BA189" s="271">
        <f>SUM(BA184:BA188)</f>
        <v>182041.2</v>
      </c>
    </row>
    <row r="190" spans="1:55" x14ac:dyDescent="0.25">
      <c r="AA190" s="717" t="s">
        <v>570</v>
      </c>
      <c r="AB190" s="717"/>
      <c r="AC190" s="717"/>
      <c r="AF190" s="717" t="s">
        <v>627</v>
      </c>
      <c r="AG190" s="717"/>
      <c r="AH190" s="717"/>
      <c r="AK190" s="717" t="s">
        <v>657</v>
      </c>
      <c r="AL190" s="717"/>
      <c r="AM190" s="717"/>
      <c r="AP190" s="717" t="s">
        <v>693</v>
      </c>
      <c r="AQ190" s="717"/>
      <c r="AR190" s="717"/>
      <c r="AU190" s="717" t="s">
        <v>693</v>
      </c>
      <c r="AV190" s="717"/>
      <c r="AW190" s="717"/>
      <c r="AY190" s="717" t="s">
        <v>693</v>
      </c>
      <c r="AZ190" s="717"/>
      <c r="BA190" s="717"/>
    </row>
    <row r="191" spans="1:55" s="601" customFormat="1" x14ac:dyDescent="0.25">
      <c r="A191" s="600"/>
      <c r="B191" s="304" t="s">
        <v>710</v>
      </c>
      <c r="C191" s="282" t="s">
        <v>503</v>
      </c>
      <c r="D191" s="246"/>
      <c r="E191" s="717" t="s">
        <v>566</v>
      </c>
      <c r="F191" s="717"/>
      <c r="G191" s="717"/>
      <c r="H191" s="717" t="s">
        <v>569</v>
      </c>
      <c r="I191" s="717"/>
      <c r="J191" s="717"/>
      <c r="K191" s="248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  <c r="AA191" s="715" t="s">
        <v>570</v>
      </c>
      <c r="AB191" s="715"/>
      <c r="AC191" s="715"/>
      <c r="AD191" s="246"/>
      <c r="AE191" s="246"/>
      <c r="AF191" s="715" t="s">
        <v>627</v>
      </c>
      <c r="AG191" s="715"/>
      <c r="AH191" s="715"/>
      <c r="AI191" s="246"/>
      <c r="AJ191" s="246"/>
      <c r="AK191" s="715" t="s">
        <v>657</v>
      </c>
      <c r="AL191" s="715"/>
      <c r="AM191" s="715"/>
      <c r="AN191" s="246"/>
      <c r="AO191" s="246"/>
      <c r="AP191" s="439"/>
      <c r="AQ191" s="246"/>
      <c r="AR191" s="246"/>
      <c r="AS191" s="246"/>
      <c r="AT191" s="246"/>
      <c r="AU191" s="439"/>
      <c r="AV191" s="246"/>
      <c r="AW191" s="246"/>
      <c r="AX191" s="246"/>
      <c r="AY191" s="439"/>
      <c r="AZ191" s="246"/>
      <c r="BA191" s="246"/>
    </row>
    <row r="192" spans="1:55" ht="47.25" x14ac:dyDescent="0.25">
      <c r="B192" s="256" t="s">
        <v>159</v>
      </c>
      <c r="C192" s="257" t="s">
        <v>160</v>
      </c>
      <c r="D192" s="257" t="s">
        <v>161</v>
      </c>
      <c r="E192" s="257" t="s">
        <v>168</v>
      </c>
      <c r="F192" s="257" t="s">
        <v>167</v>
      </c>
      <c r="G192" s="257" t="s">
        <v>162</v>
      </c>
      <c r="H192" s="257" t="s">
        <v>168</v>
      </c>
      <c r="I192" s="257" t="s">
        <v>167</v>
      </c>
      <c r="J192" s="257" t="s">
        <v>162</v>
      </c>
      <c r="K192" s="257" t="s">
        <v>515</v>
      </c>
      <c r="L192" s="257" t="s">
        <v>520</v>
      </c>
      <c r="M192" s="257" t="s">
        <v>518</v>
      </c>
      <c r="N192" s="257" t="s">
        <v>548</v>
      </c>
      <c r="P192" s="257" t="s">
        <v>161</v>
      </c>
      <c r="Q192" s="257" t="s">
        <v>168</v>
      </c>
      <c r="R192" s="257" t="s">
        <v>167</v>
      </c>
      <c r="S192" s="257" t="s">
        <v>162</v>
      </c>
      <c r="U192" s="257" t="s">
        <v>161</v>
      </c>
      <c r="V192" s="257" t="s">
        <v>168</v>
      </c>
      <c r="W192" s="257" t="s">
        <v>167</v>
      </c>
      <c r="X192" s="257" t="s">
        <v>162</v>
      </c>
      <c r="Z192" s="257" t="s">
        <v>571</v>
      </c>
      <c r="AA192" s="257" t="s">
        <v>168</v>
      </c>
      <c r="AB192" s="257" t="s">
        <v>167</v>
      </c>
      <c r="AC192" s="257" t="s">
        <v>162</v>
      </c>
      <c r="AE192" s="257" t="s">
        <v>628</v>
      </c>
      <c r="AF192" s="440" t="s">
        <v>168</v>
      </c>
      <c r="AG192" s="257" t="s">
        <v>167</v>
      </c>
      <c r="AH192" s="257" t="s">
        <v>162</v>
      </c>
      <c r="AJ192" s="257" t="s">
        <v>628</v>
      </c>
      <c r="AK192" s="440" t="s">
        <v>168</v>
      </c>
      <c r="AL192" s="257" t="s">
        <v>167</v>
      </c>
      <c r="AM192" s="257" t="s">
        <v>162</v>
      </c>
      <c r="AO192" s="257" t="s">
        <v>628</v>
      </c>
      <c r="AP192" s="440" t="s">
        <v>168</v>
      </c>
      <c r="AQ192" s="257" t="s">
        <v>167</v>
      </c>
      <c r="AR192" s="257" t="s">
        <v>162</v>
      </c>
      <c r="AT192" s="257" t="s">
        <v>628</v>
      </c>
      <c r="AU192" s="440" t="s">
        <v>168</v>
      </c>
      <c r="AV192" s="257" t="s">
        <v>167</v>
      </c>
      <c r="AW192" s="257" t="s">
        <v>162</v>
      </c>
      <c r="AX192" s="257" t="s">
        <v>628</v>
      </c>
      <c r="AY192" s="440" t="s">
        <v>168</v>
      </c>
      <c r="AZ192" s="257" t="s">
        <v>167</v>
      </c>
      <c r="BA192" s="257" t="s">
        <v>162</v>
      </c>
    </row>
    <row r="193" spans="2:62" s="276" customFormat="1" x14ac:dyDescent="0.25">
      <c r="B193" s="281">
        <v>2</v>
      </c>
      <c r="C193" s="278" t="s">
        <v>2</v>
      </c>
      <c r="D193" s="279">
        <v>0</v>
      </c>
      <c r="E193" s="280">
        <v>0</v>
      </c>
      <c r="F193" s="280">
        <v>0</v>
      </c>
      <c r="G193" s="280">
        <v>0</v>
      </c>
      <c r="H193" s="280">
        <v>0</v>
      </c>
      <c r="I193" s="280">
        <f>H193*D193</f>
        <v>0</v>
      </c>
      <c r="J193" s="280">
        <f>I193*12</f>
        <v>0</v>
      </c>
      <c r="K193" s="248"/>
      <c r="L193" s="264"/>
      <c r="M193" s="274"/>
      <c r="N193" s="246"/>
      <c r="O193" s="246"/>
      <c r="P193" s="279"/>
      <c r="Q193" s="298"/>
      <c r="R193" s="280"/>
      <c r="S193" s="280"/>
      <c r="T193" s="246"/>
      <c r="U193" s="279"/>
      <c r="V193" s="298"/>
      <c r="W193" s="280"/>
      <c r="X193" s="280"/>
      <c r="Y193" s="246"/>
      <c r="Z193" s="408">
        <v>0</v>
      </c>
      <c r="AA193" s="409"/>
      <c r="AB193" s="403">
        <v>0</v>
      </c>
      <c r="AC193" s="409">
        <v>0</v>
      </c>
      <c r="AD193" s="267" t="s">
        <v>583</v>
      </c>
      <c r="AE193" s="408">
        <v>0</v>
      </c>
      <c r="AF193" s="451"/>
      <c r="AG193" s="403">
        <f>AF193*AE193</f>
        <v>0</v>
      </c>
      <c r="AH193" s="409">
        <f>AG193*12</f>
        <v>0</v>
      </c>
      <c r="AI193" s="267" t="s">
        <v>583</v>
      </c>
      <c r="AJ193" s="405">
        <v>0</v>
      </c>
      <c r="AK193" s="454"/>
      <c r="AL193" s="310"/>
      <c r="AM193" s="325"/>
      <c r="AN193" s="250"/>
      <c r="AO193" s="405">
        <v>0</v>
      </c>
      <c r="AP193" s="454">
        <v>0</v>
      </c>
      <c r="AQ193" s="310">
        <v>0</v>
      </c>
      <c r="AR193" s="325">
        <v>0</v>
      </c>
      <c r="AS193" s="250"/>
      <c r="AT193" s="405">
        <v>1</v>
      </c>
      <c r="AU193" s="454">
        <f>'Recepção 2'!D137</f>
        <v>2622.17</v>
      </c>
      <c r="AV193" s="310">
        <f>AU193*AT193</f>
        <v>2622.17</v>
      </c>
      <c r="AW193" s="325">
        <f>AV193*12</f>
        <v>31466.04</v>
      </c>
      <c r="AX193" s="405">
        <v>1</v>
      </c>
      <c r="AY193" s="454">
        <f>'Recepção 2'!D137</f>
        <v>2622.17</v>
      </c>
      <c r="AZ193" s="310">
        <f>AY193*AX193</f>
        <v>2622.17</v>
      </c>
      <c r="BA193" s="325">
        <f>AZ193*12</f>
        <v>31466.04</v>
      </c>
    </row>
    <row r="194" spans="2:62" x14ac:dyDescent="0.25">
      <c r="B194" s="716"/>
      <c r="C194" s="716"/>
      <c r="D194" s="575" t="e">
        <f>SUM(#REF!)</f>
        <v>#REF!</v>
      </c>
      <c r="E194" s="269"/>
      <c r="F194" s="269" t="e">
        <f>SUM(#REF!)</f>
        <v>#REF!</v>
      </c>
      <c r="G194" s="269"/>
      <c r="H194" s="269"/>
      <c r="I194" s="269" t="e">
        <f>SUM(#REF!)</f>
        <v>#REF!</v>
      </c>
      <c r="J194" s="269" t="e">
        <f>SUM(#REF!)</f>
        <v>#REF!</v>
      </c>
      <c r="K194" s="269" t="e">
        <f>SUM(#REF!)</f>
        <v>#REF!</v>
      </c>
      <c r="L194" s="269" t="e">
        <f>SUM(#REF!)</f>
        <v>#REF!</v>
      </c>
      <c r="M194" s="305"/>
      <c r="N194" s="305"/>
      <c r="P194" s="575" t="e">
        <f>SUM(#REF!)</f>
        <v>#REF!</v>
      </c>
      <c r="Q194" s="269"/>
      <c r="R194" s="303" t="e">
        <f>SUM(#REF!)</f>
        <v>#REF!</v>
      </c>
      <c r="S194" s="303" t="e">
        <f>SUM(#REF!)</f>
        <v>#REF!</v>
      </c>
      <c r="U194" s="575" t="e">
        <f>SUM(#REF!)</f>
        <v>#REF!</v>
      </c>
      <c r="V194" s="269"/>
      <c r="W194" s="303" t="e">
        <f>SUM(#REF!)</f>
        <v>#REF!</v>
      </c>
      <c r="X194" s="303" t="e">
        <f>SUM(#REF!)</f>
        <v>#REF!</v>
      </c>
      <c r="Z194" s="575">
        <v>0</v>
      </c>
      <c r="AA194" s="269"/>
      <c r="AB194" s="270">
        <v>0</v>
      </c>
      <c r="AC194" s="271">
        <v>0</v>
      </c>
      <c r="AE194" s="575">
        <f>SUM(AE193:AE193)</f>
        <v>0</v>
      </c>
      <c r="AF194" s="443"/>
      <c r="AG194" s="270">
        <f>SUM(AG193:AG193)</f>
        <v>0</v>
      </c>
      <c r="AH194" s="271">
        <f>SUM(AH193:AH193)</f>
        <v>0</v>
      </c>
      <c r="AJ194" s="575">
        <v>4</v>
      </c>
      <c r="AK194" s="443"/>
      <c r="AL194" s="270"/>
      <c r="AM194" s="271"/>
      <c r="AO194" s="575"/>
      <c r="AP194" s="443"/>
      <c r="AQ194" s="270"/>
      <c r="AR194" s="271"/>
      <c r="AT194" s="575">
        <f>SUM(AT193:AT193)</f>
        <v>1</v>
      </c>
      <c r="AU194" s="443"/>
      <c r="AV194" s="270">
        <f>SUM(AV193:AV193)</f>
        <v>2622.17</v>
      </c>
      <c r="AW194" s="271">
        <f>SUM(AW193:AW193)</f>
        <v>31466.04</v>
      </c>
      <c r="AX194" s="608">
        <f>SUM(AX193:AX193)</f>
        <v>1</v>
      </c>
      <c r="AY194" s="443"/>
      <c r="AZ194" s="270">
        <f>SUM(AZ193:AZ193)</f>
        <v>2622.17</v>
      </c>
      <c r="BA194" s="271">
        <f>SUM(BA193:BA193)</f>
        <v>31466.04</v>
      </c>
    </row>
    <row r="195" spans="2:62" x14ac:dyDescent="0.25">
      <c r="AA195" s="717" t="s">
        <v>570</v>
      </c>
      <c r="AB195" s="717"/>
      <c r="AC195" s="717"/>
      <c r="AF195" s="717" t="s">
        <v>627</v>
      </c>
      <c r="AG195" s="717"/>
      <c r="AH195" s="717"/>
      <c r="AK195" s="717" t="s">
        <v>657</v>
      </c>
      <c r="AL195" s="717"/>
      <c r="AM195" s="717"/>
      <c r="AP195" s="717" t="s">
        <v>693</v>
      </c>
      <c r="AQ195" s="717"/>
      <c r="AR195" s="717"/>
      <c r="AU195" s="717" t="s">
        <v>693</v>
      </c>
      <c r="AV195" s="717"/>
      <c r="AW195" s="717"/>
      <c r="AY195" s="717" t="s">
        <v>693</v>
      </c>
      <c r="AZ195" s="717"/>
      <c r="BA195" s="717"/>
    </row>
    <row r="196" spans="2:62" x14ac:dyDescent="0.25">
      <c r="B196" s="304" t="s">
        <v>711</v>
      </c>
      <c r="C196" s="282" t="s">
        <v>503</v>
      </c>
      <c r="E196" s="717" t="s">
        <v>566</v>
      </c>
      <c r="F196" s="717"/>
      <c r="G196" s="717"/>
      <c r="H196" s="717" t="s">
        <v>569</v>
      </c>
      <c r="I196" s="717"/>
      <c r="J196" s="717"/>
      <c r="AA196" s="715" t="s">
        <v>570</v>
      </c>
      <c r="AB196" s="715"/>
      <c r="AC196" s="715"/>
      <c r="AF196" s="715" t="s">
        <v>627</v>
      </c>
      <c r="AG196" s="715"/>
      <c r="AH196" s="715"/>
      <c r="AK196" s="715" t="s">
        <v>657</v>
      </c>
      <c r="AL196" s="715"/>
      <c r="AM196" s="715"/>
    </row>
    <row r="197" spans="2:62" ht="47.25" x14ac:dyDescent="0.25">
      <c r="B197" s="256" t="s">
        <v>159</v>
      </c>
      <c r="C197" s="257" t="s">
        <v>160</v>
      </c>
      <c r="D197" s="257" t="s">
        <v>161</v>
      </c>
      <c r="E197" s="257" t="s">
        <v>168</v>
      </c>
      <c r="F197" s="257" t="s">
        <v>167</v>
      </c>
      <c r="G197" s="257" t="s">
        <v>162</v>
      </c>
      <c r="H197" s="257" t="s">
        <v>168</v>
      </c>
      <c r="I197" s="257" t="s">
        <v>167</v>
      </c>
      <c r="J197" s="257" t="s">
        <v>162</v>
      </c>
      <c r="K197" s="257" t="s">
        <v>515</v>
      </c>
      <c r="L197" s="257" t="s">
        <v>520</v>
      </c>
      <c r="M197" s="257" t="s">
        <v>518</v>
      </c>
      <c r="N197" s="257" t="s">
        <v>548</v>
      </c>
      <c r="P197" s="257" t="s">
        <v>161</v>
      </c>
      <c r="Q197" s="257" t="s">
        <v>168</v>
      </c>
      <c r="R197" s="257" t="s">
        <v>167</v>
      </c>
      <c r="S197" s="257" t="s">
        <v>162</v>
      </c>
      <c r="U197" s="257" t="s">
        <v>161</v>
      </c>
      <c r="V197" s="257" t="s">
        <v>168</v>
      </c>
      <c r="W197" s="257" t="s">
        <v>167</v>
      </c>
      <c r="X197" s="257" t="s">
        <v>162</v>
      </c>
      <c r="Z197" s="257" t="s">
        <v>571</v>
      </c>
      <c r="AA197" s="257" t="s">
        <v>168</v>
      </c>
      <c r="AB197" s="257" t="s">
        <v>167</v>
      </c>
      <c r="AC197" s="257" t="s">
        <v>162</v>
      </c>
      <c r="AE197" s="257" t="s">
        <v>628</v>
      </c>
      <c r="AF197" s="440" t="s">
        <v>168</v>
      </c>
      <c r="AG197" s="257" t="s">
        <v>167</v>
      </c>
      <c r="AH197" s="257" t="s">
        <v>162</v>
      </c>
      <c r="AJ197" s="257" t="s">
        <v>628</v>
      </c>
      <c r="AK197" s="440" t="s">
        <v>168</v>
      </c>
      <c r="AL197" s="257" t="s">
        <v>167</v>
      </c>
      <c r="AM197" s="257" t="s">
        <v>162</v>
      </c>
      <c r="AO197" s="257" t="s">
        <v>628</v>
      </c>
      <c r="AP197" s="440" t="s">
        <v>168</v>
      </c>
      <c r="AQ197" s="257" t="s">
        <v>167</v>
      </c>
      <c r="AR197" s="257" t="s">
        <v>162</v>
      </c>
      <c r="AT197" s="257" t="s">
        <v>628</v>
      </c>
      <c r="AU197" s="440" t="s">
        <v>168</v>
      </c>
      <c r="AV197" s="257" t="s">
        <v>167</v>
      </c>
      <c r="AW197" s="257" t="s">
        <v>162</v>
      </c>
      <c r="AX197" s="257" t="s">
        <v>628</v>
      </c>
      <c r="AY197" s="440" t="s">
        <v>168</v>
      </c>
      <c r="AZ197" s="257" t="s">
        <v>167</v>
      </c>
      <c r="BA197" s="257" t="s">
        <v>162</v>
      </c>
    </row>
    <row r="198" spans="2:62" x14ac:dyDescent="0.25">
      <c r="B198" s="281">
        <v>2</v>
      </c>
      <c r="C198" s="278" t="s">
        <v>2</v>
      </c>
      <c r="D198" s="279">
        <v>0</v>
      </c>
      <c r="E198" s="280">
        <v>0</v>
      </c>
      <c r="F198" s="280">
        <v>0</v>
      </c>
      <c r="G198" s="280">
        <v>0</v>
      </c>
      <c r="H198" s="280">
        <v>0</v>
      </c>
      <c r="I198" s="280">
        <f>H198*D198</f>
        <v>0</v>
      </c>
      <c r="J198" s="280">
        <f>I198*12</f>
        <v>0</v>
      </c>
      <c r="L198" s="264"/>
      <c r="M198" s="274"/>
      <c r="P198" s="279"/>
      <c r="Q198" s="298"/>
      <c r="R198" s="280"/>
      <c r="S198" s="280"/>
      <c r="U198" s="279"/>
      <c r="V198" s="298"/>
      <c r="W198" s="280"/>
      <c r="X198" s="280"/>
      <c r="Z198" s="408">
        <v>0</v>
      </c>
      <c r="AA198" s="409"/>
      <c r="AB198" s="403">
        <v>0</v>
      </c>
      <c r="AC198" s="409">
        <v>0</v>
      </c>
      <c r="AD198" s="267" t="s">
        <v>583</v>
      </c>
      <c r="AE198" s="408">
        <v>0</v>
      </c>
      <c r="AF198" s="451"/>
      <c r="AG198" s="403">
        <f>AF198*AE198</f>
        <v>0</v>
      </c>
      <c r="AH198" s="409">
        <f>AG198*12</f>
        <v>0</v>
      </c>
      <c r="AI198" s="267" t="s">
        <v>583</v>
      </c>
      <c r="AJ198" s="405">
        <v>0</v>
      </c>
      <c r="AK198" s="454"/>
      <c r="AL198" s="310"/>
      <c r="AM198" s="325"/>
      <c r="AN198" s="250"/>
      <c r="AO198" s="405">
        <v>0</v>
      </c>
      <c r="AP198" s="454">
        <v>0</v>
      </c>
      <c r="AQ198" s="310">
        <v>0</v>
      </c>
      <c r="AR198" s="325">
        <v>0</v>
      </c>
      <c r="AS198" s="250"/>
      <c r="AT198" s="405">
        <v>1</v>
      </c>
      <c r="AU198" s="454">
        <f>'Recepção 2'!D137</f>
        <v>2622.17</v>
      </c>
      <c r="AV198" s="310">
        <f>AU198*AT198</f>
        <v>2622.17</v>
      </c>
      <c r="AW198" s="325">
        <f>AV198*12</f>
        <v>31466.04</v>
      </c>
      <c r="AX198" s="405">
        <v>1</v>
      </c>
      <c r="AY198" s="454">
        <f>'Recepção 2'!D137</f>
        <v>2622.17</v>
      </c>
      <c r="AZ198" s="310">
        <f>AY198*AX198</f>
        <v>2622.17</v>
      </c>
      <c r="BA198" s="325">
        <f>AZ198*12</f>
        <v>31466.04</v>
      </c>
      <c r="BH198" s="272">
        <f>8*AU64</f>
        <v>27768.080000000002</v>
      </c>
    </row>
    <row r="199" spans="2:62" x14ac:dyDescent="0.25">
      <c r="B199" s="258">
        <v>5</v>
      </c>
      <c r="C199" s="259" t="s">
        <v>292</v>
      </c>
      <c r="D199" s="260">
        <v>3</v>
      </c>
      <c r="E199" s="261">
        <v>1714.13</v>
      </c>
      <c r="F199" s="262">
        <v>5142.3900000000003</v>
      </c>
      <c r="G199" s="262">
        <v>61708.680000000008</v>
      </c>
      <c r="H199" s="261">
        <f>'ASG 2'!$D$137</f>
        <v>2295.14</v>
      </c>
      <c r="I199" s="262">
        <f t="shared" ref="I199" si="78">D199*H199</f>
        <v>6885.42</v>
      </c>
      <c r="J199" s="262">
        <f t="shared" ref="J199" si="79">I199*12</f>
        <v>82625.040000000008</v>
      </c>
      <c r="K199" s="266" t="s">
        <v>519</v>
      </c>
      <c r="L199" s="264">
        <f t="shared" ref="L199" si="80">I199*2</f>
        <v>13770.84</v>
      </c>
      <c r="M199" s="274">
        <v>802050</v>
      </c>
      <c r="N199" s="246" t="s">
        <v>554</v>
      </c>
      <c r="Z199" s="260">
        <v>3</v>
      </c>
      <c r="AA199" s="261">
        <v>1714.13</v>
      </c>
      <c r="AB199" s="262">
        <v>5142.3900000000003</v>
      </c>
      <c r="AC199" s="262">
        <v>61708.680000000008</v>
      </c>
      <c r="AE199" s="260">
        <v>3</v>
      </c>
      <c r="AF199" s="441">
        <v>1912.22</v>
      </c>
      <c r="AG199" s="262">
        <v>5736.66</v>
      </c>
      <c r="AH199" s="262">
        <v>68839.92</v>
      </c>
      <c r="AJ199" s="260">
        <v>5</v>
      </c>
      <c r="AK199" s="441">
        <v>1912.22</v>
      </c>
      <c r="AL199" s="262">
        <v>9561.1</v>
      </c>
      <c r="AM199" s="262">
        <v>114733.20000000001</v>
      </c>
      <c r="AO199" s="496">
        <v>3</v>
      </c>
      <c r="AP199" s="458">
        <v>1912.22</v>
      </c>
      <c r="AQ199" s="456">
        <v>5736.66</v>
      </c>
      <c r="AR199" s="456">
        <v>68839.92</v>
      </c>
      <c r="AS199" s="267" t="s">
        <v>696</v>
      </c>
      <c r="AT199" s="260">
        <f>5-2</f>
        <v>3</v>
      </c>
      <c r="AU199" s="446">
        <f>'ASG 2'!$D$137</f>
        <v>2295.14</v>
      </c>
      <c r="AV199" s="310">
        <f t="shared" ref="AV199" si="81">AU199*AT199</f>
        <v>6885.42</v>
      </c>
      <c r="AW199" s="310">
        <f t="shared" ref="AW199" si="82">AV199*12</f>
        <v>82625.040000000008</v>
      </c>
      <c r="AX199" s="260">
        <v>1</v>
      </c>
      <c r="AY199" s="446">
        <f>'ASG 2'!$D$137</f>
        <v>2295.14</v>
      </c>
      <c r="AZ199" s="310">
        <f t="shared" ref="AZ199" si="83">AY199*AX199</f>
        <v>2295.14</v>
      </c>
      <c r="BA199" s="310">
        <f t="shared" ref="BA199" si="84">AZ199*12</f>
        <v>27541.68</v>
      </c>
    </row>
    <row r="200" spans="2:62" x14ac:dyDescent="0.25">
      <c r="B200" s="716"/>
      <c r="C200" s="716"/>
      <c r="D200" s="575" t="e">
        <f>SUM(#REF!)</f>
        <v>#REF!</v>
      </c>
      <c r="E200" s="269"/>
      <c r="F200" s="269" t="e">
        <f>SUM(#REF!)</f>
        <v>#REF!</v>
      </c>
      <c r="G200" s="269"/>
      <c r="H200" s="269"/>
      <c r="I200" s="269" t="e">
        <f>SUM(#REF!)</f>
        <v>#REF!</v>
      </c>
      <c r="J200" s="269" t="e">
        <f>SUM(#REF!)</f>
        <v>#REF!</v>
      </c>
      <c r="K200" s="269" t="e">
        <f>SUM(#REF!)</f>
        <v>#REF!</v>
      </c>
      <c r="L200" s="269" t="e">
        <f>SUM(#REF!)</f>
        <v>#REF!</v>
      </c>
      <c r="M200" s="305"/>
      <c r="N200" s="305"/>
      <c r="P200" s="575" t="e">
        <f>SUM(#REF!)</f>
        <v>#REF!</v>
      </c>
      <c r="Q200" s="269"/>
      <c r="R200" s="303" t="e">
        <f>SUM(#REF!)</f>
        <v>#REF!</v>
      </c>
      <c r="S200" s="303" t="e">
        <f>SUM(#REF!)</f>
        <v>#REF!</v>
      </c>
      <c r="U200" s="575" t="e">
        <f>SUM(#REF!)</f>
        <v>#REF!</v>
      </c>
      <c r="V200" s="269"/>
      <c r="W200" s="303" t="e">
        <f>SUM(#REF!)</f>
        <v>#REF!</v>
      </c>
      <c r="X200" s="303" t="e">
        <f>SUM(#REF!)</f>
        <v>#REF!</v>
      </c>
      <c r="Z200" s="575">
        <v>0</v>
      </c>
      <c r="AA200" s="269"/>
      <c r="AB200" s="270">
        <v>0</v>
      </c>
      <c r="AC200" s="271">
        <v>0</v>
      </c>
      <c r="AE200" s="575">
        <f>SUM(AE198:AE198)</f>
        <v>0</v>
      </c>
      <c r="AF200" s="443"/>
      <c r="AG200" s="270">
        <f>SUM(AG198:AG198)</f>
        <v>0</v>
      </c>
      <c r="AH200" s="271">
        <f>SUM(AH198:AH198)</f>
        <v>0</v>
      </c>
      <c r="AJ200" s="575">
        <v>4</v>
      </c>
      <c r="AK200" s="443"/>
      <c r="AL200" s="270"/>
      <c r="AM200" s="271"/>
      <c r="AO200" s="575"/>
      <c r="AP200" s="443"/>
      <c r="AQ200" s="270"/>
      <c r="AR200" s="271"/>
      <c r="AT200" s="575">
        <f>SUM(AT198:AT198)</f>
        <v>1</v>
      </c>
      <c r="AU200" s="443"/>
      <c r="AV200" s="270">
        <f>SUM(AV198:AV198)</f>
        <v>2622.17</v>
      </c>
      <c r="AW200" s="271">
        <f>SUM(AW198:AW198)</f>
        <v>31466.04</v>
      </c>
      <c r="AX200" s="608">
        <f>SUM(AX198:AX198)</f>
        <v>1</v>
      </c>
      <c r="AY200" s="443"/>
      <c r="AZ200" s="270">
        <f>SUM(AZ198:AZ198)</f>
        <v>2622.17</v>
      </c>
      <c r="BA200" s="271">
        <f>SUM(BA198:BA198)</f>
        <v>31466.04</v>
      </c>
      <c r="BC200" s="380">
        <f>BA205+BA200+BA194+BA189+BA180+BA172+BA161+BA153+BA142+BA133+BA125+BA115+BA107+BA99+BA89+BA81+BA21</f>
        <v>3477676.5599999996</v>
      </c>
      <c r="BH200" s="272">
        <f>8*AU65</f>
        <v>24237.040000000001</v>
      </c>
    </row>
    <row r="201" spans="2:62" x14ac:dyDescent="0.25">
      <c r="B201" s="633"/>
      <c r="C201" s="633"/>
      <c r="D201" s="633"/>
      <c r="E201" s="634"/>
      <c r="F201" s="634"/>
      <c r="G201" s="634"/>
      <c r="H201" s="634"/>
      <c r="I201" s="634"/>
      <c r="J201" s="634"/>
      <c r="K201" s="634"/>
      <c r="L201" s="634"/>
      <c r="M201" s="635"/>
      <c r="N201" s="635"/>
      <c r="O201" s="636"/>
      <c r="P201" s="633"/>
      <c r="Q201" s="634"/>
      <c r="R201" s="637"/>
      <c r="S201" s="637"/>
      <c r="T201" s="636"/>
      <c r="U201" s="633"/>
      <c r="V201" s="634"/>
      <c r="W201" s="637"/>
      <c r="X201" s="637"/>
      <c r="Y201" s="636"/>
      <c r="Z201" s="633"/>
      <c r="AA201" s="634"/>
      <c r="AB201" s="638"/>
      <c r="AC201" s="639"/>
      <c r="AD201" s="636"/>
      <c r="AE201" s="633"/>
      <c r="AF201" s="640"/>
      <c r="AG201" s="638"/>
      <c r="AH201" s="639"/>
      <c r="AI201" s="636"/>
      <c r="AJ201" s="633"/>
      <c r="AK201" s="640"/>
      <c r="AL201" s="638"/>
      <c r="AM201" s="639"/>
      <c r="AN201" s="636"/>
      <c r="AO201" s="633"/>
      <c r="AP201" s="640"/>
      <c r="AQ201" s="638"/>
      <c r="AR201" s="639"/>
      <c r="AS201" s="636"/>
      <c r="AT201" s="633"/>
      <c r="AU201" s="640"/>
      <c r="AV201" s="638"/>
      <c r="AW201" s="639"/>
      <c r="AX201" s="633"/>
      <c r="AY201" s="640"/>
      <c r="AZ201" s="638"/>
      <c r="BA201" s="639"/>
      <c r="BH201" s="272"/>
    </row>
    <row r="202" spans="2:62" x14ac:dyDescent="0.25">
      <c r="B202" s="633" t="s">
        <v>718</v>
      </c>
      <c r="C202" s="633" t="s">
        <v>504</v>
      </c>
      <c r="D202" s="633"/>
      <c r="E202" s="634"/>
      <c r="F202" s="634"/>
      <c r="G202" s="634"/>
      <c r="H202" s="634"/>
      <c r="I202" s="634"/>
      <c r="J202" s="634"/>
      <c r="K202" s="634"/>
      <c r="L202" s="634"/>
      <c r="M202" s="635"/>
      <c r="N202" s="635"/>
      <c r="O202" s="636"/>
      <c r="P202" s="633"/>
      <c r="Q202" s="634"/>
      <c r="R202" s="637"/>
      <c r="S202" s="637"/>
      <c r="T202" s="636"/>
      <c r="U202" s="633"/>
      <c r="V202" s="634"/>
      <c r="W202" s="637"/>
      <c r="X202" s="637"/>
      <c r="Y202" s="636"/>
      <c r="Z202" s="633"/>
      <c r="AA202" s="634"/>
      <c r="AB202" s="638"/>
      <c r="AC202" s="639"/>
      <c r="AD202" s="636"/>
      <c r="AE202" s="633"/>
      <c r="AF202" s="640"/>
      <c r="AG202" s="638"/>
      <c r="AH202" s="639"/>
      <c r="AI202" s="636"/>
      <c r="AJ202" s="633"/>
      <c r="AK202" s="640"/>
      <c r="AL202" s="638"/>
      <c r="AM202" s="639"/>
      <c r="AN202" s="636"/>
      <c r="AO202" s="633"/>
      <c r="AP202" s="640"/>
      <c r="AQ202" s="638"/>
      <c r="AR202" s="639"/>
      <c r="AS202" s="636"/>
      <c r="AT202" s="633"/>
      <c r="AU202" s="640"/>
      <c r="AV202" s="638"/>
      <c r="AW202" s="639"/>
      <c r="AX202" s="633"/>
      <c r="AY202" s="640"/>
      <c r="AZ202" s="638"/>
      <c r="BA202" s="639"/>
      <c r="BH202" s="272"/>
    </row>
    <row r="203" spans="2:62" x14ac:dyDescent="0.25">
      <c r="B203" s="281">
        <v>5</v>
      </c>
      <c r="C203" s="278" t="s">
        <v>292</v>
      </c>
      <c r="D203" s="631"/>
      <c r="E203" s="641"/>
      <c r="F203" s="641"/>
      <c r="G203" s="641"/>
      <c r="H203" s="641"/>
      <c r="I203" s="641"/>
      <c r="J203" s="641"/>
      <c r="K203" s="641"/>
      <c r="L203" s="641"/>
      <c r="M203" s="642"/>
      <c r="N203" s="642"/>
      <c r="O203" s="643"/>
      <c r="P203" s="631"/>
      <c r="Q203" s="641"/>
      <c r="R203" s="644"/>
      <c r="S203" s="644"/>
      <c r="T203" s="643"/>
      <c r="U203" s="631"/>
      <c r="V203" s="641"/>
      <c r="W203" s="644"/>
      <c r="X203" s="644"/>
      <c r="Y203" s="643"/>
      <c r="Z203" s="631"/>
      <c r="AA203" s="641"/>
      <c r="AB203" s="645"/>
      <c r="AC203" s="646"/>
      <c r="AD203" s="643"/>
      <c r="AE203" s="631"/>
      <c r="AF203" s="647"/>
      <c r="AG203" s="645"/>
      <c r="AH203" s="646"/>
      <c r="AI203" s="643"/>
      <c r="AJ203" s="631"/>
      <c r="AK203" s="647"/>
      <c r="AL203" s="645"/>
      <c r="AM203" s="646"/>
      <c r="AN203" s="643"/>
      <c r="AO203" s="631"/>
      <c r="AP203" s="647"/>
      <c r="AQ203" s="645"/>
      <c r="AR203" s="646"/>
      <c r="AS203" s="643"/>
      <c r="AT203" s="631"/>
      <c r="AU203" s="647"/>
      <c r="AV203" s="645"/>
      <c r="AW203" s="646"/>
      <c r="AX203" s="631">
        <v>1</v>
      </c>
      <c r="AY203" s="647">
        <f>'ASG 3'!D137</f>
        <v>2321.3000000000002</v>
      </c>
      <c r="AZ203" s="645">
        <f>AY203*AX203</f>
        <v>2321.3000000000002</v>
      </c>
      <c r="BA203" s="646">
        <f>AZ203*12</f>
        <v>27855.600000000002</v>
      </c>
      <c r="BH203" s="272"/>
    </row>
    <row r="204" spans="2:62" x14ac:dyDescent="0.25">
      <c r="B204" s="258">
        <v>8</v>
      </c>
      <c r="C204" s="259" t="s">
        <v>293</v>
      </c>
      <c r="D204" s="631"/>
      <c r="E204" s="641"/>
      <c r="F204" s="641"/>
      <c r="G204" s="641"/>
      <c r="H204" s="641"/>
      <c r="I204" s="641"/>
      <c r="J204" s="641"/>
      <c r="K204" s="641"/>
      <c r="L204" s="641"/>
      <c r="M204" s="642"/>
      <c r="N204" s="642"/>
      <c r="O204" s="643"/>
      <c r="P204" s="631"/>
      <c r="Q204" s="641"/>
      <c r="R204" s="644"/>
      <c r="S204" s="644"/>
      <c r="T204" s="643"/>
      <c r="U204" s="631"/>
      <c r="V204" s="641"/>
      <c r="W204" s="644"/>
      <c r="X204" s="644"/>
      <c r="Y204" s="643"/>
      <c r="Z204" s="631"/>
      <c r="AA204" s="641"/>
      <c r="AB204" s="645"/>
      <c r="AC204" s="646"/>
      <c r="AD204" s="643"/>
      <c r="AE204" s="631"/>
      <c r="AF204" s="647"/>
      <c r="AG204" s="645"/>
      <c r="AH204" s="646"/>
      <c r="AI204" s="643"/>
      <c r="AJ204" s="631"/>
      <c r="AK204" s="647"/>
      <c r="AL204" s="645"/>
      <c r="AM204" s="646"/>
      <c r="AN204" s="643"/>
      <c r="AO204" s="631"/>
      <c r="AP204" s="647"/>
      <c r="AQ204" s="645"/>
      <c r="AR204" s="646"/>
      <c r="AS204" s="643"/>
      <c r="AT204" s="631"/>
      <c r="AU204" s="647"/>
      <c r="AV204" s="645"/>
      <c r="AW204" s="646"/>
      <c r="AX204" s="631">
        <v>1</v>
      </c>
      <c r="AY204" s="647">
        <f>'Oficial 3'!D136</f>
        <v>3510.56</v>
      </c>
      <c r="AZ204" s="645">
        <f>AY204*AX204</f>
        <v>3510.56</v>
      </c>
      <c r="BA204" s="646">
        <f>AZ204*12</f>
        <v>42126.720000000001</v>
      </c>
      <c r="BH204" s="272"/>
    </row>
    <row r="205" spans="2:62" x14ac:dyDescent="0.25">
      <c r="B205" s="648"/>
      <c r="C205" s="649"/>
      <c r="D205" s="599"/>
      <c r="E205" s="650"/>
      <c r="F205" s="650"/>
      <c r="G205" s="650"/>
      <c r="H205" s="650"/>
      <c r="I205" s="650"/>
      <c r="J205" s="650"/>
      <c r="K205" s="650"/>
      <c r="L205" s="650"/>
      <c r="M205" s="651"/>
      <c r="N205" s="651"/>
      <c r="O205" s="652"/>
      <c r="P205" s="599"/>
      <c r="Q205" s="650"/>
      <c r="R205" s="653"/>
      <c r="S205" s="653"/>
      <c r="T205" s="652"/>
      <c r="U205" s="599"/>
      <c r="V205" s="650"/>
      <c r="W205" s="653"/>
      <c r="X205" s="653"/>
      <c r="Y205" s="652"/>
      <c r="Z205" s="599"/>
      <c r="AA205" s="650"/>
      <c r="AB205" s="654"/>
      <c r="AC205" s="655"/>
      <c r="AD205" s="652"/>
      <c r="AE205" s="599"/>
      <c r="AF205" s="656"/>
      <c r="AG205" s="654"/>
      <c r="AH205" s="655"/>
      <c r="AI205" s="652"/>
      <c r="AJ205" s="599"/>
      <c r="AK205" s="656"/>
      <c r="AL205" s="654"/>
      <c r="AM205" s="655"/>
      <c r="AN205" s="652"/>
      <c r="AO205" s="599"/>
      <c r="AP205" s="656"/>
      <c r="AQ205" s="654"/>
      <c r="AR205" s="655"/>
      <c r="AS205" s="652"/>
      <c r="AT205" s="599"/>
      <c r="AU205" s="656"/>
      <c r="AV205" s="654"/>
      <c r="AW205" s="655"/>
      <c r="AX205" s="599">
        <f>SUM(AX203:AX204)</f>
        <v>2</v>
      </c>
      <c r="AY205" s="656"/>
      <c r="AZ205" s="654">
        <f>SUM(AZ203:AZ204)</f>
        <v>5831.8600000000006</v>
      </c>
      <c r="BA205" s="654">
        <f>SUM(BA203:BA204)</f>
        <v>69982.320000000007</v>
      </c>
      <c r="BH205" s="272"/>
    </row>
    <row r="206" spans="2:62" x14ac:dyDescent="0.25">
      <c r="AF206" s="439"/>
      <c r="AK206" s="439"/>
      <c r="BH206" s="272">
        <f>BH198+BH200</f>
        <v>52005.120000000003</v>
      </c>
    </row>
    <row r="207" spans="2:62" x14ac:dyDescent="0.25">
      <c r="B207" s="633" t="s">
        <v>720</v>
      </c>
      <c r="C207" s="633" t="s">
        <v>504</v>
      </c>
      <c r="D207" s="633"/>
      <c r="E207" s="634"/>
      <c r="F207" s="634"/>
      <c r="G207" s="634"/>
      <c r="H207" s="634"/>
      <c r="I207" s="634"/>
      <c r="J207" s="634"/>
      <c r="K207" s="634"/>
      <c r="L207" s="634"/>
      <c r="M207" s="635"/>
      <c r="N207" s="635"/>
      <c r="O207" s="636"/>
      <c r="P207" s="633"/>
      <c r="Q207" s="634"/>
      <c r="R207" s="637"/>
      <c r="S207" s="637"/>
      <c r="T207" s="636"/>
      <c r="U207" s="633"/>
      <c r="V207" s="634"/>
      <c r="W207" s="637"/>
      <c r="X207" s="637"/>
      <c r="Y207" s="636"/>
      <c r="Z207" s="633"/>
      <c r="AA207" s="634"/>
      <c r="AB207" s="638"/>
      <c r="AC207" s="639"/>
      <c r="AD207" s="636"/>
      <c r="AE207" s="633"/>
      <c r="AF207" s="640"/>
      <c r="AG207" s="638"/>
      <c r="AH207" s="639"/>
      <c r="AI207" s="636"/>
      <c r="AJ207" s="633"/>
      <c r="AK207" s="640"/>
      <c r="AL207" s="638"/>
      <c r="AM207" s="639"/>
      <c r="AN207" s="636"/>
      <c r="AO207" s="633"/>
      <c r="AP207" s="640"/>
      <c r="AQ207" s="638"/>
      <c r="AR207" s="639"/>
      <c r="AS207" s="636"/>
      <c r="AT207" s="633"/>
      <c r="AU207" s="640"/>
      <c r="AV207" s="638"/>
      <c r="AW207" s="639"/>
      <c r="AX207" s="633"/>
      <c r="AY207" s="640"/>
      <c r="AZ207" s="638"/>
      <c r="BA207" s="639"/>
    </row>
    <row r="208" spans="2:62" x14ac:dyDescent="0.25">
      <c r="B208" s="281">
        <v>5</v>
      </c>
      <c r="C208" s="278" t="s">
        <v>292</v>
      </c>
      <c r="D208" s="631"/>
      <c r="E208" s="641"/>
      <c r="F208" s="641"/>
      <c r="G208" s="641"/>
      <c r="H208" s="641"/>
      <c r="I208" s="641"/>
      <c r="J208" s="641"/>
      <c r="K208" s="641"/>
      <c r="L208" s="641"/>
      <c r="M208" s="642"/>
      <c r="N208" s="642"/>
      <c r="O208" s="643"/>
      <c r="P208" s="631"/>
      <c r="Q208" s="641"/>
      <c r="R208" s="644"/>
      <c r="S208" s="644"/>
      <c r="T208" s="643"/>
      <c r="U208" s="631"/>
      <c r="V208" s="641"/>
      <c r="W208" s="644"/>
      <c r="X208" s="644"/>
      <c r="Y208" s="643"/>
      <c r="Z208" s="631"/>
      <c r="AA208" s="641"/>
      <c r="AB208" s="645"/>
      <c r="AC208" s="646"/>
      <c r="AD208" s="643"/>
      <c r="AE208" s="631"/>
      <c r="AF208" s="647"/>
      <c r="AG208" s="645"/>
      <c r="AH208" s="646"/>
      <c r="AI208" s="643"/>
      <c r="AJ208" s="631"/>
      <c r="AK208" s="647"/>
      <c r="AL208" s="645"/>
      <c r="AM208" s="646"/>
      <c r="AN208" s="643"/>
      <c r="AO208" s="631"/>
      <c r="AP208" s="647"/>
      <c r="AQ208" s="645"/>
      <c r="AR208" s="646"/>
      <c r="AS208" s="643"/>
      <c r="AT208" s="631"/>
      <c r="AU208" s="647"/>
      <c r="AV208" s="645"/>
      <c r="AW208" s="646"/>
      <c r="AX208" s="631">
        <v>1</v>
      </c>
      <c r="AY208" s="647">
        <f>'ASG 3'!D137</f>
        <v>2321.3000000000002</v>
      </c>
      <c r="AZ208" s="645">
        <f>AY208*AX208</f>
        <v>2321.3000000000002</v>
      </c>
      <c r="BA208" s="646">
        <f>AZ208*12</f>
        <v>27855.600000000002</v>
      </c>
      <c r="BJ208" s="272"/>
    </row>
    <row r="209" spans="2:60" x14ac:dyDescent="0.25">
      <c r="B209" s="648"/>
      <c r="C209" s="649"/>
      <c r="D209" s="599"/>
      <c r="E209" s="650"/>
      <c r="F209" s="650"/>
      <c r="G209" s="650"/>
      <c r="H209" s="650"/>
      <c r="I209" s="650"/>
      <c r="J209" s="650"/>
      <c r="K209" s="650"/>
      <c r="L209" s="650"/>
      <c r="M209" s="651"/>
      <c r="N209" s="651"/>
      <c r="O209" s="652"/>
      <c r="P209" s="599"/>
      <c r="Q209" s="650"/>
      <c r="R209" s="653"/>
      <c r="S209" s="653"/>
      <c r="T209" s="652"/>
      <c r="U209" s="599"/>
      <c r="V209" s="650"/>
      <c r="W209" s="653"/>
      <c r="X209" s="653"/>
      <c r="Y209" s="652"/>
      <c r="Z209" s="599"/>
      <c r="AA209" s="650"/>
      <c r="AB209" s="654"/>
      <c r="AC209" s="655"/>
      <c r="AD209" s="652"/>
      <c r="AE209" s="599"/>
      <c r="AF209" s="656"/>
      <c r="AG209" s="654"/>
      <c r="AH209" s="655"/>
      <c r="AI209" s="652"/>
      <c r="AJ209" s="599"/>
      <c r="AK209" s="656"/>
      <c r="AL209" s="654"/>
      <c r="AM209" s="655"/>
      <c r="AN209" s="652"/>
      <c r="AO209" s="599"/>
      <c r="AP209" s="656"/>
      <c r="AQ209" s="654"/>
      <c r="AR209" s="655"/>
      <c r="AS209" s="652"/>
      <c r="AT209" s="599"/>
      <c r="AU209" s="656"/>
      <c r="AV209" s="654"/>
      <c r="AW209" s="655"/>
      <c r="AX209" s="599">
        <f>SUM(AX207:AX208)</f>
        <v>1</v>
      </c>
      <c r="AY209" s="656"/>
      <c r="AZ209" s="654">
        <f>SUM(AZ207:AZ208)</f>
        <v>2321.3000000000002</v>
      </c>
      <c r="BA209" s="654">
        <f>SUM(BA207:BA208)</f>
        <v>27855.600000000002</v>
      </c>
    </row>
    <row r="210" spans="2:60" x14ac:dyDescent="0.25">
      <c r="B210" s="816"/>
      <c r="C210" s="817"/>
      <c r="D210" s="818"/>
      <c r="E210" s="819"/>
      <c r="F210" s="819"/>
      <c r="G210" s="819"/>
      <c r="H210" s="819"/>
      <c r="I210" s="819"/>
      <c r="J210" s="819"/>
      <c r="K210" s="820"/>
      <c r="L210" s="820"/>
      <c r="M210" s="821"/>
      <c r="N210" s="821"/>
      <c r="O210" s="822"/>
      <c r="P210" s="818"/>
      <c r="Q210" s="820"/>
      <c r="R210" s="823"/>
      <c r="S210" s="823"/>
      <c r="T210" s="822"/>
      <c r="U210" s="818"/>
      <c r="V210" s="820"/>
      <c r="W210" s="823"/>
      <c r="X210" s="823"/>
      <c r="Y210" s="822"/>
      <c r="Z210" s="818"/>
      <c r="AA210" s="824"/>
      <c r="AB210" s="825"/>
      <c r="AC210" s="826"/>
      <c r="AD210" s="822"/>
      <c r="AE210" s="818"/>
      <c r="AF210" s="827"/>
      <c r="AG210" s="825"/>
      <c r="AH210" s="826"/>
      <c r="AI210" s="822"/>
      <c r="AJ210" s="818"/>
      <c r="AK210" s="827"/>
      <c r="AL210" s="825"/>
      <c r="AM210" s="826"/>
      <c r="AN210" s="822"/>
      <c r="AO210" s="818"/>
      <c r="AP210" s="828"/>
      <c r="AQ210" s="829"/>
      <c r="AR210" s="830"/>
      <c r="AS210" s="822"/>
      <c r="AT210" s="818"/>
      <c r="AU210" s="828"/>
      <c r="AV210" s="829"/>
      <c r="AW210" s="830"/>
      <c r="AX210" s="818"/>
      <c r="AY210" s="828"/>
      <c r="AZ210" s="829"/>
      <c r="BA210" s="829"/>
    </row>
    <row r="211" spans="2:60" x14ac:dyDescent="0.25">
      <c r="B211" s="665" t="s">
        <v>722</v>
      </c>
      <c r="C211" s="282" t="s">
        <v>504</v>
      </c>
      <c r="E211" s="717" t="s">
        <v>566</v>
      </c>
      <c r="F211" s="717"/>
      <c r="G211" s="717"/>
      <c r="H211" s="717" t="s">
        <v>569</v>
      </c>
      <c r="I211" s="717"/>
      <c r="J211" s="717"/>
      <c r="S211" s="720"/>
      <c r="T211" s="720"/>
      <c r="U211" s="720"/>
      <c r="V211" s="720"/>
      <c r="W211" s="720"/>
      <c r="X211" s="720"/>
      <c r="AA211" s="715" t="s">
        <v>570</v>
      </c>
      <c r="AB211" s="715"/>
      <c r="AC211" s="715"/>
      <c r="AF211" s="715" t="s">
        <v>627</v>
      </c>
      <c r="AG211" s="715"/>
      <c r="AH211" s="715"/>
      <c r="AK211" s="715" t="s">
        <v>657</v>
      </c>
      <c r="AL211" s="715"/>
      <c r="AM211" s="715"/>
    </row>
    <row r="212" spans="2:60" ht="47.25" x14ac:dyDescent="0.25">
      <c r="B212" s="256" t="s">
        <v>159</v>
      </c>
      <c r="C212" s="257" t="s">
        <v>160</v>
      </c>
      <c r="D212" s="257" t="s">
        <v>161</v>
      </c>
      <c r="E212" s="257" t="s">
        <v>168</v>
      </c>
      <c r="F212" s="257" t="s">
        <v>167</v>
      </c>
      <c r="G212" s="257" t="s">
        <v>162</v>
      </c>
      <c r="H212" s="257" t="s">
        <v>168</v>
      </c>
      <c r="I212" s="257" t="s">
        <v>167</v>
      </c>
      <c r="J212" s="257" t="s">
        <v>162</v>
      </c>
      <c r="K212" s="257" t="s">
        <v>515</v>
      </c>
      <c r="L212" s="257" t="s">
        <v>520</v>
      </c>
      <c r="M212" s="257" t="s">
        <v>518</v>
      </c>
      <c r="N212" s="257" t="s">
        <v>548</v>
      </c>
      <c r="P212" s="257" t="s">
        <v>161</v>
      </c>
      <c r="Q212" s="257" t="s">
        <v>168</v>
      </c>
      <c r="R212" s="257" t="s">
        <v>167</v>
      </c>
      <c r="S212" s="257" t="s">
        <v>162</v>
      </c>
      <c r="U212" s="257" t="s">
        <v>161</v>
      </c>
      <c r="V212" s="257" t="s">
        <v>168</v>
      </c>
      <c r="W212" s="257" t="s">
        <v>167</v>
      </c>
      <c r="X212" s="257" t="s">
        <v>162</v>
      </c>
      <c r="Z212" s="257" t="s">
        <v>571</v>
      </c>
      <c r="AA212" s="257" t="s">
        <v>168</v>
      </c>
      <c r="AB212" s="257" t="s">
        <v>167</v>
      </c>
      <c r="AC212" s="257" t="s">
        <v>162</v>
      </c>
      <c r="AE212" s="257" t="s">
        <v>628</v>
      </c>
      <c r="AF212" s="440" t="s">
        <v>168</v>
      </c>
      <c r="AG212" s="257" t="s">
        <v>167</v>
      </c>
      <c r="AH212" s="257" t="s">
        <v>162</v>
      </c>
      <c r="AJ212" s="257" t="s">
        <v>628</v>
      </c>
      <c r="AK212" s="440" t="s">
        <v>168</v>
      </c>
      <c r="AL212" s="257" t="s">
        <v>167</v>
      </c>
      <c r="AM212" s="257" t="s">
        <v>162</v>
      </c>
      <c r="AO212" s="257" t="s">
        <v>628</v>
      </c>
      <c r="AP212" s="440" t="s">
        <v>168</v>
      </c>
      <c r="AQ212" s="257" t="s">
        <v>167</v>
      </c>
      <c r="AR212" s="257" t="s">
        <v>162</v>
      </c>
      <c r="AT212" s="257" t="s">
        <v>628</v>
      </c>
      <c r="AU212" s="440" t="s">
        <v>168</v>
      </c>
      <c r="AV212" s="257" t="s">
        <v>167</v>
      </c>
      <c r="AW212" s="257" t="s">
        <v>162</v>
      </c>
      <c r="AX212" s="257" t="s">
        <v>628</v>
      </c>
      <c r="AY212" s="440" t="s">
        <v>168</v>
      </c>
      <c r="AZ212" s="257" t="s">
        <v>167</v>
      </c>
      <c r="BA212" s="257" t="s">
        <v>162</v>
      </c>
    </row>
    <row r="213" spans="2:60" x14ac:dyDescent="0.25">
      <c r="B213" s="281">
        <v>2</v>
      </c>
      <c r="C213" s="278" t="s">
        <v>2</v>
      </c>
      <c r="D213" s="279">
        <v>0</v>
      </c>
      <c r="E213" s="280">
        <v>0</v>
      </c>
      <c r="F213" s="280">
        <v>0</v>
      </c>
      <c r="G213" s="280">
        <v>0</v>
      </c>
      <c r="H213" s="280">
        <v>0</v>
      </c>
      <c r="I213" s="280">
        <f>H213*D213</f>
        <v>0</v>
      </c>
      <c r="J213" s="280">
        <f>I213*12</f>
        <v>0</v>
      </c>
      <c r="L213" s="264"/>
      <c r="M213" s="274"/>
      <c r="P213" s="279"/>
      <c r="Q213" s="298"/>
      <c r="R213" s="280"/>
      <c r="S213" s="280"/>
      <c r="U213" s="279"/>
      <c r="V213" s="298"/>
      <c r="W213" s="280"/>
      <c r="X213" s="280"/>
      <c r="Z213" s="408">
        <v>0</v>
      </c>
      <c r="AA213" s="409"/>
      <c r="AB213" s="403">
        <v>0</v>
      </c>
      <c r="AC213" s="409">
        <v>0</v>
      </c>
      <c r="AD213" s="267" t="s">
        <v>583</v>
      </c>
      <c r="AE213" s="408">
        <v>0</v>
      </c>
      <c r="AF213" s="451"/>
      <c r="AG213" s="403">
        <f>AF213*AE213</f>
        <v>0</v>
      </c>
      <c r="AH213" s="409">
        <f>AG213*12</f>
        <v>0</v>
      </c>
      <c r="AI213" s="267" t="s">
        <v>583</v>
      </c>
      <c r="AJ213" s="405">
        <v>0</v>
      </c>
      <c r="AK213" s="454"/>
      <c r="AL213" s="310"/>
      <c r="AM213" s="325"/>
      <c r="AN213" s="250"/>
      <c r="AO213" s="405">
        <v>0</v>
      </c>
      <c r="AP213" s="454">
        <v>0</v>
      </c>
      <c r="AQ213" s="310">
        <v>0</v>
      </c>
      <c r="AR213" s="325">
        <v>0</v>
      </c>
      <c r="AS213" s="250"/>
      <c r="AT213" s="405">
        <v>1</v>
      </c>
      <c r="AU213" s="454">
        <f>'Recepção 2'!D151</f>
        <v>0</v>
      </c>
      <c r="AV213" s="310">
        <f>AU213*AT213</f>
        <v>0</v>
      </c>
      <c r="AW213" s="325">
        <f>AV213*12</f>
        <v>0</v>
      </c>
      <c r="AX213" s="405">
        <v>1</v>
      </c>
      <c r="AY213" s="454">
        <f>'Recepção 3'!$D$137</f>
        <v>2652.06</v>
      </c>
      <c r="AZ213" s="664">
        <f>AY184</f>
        <v>2652.06</v>
      </c>
      <c r="BA213" s="325">
        <f>AZ213*12</f>
        <v>31824.720000000001</v>
      </c>
      <c r="BH213" s="272">
        <f>8*AU78</f>
        <v>26640.720000000001</v>
      </c>
    </row>
    <row r="214" spans="2:60" x14ac:dyDescent="0.25">
      <c r="B214" s="716"/>
      <c r="C214" s="716"/>
      <c r="D214" s="662" t="e">
        <f>SUM(#REF!)</f>
        <v>#REF!</v>
      </c>
      <c r="E214" s="269"/>
      <c r="F214" s="269" t="e">
        <f>SUM(#REF!)</f>
        <v>#REF!</v>
      </c>
      <c r="G214" s="269"/>
      <c r="H214" s="269"/>
      <c r="I214" s="269" t="e">
        <f>SUM(#REF!)</f>
        <v>#REF!</v>
      </c>
      <c r="J214" s="269" t="e">
        <f>SUM(#REF!)</f>
        <v>#REF!</v>
      </c>
      <c r="K214" s="269" t="e">
        <f>SUM(#REF!)</f>
        <v>#REF!</v>
      </c>
      <c r="L214" s="269" t="e">
        <f>SUM(#REF!)</f>
        <v>#REF!</v>
      </c>
      <c r="M214" s="305"/>
      <c r="N214" s="305"/>
      <c r="P214" s="662" t="e">
        <f>SUM(#REF!)</f>
        <v>#REF!</v>
      </c>
      <c r="Q214" s="269"/>
      <c r="R214" s="303" t="e">
        <f>SUM(#REF!)</f>
        <v>#REF!</v>
      </c>
      <c r="S214" s="303" t="e">
        <f>SUM(#REF!)</f>
        <v>#REF!</v>
      </c>
      <c r="U214" s="662" t="e">
        <f>SUM(#REF!)</f>
        <v>#REF!</v>
      </c>
      <c r="V214" s="269"/>
      <c r="W214" s="303" t="e">
        <f>SUM(#REF!)</f>
        <v>#REF!</v>
      </c>
      <c r="X214" s="303" t="e">
        <f>SUM(#REF!)</f>
        <v>#REF!</v>
      </c>
      <c r="Z214" s="662">
        <v>0</v>
      </c>
      <c r="AA214" s="269"/>
      <c r="AB214" s="270">
        <v>0</v>
      </c>
      <c r="AC214" s="271">
        <v>0</v>
      </c>
      <c r="AE214" s="662">
        <f>SUM(AE213:AE213)</f>
        <v>0</v>
      </c>
      <c r="AF214" s="443"/>
      <c r="AG214" s="270">
        <f>SUM(AG213:AG213)</f>
        <v>0</v>
      </c>
      <c r="AH214" s="271">
        <f>SUM(AH213:AH213)</f>
        <v>0</v>
      </c>
      <c r="AJ214" s="662">
        <v>4</v>
      </c>
      <c r="AK214" s="443"/>
      <c r="AL214" s="270"/>
      <c r="AM214" s="271"/>
      <c r="AO214" s="662"/>
      <c r="AP214" s="443"/>
      <c r="AQ214" s="270"/>
      <c r="AR214" s="271"/>
      <c r="AT214" s="662">
        <f>SUM(AT213:AT213)</f>
        <v>1</v>
      </c>
      <c r="AU214" s="443"/>
      <c r="AV214" s="270">
        <f>SUM(AV213:AV213)</f>
        <v>0</v>
      </c>
      <c r="AW214" s="271">
        <f>SUM(AW213:AW213)</f>
        <v>0</v>
      </c>
      <c r="AX214" s="662">
        <f>SUM(AX213:AX213)</f>
        <v>1</v>
      </c>
      <c r="AY214" s="443"/>
      <c r="AZ214" s="270">
        <f>SUM(AZ213:AZ213)</f>
        <v>2652.06</v>
      </c>
      <c r="BA214" s="271">
        <f>SUM(BA213:BA213)</f>
        <v>31824.720000000001</v>
      </c>
      <c r="BC214" s="380" t="e">
        <f>#REF!+BA214+BA209+BA204+BA194+BA186+BA175+BA167+BA156+BA147+BA139+BA129+BA121+BA113+BA103+BA95+BA35</f>
        <v>#REF!</v>
      </c>
      <c r="BH214" s="272">
        <f>8*AU79</f>
        <v>28084.48</v>
      </c>
    </row>
    <row r="215" spans="2:60" x14ac:dyDescent="0.25">
      <c r="B215" s="306"/>
      <c r="C215" s="306"/>
      <c r="G215" s="305">
        <f>I208-F208</f>
        <v>0</v>
      </c>
      <c r="J215" s="305">
        <f>J180+J172+J161+J153+J142+J133+J125+J115+J107+J99+J89+J81+J21</f>
        <v>4402324.6800000006</v>
      </c>
      <c r="AC215" s="305">
        <f>AC180+AC172+AC161+AC153+AC142+AC133+AC125+AC115+AC107+AC99+AC89+AC81+AC21</f>
        <v>3359208.36</v>
      </c>
      <c r="AN215" s="246">
        <f>3684478.56-3687726.24</f>
        <v>-3247.6800000001676</v>
      </c>
      <c r="AR215" s="305"/>
      <c r="AW215" s="305"/>
      <c r="BA215" s="305"/>
      <c r="BH215" s="272">
        <f>AU176-AU177*7</f>
        <v>3330.09</v>
      </c>
    </row>
    <row r="216" spans="2:60" x14ac:dyDescent="0.25">
      <c r="B216" s="304" t="s">
        <v>727</v>
      </c>
      <c r="C216" s="282" t="s">
        <v>503</v>
      </c>
      <c r="E216" s="717" t="s">
        <v>566</v>
      </c>
      <c r="F216" s="717"/>
      <c r="G216" s="717"/>
      <c r="H216" s="717" t="s">
        <v>569</v>
      </c>
      <c r="I216" s="717"/>
      <c r="J216" s="717"/>
      <c r="AA216" s="715" t="s">
        <v>570</v>
      </c>
      <c r="AB216" s="715"/>
      <c r="AC216" s="715"/>
      <c r="AF216" s="715" t="s">
        <v>627</v>
      </c>
      <c r="AG216" s="715"/>
      <c r="AH216" s="715"/>
      <c r="AK216" s="715" t="s">
        <v>657</v>
      </c>
      <c r="AL216" s="715"/>
      <c r="AM216" s="715"/>
    </row>
    <row r="217" spans="2:60" ht="47.25" x14ac:dyDescent="0.25">
      <c r="B217" s="256" t="s">
        <v>159</v>
      </c>
      <c r="C217" s="257" t="s">
        <v>160</v>
      </c>
      <c r="D217" s="257" t="s">
        <v>161</v>
      </c>
      <c r="E217" s="257" t="s">
        <v>168</v>
      </c>
      <c r="F217" s="257" t="s">
        <v>167</v>
      </c>
      <c r="G217" s="257" t="s">
        <v>162</v>
      </c>
      <c r="H217" s="257" t="s">
        <v>168</v>
      </c>
      <c r="I217" s="257" t="s">
        <v>167</v>
      </c>
      <c r="J217" s="257" t="s">
        <v>162</v>
      </c>
      <c r="K217" s="257" t="s">
        <v>515</v>
      </c>
      <c r="L217" s="257" t="s">
        <v>520</v>
      </c>
      <c r="M217" s="257" t="s">
        <v>518</v>
      </c>
      <c r="N217" s="257" t="s">
        <v>548</v>
      </c>
      <c r="P217" s="257" t="s">
        <v>161</v>
      </c>
      <c r="Q217" s="257" t="s">
        <v>168</v>
      </c>
      <c r="R217" s="257" t="s">
        <v>167</v>
      </c>
      <c r="S217" s="257" t="s">
        <v>162</v>
      </c>
      <c r="U217" s="257" t="s">
        <v>161</v>
      </c>
      <c r="V217" s="257" t="s">
        <v>168</v>
      </c>
      <c r="W217" s="257" t="s">
        <v>167</v>
      </c>
      <c r="X217" s="257" t="s">
        <v>162</v>
      </c>
      <c r="Z217" s="257" t="s">
        <v>571</v>
      </c>
      <c r="AA217" s="257" t="s">
        <v>168</v>
      </c>
      <c r="AB217" s="257" t="s">
        <v>167</v>
      </c>
      <c r="AC217" s="257" t="s">
        <v>162</v>
      </c>
      <c r="AE217" s="257" t="s">
        <v>628</v>
      </c>
      <c r="AF217" s="440" t="s">
        <v>168</v>
      </c>
      <c r="AG217" s="257" t="s">
        <v>167</v>
      </c>
      <c r="AH217" s="257" t="s">
        <v>162</v>
      </c>
      <c r="AJ217" s="257" t="s">
        <v>628</v>
      </c>
      <c r="AK217" s="440" t="s">
        <v>168</v>
      </c>
      <c r="AL217" s="257" t="s">
        <v>167</v>
      </c>
      <c r="AM217" s="257" t="s">
        <v>162</v>
      </c>
      <c r="AO217" s="257" t="s">
        <v>628</v>
      </c>
      <c r="AP217" s="440" t="s">
        <v>168</v>
      </c>
      <c r="AQ217" s="257" t="s">
        <v>167</v>
      </c>
      <c r="AR217" s="257" t="s">
        <v>162</v>
      </c>
      <c r="AT217" s="257" t="s">
        <v>628</v>
      </c>
      <c r="AU217" s="440" t="s">
        <v>168</v>
      </c>
      <c r="AV217" s="257" t="s">
        <v>167</v>
      </c>
      <c r="AW217" s="257" t="s">
        <v>162</v>
      </c>
      <c r="AX217" s="257" t="s">
        <v>628</v>
      </c>
      <c r="AY217" s="440" t="s">
        <v>168</v>
      </c>
      <c r="AZ217" s="257" t="s">
        <v>167</v>
      </c>
      <c r="BA217" s="257" t="s">
        <v>162</v>
      </c>
    </row>
    <row r="218" spans="2:60" x14ac:dyDescent="0.25">
      <c r="B218" s="258">
        <v>8</v>
      </c>
      <c r="C218" s="259" t="s">
        <v>293</v>
      </c>
      <c r="D218" s="314">
        <v>1</v>
      </c>
      <c r="E218" s="261">
        <v>2948.04</v>
      </c>
      <c r="F218" s="262">
        <v>8844.119999999999</v>
      </c>
      <c r="G218" s="262">
        <v>106129.43999999999</v>
      </c>
      <c r="H218" s="261">
        <f>'Oficial 2'!$D$136</f>
        <v>3471.01</v>
      </c>
      <c r="I218" s="262">
        <f>D218*H218</f>
        <v>3471.01</v>
      </c>
      <c r="J218" s="262">
        <f>I218*12</f>
        <v>41652.120000000003</v>
      </c>
      <c r="K218" s="266" t="s">
        <v>519</v>
      </c>
      <c r="L218" s="264">
        <f>I218*2</f>
        <v>6942.02</v>
      </c>
      <c r="M218" s="274" t="s">
        <v>563</v>
      </c>
      <c r="N218" s="246" t="s">
        <v>558</v>
      </c>
      <c r="Z218" s="260">
        <v>1</v>
      </c>
      <c r="AA218" s="261">
        <v>3194.68</v>
      </c>
      <c r="AB218" s="262">
        <f>AA218*Z218</f>
        <v>3194.68</v>
      </c>
      <c r="AC218" s="262">
        <f>AB218*12</f>
        <v>38336.159999999996</v>
      </c>
      <c r="AE218" s="260">
        <v>1</v>
      </c>
      <c r="AF218" s="441">
        <v>3194.68</v>
      </c>
      <c r="AG218" s="262">
        <f>AF218*AE218</f>
        <v>3194.68</v>
      </c>
      <c r="AH218" s="262">
        <f>AG218*12</f>
        <v>38336.159999999996</v>
      </c>
      <c r="AJ218" s="260">
        <v>1</v>
      </c>
      <c r="AK218" s="441">
        <v>2953.93</v>
      </c>
      <c r="AL218" s="262">
        <v>2953.93</v>
      </c>
      <c r="AM218" s="262">
        <v>35447.159999999996</v>
      </c>
      <c r="AN218" s="267" t="s">
        <v>668</v>
      </c>
      <c r="AO218" s="496">
        <v>1</v>
      </c>
      <c r="AP218" s="458">
        <v>2953.93</v>
      </c>
      <c r="AQ218" s="456">
        <v>2953.93</v>
      </c>
      <c r="AR218" s="456">
        <v>35447.159999999996</v>
      </c>
      <c r="AS218" s="267" t="s">
        <v>699</v>
      </c>
      <c r="AT218" s="260">
        <v>1</v>
      </c>
      <c r="AU218" s="446">
        <f>'Oficial 2'!$D$136</f>
        <v>3471.01</v>
      </c>
      <c r="AV218" s="310">
        <f>AU218*AT218</f>
        <v>3471.01</v>
      </c>
      <c r="AW218" s="310">
        <f>AV218*12</f>
        <v>41652.120000000003</v>
      </c>
      <c r="AX218" s="260">
        <v>1</v>
      </c>
      <c r="AY218" s="446">
        <f>'Oficial 2'!$D$136</f>
        <v>3471.01</v>
      </c>
      <c r="AZ218" s="310">
        <f>AY218*AX218</f>
        <v>3471.01</v>
      </c>
      <c r="BA218" s="310">
        <f>AZ218*12</f>
        <v>41652.120000000003</v>
      </c>
    </row>
    <row r="219" spans="2:60" x14ac:dyDescent="0.25">
      <c r="B219" s="716"/>
      <c r="C219" s="716"/>
      <c r="D219" s="663" t="e">
        <f>SUM(#REF!)</f>
        <v>#REF!</v>
      </c>
      <c r="E219" s="269"/>
      <c r="F219" s="269" t="e">
        <f>SUM(#REF!)</f>
        <v>#REF!</v>
      </c>
      <c r="G219" s="269"/>
      <c r="H219" s="269"/>
      <c r="I219" s="269" t="e">
        <f>SUM(#REF!)</f>
        <v>#REF!</v>
      </c>
      <c r="J219" s="269" t="e">
        <f>SUM(#REF!)</f>
        <v>#REF!</v>
      </c>
      <c r="K219" s="269" t="e">
        <f>SUM(#REF!)</f>
        <v>#REF!</v>
      </c>
      <c r="L219" s="269" t="e">
        <f>SUM(#REF!)</f>
        <v>#REF!</v>
      </c>
      <c r="M219" s="305"/>
      <c r="N219" s="305"/>
      <c r="P219" s="663" t="e">
        <f>SUM(#REF!)</f>
        <v>#REF!</v>
      </c>
      <c r="Q219" s="269"/>
      <c r="R219" s="303" t="e">
        <f>SUM(#REF!)</f>
        <v>#REF!</v>
      </c>
      <c r="S219" s="303" t="e">
        <f>SUM(#REF!)</f>
        <v>#REF!</v>
      </c>
      <c r="U219" s="663" t="e">
        <f>SUM(#REF!)</f>
        <v>#REF!</v>
      </c>
      <c r="V219" s="269"/>
      <c r="W219" s="303" t="e">
        <f>SUM(#REF!)</f>
        <v>#REF!</v>
      </c>
      <c r="X219" s="303" t="e">
        <f>SUM(#REF!)</f>
        <v>#REF!</v>
      </c>
      <c r="Z219" s="663">
        <v>0</v>
      </c>
      <c r="AA219" s="269"/>
      <c r="AB219" s="270">
        <v>0</v>
      </c>
      <c r="AC219" s="271">
        <v>0</v>
      </c>
      <c r="AE219" s="663" t="e">
        <f>SUM(#REF!)</f>
        <v>#REF!</v>
      </c>
      <c r="AF219" s="443"/>
      <c r="AG219" s="270" t="e">
        <f>SUM(#REF!)</f>
        <v>#REF!</v>
      </c>
      <c r="AH219" s="271" t="e">
        <f>SUM(#REF!)</f>
        <v>#REF!</v>
      </c>
      <c r="AJ219" s="663">
        <v>4</v>
      </c>
      <c r="AK219" s="443"/>
      <c r="AL219" s="270"/>
      <c r="AM219" s="271"/>
      <c r="AO219" s="663"/>
      <c r="AP219" s="443"/>
      <c r="AQ219" s="270"/>
      <c r="AR219" s="271"/>
      <c r="AT219" s="663" t="e">
        <f>SUM(#REF!)</f>
        <v>#REF!</v>
      </c>
      <c r="AU219" s="443"/>
      <c r="AV219" s="270" t="e">
        <f>SUM(#REF!)</f>
        <v>#REF!</v>
      </c>
      <c r="AW219" s="271" t="e">
        <f>SUM(#REF!)</f>
        <v>#REF!</v>
      </c>
      <c r="AX219" s="663">
        <f>AX218</f>
        <v>1</v>
      </c>
      <c r="AY219" s="443">
        <f>AY218</f>
        <v>3471.01</v>
      </c>
      <c r="AZ219" s="270">
        <f>AZ218</f>
        <v>3471.01</v>
      </c>
      <c r="BA219" s="270">
        <f>BA218</f>
        <v>41652.120000000003</v>
      </c>
    </row>
    <row r="221" spans="2:60" x14ac:dyDescent="0.25">
      <c r="B221" s="665" t="s">
        <v>723</v>
      </c>
      <c r="C221" s="282" t="s">
        <v>504</v>
      </c>
      <c r="E221" s="717" t="s">
        <v>566</v>
      </c>
      <c r="F221" s="717"/>
      <c r="G221" s="717"/>
      <c r="H221" s="717" t="s">
        <v>569</v>
      </c>
      <c r="I221" s="717"/>
      <c r="J221" s="717"/>
      <c r="S221" s="720"/>
      <c r="T221" s="720"/>
      <c r="U221" s="720"/>
      <c r="V221" s="720"/>
      <c r="W221" s="720"/>
      <c r="X221" s="720"/>
      <c r="AA221" s="715" t="s">
        <v>570</v>
      </c>
      <c r="AB221" s="715"/>
      <c r="AC221" s="715"/>
      <c r="AF221" s="715" t="s">
        <v>627</v>
      </c>
      <c r="AG221" s="715"/>
      <c r="AH221" s="715"/>
      <c r="AK221" s="715" t="s">
        <v>657</v>
      </c>
      <c r="AL221" s="715"/>
      <c r="AM221" s="715"/>
    </row>
    <row r="222" spans="2:60" ht="47.25" x14ac:dyDescent="0.25">
      <c r="B222" s="256" t="s">
        <v>159</v>
      </c>
      <c r="C222" s="257" t="s">
        <v>160</v>
      </c>
      <c r="D222" s="257" t="s">
        <v>161</v>
      </c>
      <c r="E222" s="257" t="s">
        <v>168</v>
      </c>
      <c r="F222" s="257" t="s">
        <v>167</v>
      </c>
      <c r="G222" s="257" t="s">
        <v>162</v>
      </c>
      <c r="H222" s="257" t="s">
        <v>168</v>
      </c>
      <c r="I222" s="257" t="s">
        <v>167</v>
      </c>
      <c r="J222" s="257" t="s">
        <v>162</v>
      </c>
      <c r="K222" s="257" t="s">
        <v>515</v>
      </c>
      <c r="L222" s="257" t="s">
        <v>520</v>
      </c>
      <c r="M222" s="257" t="s">
        <v>518</v>
      </c>
      <c r="N222" s="257" t="s">
        <v>548</v>
      </c>
      <c r="P222" s="257" t="s">
        <v>161</v>
      </c>
      <c r="Q222" s="257" t="s">
        <v>168</v>
      </c>
      <c r="R222" s="257" t="s">
        <v>167</v>
      </c>
      <c r="S222" s="257" t="s">
        <v>162</v>
      </c>
      <c r="U222" s="257" t="s">
        <v>161</v>
      </c>
      <c r="V222" s="257" t="s">
        <v>168</v>
      </c>
      <c r="W222" s="257" t="s">
        <v>167</v>
      </c>
      <c r="X222" s="257" t="s">
        <v>162</v>
      </c>
      <c r="Z222" s="257" t="s">
        <v>571</v>
      </c>
      <c r="AA222" s="257" t="s">
        <v>168</v>
      </c>
      <c r="AB222" s="257" t="s">
        <v>167</v>
      </c>
      <c r="AC222" s="257" t="s">
        <v>162</v>
      </c>
      <c r="AE222" s="257" t="s">
        <v>628</v>
      </c>
      <c r="AF222" s="440" t="s">
        <v>168</v>
      </c>
      <c r="AG222" s="257" t="s">
        <v>167</v>
      </c>
      <c r="AH222" s="257" t="s">
        <v>162</v>
      </c>
      <c r="AJ222" s="257" t="s">
        <v>628</v>
      </c>
      <c r="AK222" s="440" t="s">
        <v>168</v>
      </c>
      <c r="AL222" s="257" t="s">
        <v>167</v>
      </c>
      <c r="AM222" s="257" t="s">
        <v>162</v>
      </c>
      <c r="AO222" s="257" t="s">
        <v>628</v>
      </c>
      <c r="AP222" s="440" t="s">
        <v>168</v>
      </c>
      <c r="AQ222" s="257" t="s">
        <v>167</v>
      </c>
      <c r="AR222" s="257" t="s">
        <v>162</v>
      </c>
      <c r="AT222" s="257" t="s">
        <v>628</v>
      </c>
      <c r="AU222" s="440" t="s">
        <v>168</v>
      </c>
      <c r="AV222" s="257" t="s">
        <v>167</v>
      </c>
      <c r="AW222" s="257" t="s">
        <v>162</v>
      </c>
      <c r="AX222" s="257" t="s">
        <v>628</v>
      </c>
      <c r="AY222" s="440" t="s">
        <v>168</v>
      </c>
      <c r="AZ222" s="257" t="s">
        <v>167</v>
      </c>
      <c r="BA222" s="257" t="s">
        <v>162</v>
      </c>
    </row>
    <row r="223" spans="2:60" x14ac:dyDescent="0.25">
      <c r="B223" s="281">
        <v>2</v>
      </c>
      <c r="C223" s="278" t="s">
        <v>2</v>
      </c>
      <c r="D223" s="279">
        <v>0</v>
      </c>
      <c r="E223" s="280">
        <v>0</v>
      </c>
      <c r="F223" s="280">
        <v>0</v>
      </c>
      <c r="G223" s="280">
        <v>0</v>
      </c>
      <c r="H223" s="280">
        <v>0</v>
      </c>
      <c r="I223" s="280">
        <f>H223*D223</f>
        <v>0</v>
      </c>
      <c r="J223" s="280">
        <f>I223*12</f>
        <v>0</v>
      </c>
      <c r="L223" s="264"/>
      <c r="M223" s="274"/>
      <c r="P223" s="279"/>
      <c r="Q223" s="298"/>
      <c r="R223" s="280"/>
      <c r="S223" s="280"/>
      <c r="U223" s="279"/>
      <c r="V223" s="298"/>
      <c r="W223" s="280"/>
      <c r="X223" s="280"/>
      <c r="Z223" s="408">
        <v>0</v>
      </c>
      <c r="AA223" s="409"/>
      <c r="AB223" s="403">
        <v>0</v>
      </c>
      <c r="AC223" s="409">
        <v>0</v>
      </c>
      <c r="AD223" s="267" t="s">
        <v>583</v>
      </c>
      <c r="AE223" s="408">
        <v>0</v>
      </c>
      <c r="AF223" s="451"/>
      <c r="AG223" s="403">
        <f>AF223*AE223</f>
        <v>0</v>
      </c>
      <c r="AH223" s="409">
        <f>AG223*12</f>
        <v>0</v>
      </c>
      <c r="AI223" s="267" t="s">
        <v>583</v>
      </c>
      <c r="AJ223" s="405">
        <v>0</v>
      </c>
      <c r="AK223" s="454"/>
      <c r="AL223" s="310"/>
      <c r="AM223" s="325"/>
      <c r="AN223" s="250"/>
      <c r="AO223" s="405">
        <v>0</v>
      </c>
      <c r="AP223" s="454">
        <v>0</v>
      </c>
      <c r="AQ223" s="310">
        <v>0</v>
      </c>
      <c r="AR223" s="325">
        <v>0</v>
      </c>
      <c r="AS223" s="250"/>
      <c r="AT223" s="405">
        <v>1</v>
      </c>
      <c r="AU223" s="454">
        <f>'Recepção 2'!D161</f>
        <v>0</v>
      </c>
      <c r="AV223" s="310">
        <f>AU223*AT223</f>
        <v>0</v>
      </c>
      <c r="AW223" s="325">
        <f>AV223*12</f>
        <v>0</v>
      </c>
      <c r="AX223" s="405">
        <v>1</v>
      </c>
      <c r="AY223" s="454">
        <f>'Recepção 3'!$D$137</f>
        <v>2652.06</v>
      </c>
      <c r="AZ223" s="664">
        <f>AY223</f>
        <v>2652.06</v>
      </c>
      <c r="BA223" s="325">
        <f>AZ223*12</f>
        <v>31824.720000000001</v>
      </c>
    </row>
    <row r="224" spans="2:60" x14ac:dyDescent="0.25">
      <c r="B224" s="716"/>
      <c r="C224" s="716"/>
      <c r="D224" s="663" t="e">
        <f>SUM(#REF!)</f>
        <v>#REF!</v>
      </c>
      <c r="E224" s="269"/>
      <c r="F224" s="269" t="e">
        <f>SUM(#REF!)</f>
        <v>#REF!</v>
      </c>
      <c r="G224" s="269"/>
      <c r="H224" s="269"/>
      <c r="I224" s="269" t="e">
        <f>SUM(#REF!)</f>
        <v>#REF!</v>
      </c>
      <c r="J224" s="269" t="e">
        <f>SUM(#REF!)</f>
        <v>#REF!</v>
      </c>
      <c r="K224" s="269" t="e">
        <f>SUM(#REF!)</f>
        <v>#REF!</v>
      </c>
      <c r="L224" s="269" t="e">
        <f>SUM(#REF!)</f>
        <v>#REF!</v>
      </c>
      <c r="M224" s="305"/>
      <c r="N224" s="305"/>
      <c r="P224" s="663" t="e">
        <f>SUM(#REF!)</f>
        <v>#REF!</v>
      </c>
      <c r="Q224" s="269"/>
      <c r="R224" s="303" t="e">
        <f>SUM(#REF!)</f>
        <v>#REF!</v>
      </c>
      <c r="S224" s="303" t="e">
        <f>SUM(#REF!)</f>
        <v>#REF!</v>
      </c>
      <c r="U224" s="663" t="e">
        <f>SUM(#REF!)</f>
        <v>#REF!</v>
      </c>
      <c r="V224" s="269"/>
      <c r="W224" s="303" t="e">
        <f>SUM(#REF!)</f>
        <v>#REF!</v>
      </c>
      <c r="X224" s="303" t="e">
        <f>SUM(#REF!)</f>
        <v>#REF!</v>
      </c>
      <c r="Z224" s="663">
        <v>0</v>
      </c>
      <c r="AA224" s="269"/>
      <c r="AB224" s="270">
        <v>0</v>
      </c>
      <c r="AC224" s="271">
        <v>0</v>
      </c>
      <c r="AE224" s="663">
        <f>SUM(AE223:AE223)</f>
        <v>0</v>
      </c>
      <c r="AF224" s="443"/>
      <c r="AG224" s="270">
        <f>SUM(AG223:AG223)</f>
        <v>0</v>
      </c>
      <c r="AH224" s="271">
        <f>SUM(AH223:AH223)</f>
        <v>0</v>
      </c>
      <c r="AJ224" s="663">
        <v>4</v>
      </c>
      <c r="AK224" s="443"/>
      <c r="AL224" s="270"/>
      <c r="AM224" s="271"/>
      <c r="AO224" s="663"/>
      <c r="AP224" s="443"/>
      <c r="AQ224" s="270"/>
      <c r="AR224" s="271"/>
      <c r="AT224" s="663">
        <f>SUM(AT223:AT223)</f>
        <v>1</v>
      </c>
      <c r="AU224" s="443"/>
      <c r="AV224" s="270">
        <f>SUM(AV223:AV223)</f>
        <v>0</v>
      </c>
      <c r="AW224" s="271">
        <f>SUM(AW223:AW223)</f>
        <v>0</v>
      </c>
      <c r="AX224" s="663">
        <f>SUM(AX223:AX223)</f>
        <v>1</v>
      </c>
      <c r="AY224" s="443"/>
      <c r="AZ224" s="270">
        <f>SUM(AZ223:AZ223)</f>
        <v>2652.06</v>
      </c>
      <c r="BA224" s="271">
        <f>SUM(BA223:BA223)</f>
        <v>31824.720000000001</v>
      </c>
    </row>
    <row r="226" spans="2:53" x14ac:dyDescent="0.25">
      <c r="B226" s="665" t="s">
        <v>724</v>
      </c>
      <c r="C226" s="282" t="s">
        <v>506</v>
      </c>
      <c r="E226" s="717" t="s">
        <v>566</v>
      </c>
      <c r="F226" s="717"/>
      <c r="G226" s="717"/>
      <c r="H226" s="717" t="s">
        <v>569</v>
      </c>
      <c r="I226" s="717"/>
      <c r="J226" s="717"/>
      <c r="S226" s="720"/>
      <c r="T226" s="720"/>
      <c r="U226" s="720"/>
      <c r="V226" s="720"/>
      <c r="W226" s="720"/>
      <c r="X226" s="720"/>
      <c r="AA226" s="715" t="s">
        <v>570</v>
      </c>
      <c r="AB226" s="715"/>
      <c r="AC226" s="715"/>
      <c r="AF226" s="715" t="s">
        <v>627</v>
      </c>
      <c r="AG226" s="715"/>
      <c r="AH226" s="715"/>
      <c r="AK226" s="715" t="s">
        <v>657</v>
      </c>
      <c r="AL226" s="715"/>
      <c r="AM226" s="715"/>
    </row>
    <row r="227" spans="2:53" ht="47.25" x14ac:dyDescent="0.25">
      <c r="B227" s="256" t="s">
        <v>159</v>
      </c>
      <c r="C227" s="257" t="s">
        <v>160</v>
      </c>
      <c r="D227" s="257" t="s">
        <v>161</v>
      </c>
      <c r="E227" s="257" t="s">
        <v>168</v>
      </c>
      <c r="F227" s="257" t="s">
        <v>167</v>
      </c>
      <c r="G227" s="257" t="s">
        <v>162</v>
      </c>
      <c r="H227" s="257" t="s">
        <v>168</v>
      </c>
      <c r="I227" s="257" t="s">
        <v>167</v>
      </c>
      <c r="J227" s="257" t="s">
        <v>162</v>
      </c>
      <c r="K227" s="257" t="s">
        <v>515</v>
      </c>
      <c r="L227" s="257" t="s">
        <v>520</v>
      </c>
      <c r="M227" s="257" t="s">
        <v>518</v>
      </c>
      <c r="N227" s="257" t="s">
        <v>548</v>
      </c>
      <c r="P227" s="257" t="s">
        <v>161</v>
      </c>
      <c r="Q227" s="257" t="s">
        <v>168</v>
      </c>
      <c r="R227" s="257" t="s">
        <v>167</v>
      </c>
      <c r="S227" s="257" t="s">
        <v>162</v>
      </c>
      <c r="U227" s="257" t="s">
        <v>161</v>
      </c>
      <c r="V227" s="257" t="s">
        <v>168</v>
      </c>
      <c r="W227" s="257" t="s">
        <v>167</v>
      </c>
      <c r="X227" s="257" t="s">
        <v>162</v>
      </c>
      <c r="Z227" s="257" t="s">
        <v>571</v>
      </c>
      <c r="AA227" s="257" t="s">
        <v>168</v>
      </c>
      <c r="AB227" s="257" t="s">
        <v>167</v>
      </c>
      <c r="AC227" s="257" t="s">
        <v>162</v>
      </c>
      <c r="AE227" s="257" t="s">
        <v>628</v>
      </c>
      <c r="AF227" s="440" t="s">
        <v>168</v>
      </c>
      <c r="AG227" s="257" t="s">
        <v>167</v>
      </c>
      <c r="AH227" s="257" t="s">
        <v>162</v>
      </c>
      <c r="AJ227" s="257" t="s">
        <v>628</v>
      </c>
      <c r="AK227" s="440" t="s">
        <v>168</v>
      </c>
      <c r="AL227" s="257" t="s">
        <v>167</v>
      </c>
      <c r="AM227" s="257" t="s">
        <v>162</v>
      </c>
      <c r="AO227" s="257" t="s">
        <v>628</v>
      </c>
      <c r="AP227" s="440" t="s">
        <v>168</v>
      </c>
      <c r="AQ227" s="257" t="s">
        <v>167</v>
      </c>
      <c r="AR227" s="257" t="s">
        <v>162</v>
      </c>
      <c r="AT227" s="257" t="s">
        <v>628</v>
      </c>
      <c r="AU227" s="440" t="s">
        <v>168</v>
      </c>
      <c r="AV227" s="257" t="s">
        <v>167</v>
      </c>
      <c r="AW227" s="257" t="s">
        <v>162</v>
      </c>
      <c r="AX227" s="257" t="s">
        <v>628</v>
      </c>
      <c r="AY227" s="440" t="s">
        <v>168</v>
      </c>
      <c r="AZ227" s="257" t="s">
        <v>167</v>
      </c>
      <c r="BA227" s="257" t="s">
        <v>162</v>
      </c>
    </row>
    <row r="228" spans="2:53" ht="16.5" thickBot="1" x14ac:dyDescent="0.3">
      <c r="B228" s="281">
        <v>5</v>
      </c>
      <c r="C228" s="278" t="s">
        <v>292</v>
      </c>
      <c r="D228" s="279">
        <v>1</v>
      </c>
      <c r="E228" s="280">
        <v>1774.11</v>
      </c>
      <c r="F228" s="280">
        <v>1774.11</v>
      </c>
      <c r="G228" s="280">
        <v>21289.32</v>
      </c>
      <c r="H228" s="280">
        <f>'ASG 5'!$D$137</f>
        <v>2375.4299999999998</v>
      </c>
      <c r="I228" s="280">
        <f>H228*D228</f>
        <v>2375.4299999999998</v>
      </c>
      <c r="J228" s="280">
        <f>I228*12</f>
        <v>28505.159999999996</v>
      </c>
      <c r="L228" s="264">
        <f>I228*2</f>
        <v>4750.8599999999997</v>
      </c>
      <c r="M228" s="274">
        <v>802060</v>
      </c>
      <c r="N228" s="246" t="s">
        <v>554</v>
      </c>
      <c r="P228" s="285">
        <v>1</v>
      </c>
      <c r="Q228" s="286">
        <v>2413.92</v>
      </c>
      <c r="R228" s="286">
        <f>Q228*P228</f>
        <v>2413.92</v>
      </c>
      <c r="S228" s="286">
        <f>R228*12</f>
        <v>28967.040000000001</v>
      </c>
      <c r="U228" s="287">
        <v>1</v>
      </c>
      <c r="V228" s="286">
        <f>'ASG 5'!$D$137</f>
        <v>2375.4299999999998</v>
      </c>
      <c r="W228" s="286">
        <f>V228*U228</f>
        <v>2375.4299999999998</v>
      </c>
      <c r="X228" s="286">
        <f>W228*12</f>
        <v>28505.159999999996</v>
      </c>
      <c r="Z228" s="279">
        <v>1</v>
      </c>
      <c r="AA228" s="280">
        <v>1774.11</v>
      </c>
      <c r="AB228" s="262">
        <v>1774.11</v>
      </c>
      <c r="AC228" s="280">
        <v>21289.32</v>
      </c>
      <c r="AE228" s="279">
        <v>1</v>
      </c>
      <c r="AF228" s="450">
        <v>1979.13</v>
      </c>
      <c r="AG228" s="262">
        <v>1979.13</v>
      </c>
      <c r="AH228" s="280">
        <v>23749.56</v>
      </c>
      <c r="AJ228" s="279">
        <v>1</v>
      </c>
      <c r="AK228" s="450">
        <v>1979.13</v>
      </c>
      <c r="AL228" s="262">
        <v>1979.13</v>
      </c>
      <c r="AM228" s="280">
        <v>23749.56</v>
      </c>
      <c r="AO228" s="279">
        <v>1</v>
      </c>
      <c r="AP228" s="450">
        <v>1979.13</v>
      </c>
      <c r="AQ228" s="262">
        <v>1979.13</v>
      </c>
      <c r="AR228" s="280">
        <v>23749.56</v>
      </c>
      <c r="AT228" s="279">
        <v>1</v>
      </c>
      <c r="AU228" s="450">
        <f>'ASG 5'!$D$137</f>
        <v>2375.4299999999998</v>
      </c>
      <c r="AV228" s="262">
        <f>AU228*AT228</f>
        <v>2375.4299999999998</v>
      </c>
      <c r="AW228" s="280">
        <f>AV228*12</f>
        <v>28505.159999999996</v>
      </c>
      <c r="AX228" s="279">
        <v>1</v>
      </c>
      <c r="AY228" s="450">
        <f>'ASG 5'!$D$137</f>
        <v>2375.4299999999998</v>
      </c>
      <c r="AZ228" s="262">
        <f>AY228*AX228</f>
        <v>2375.4299999999998</v>
      </c>
      <c r="BA228" s="280">
        <f>AZ228*12</f>
        <v>28505.159999999996</v>
      </c>
    </row>
    <row r="229" spans="2:53" x14ac:dyDescent="0.25">
      <c r="B229" s="716"/>
      <c r="C229" s="716"/>
      <c r="D229" s="663" t="e">
        <f>SUM(#REF!)</f>
        <v>#REF!</v>
      </c>
      <c r="E229" s="269"/>
      <c r="F229" s="269" t="e">
        <f>SUM(#REF!)</f>
        <v>#REF!</v>
      </c>
      <c r="G229" s="269"/>
      <c r="H229" s="269"/>
      <c r="I229" s="269" t="e">
        <f>SUM(#REF!)</f>
        <v>#REF!</v>
      </c>
      <c r="J229" s="269" t="e">
        <f>SUM(#REF!)</f>
        <v>#REF!</v>
      </c>
      <c r="K229" s="269" t="e">
        <f>SUM(#REF!)</f>
        <v>#REF!</v>
      </c>
      <c r="L229" s="269" t="e">
        <f>SUM(#REF!)</f>
        <v>#REF!</v>
      </c>
      <c r="M229" s="305"/>
      <c r="N229" s="305"/>
      <c r="P229" s="663" t="e">
        <f>SUM(#REF!)</f>
        <v>#REF!</v>
      </c>
      <c r="Q229" s="269"/>
      <c r="R229" s="303" t="e">
        <f>SUM(#REF!)</f>
        <v>#REF!</v>
      </c>
      <c r="S229" s="303" t="e">
        <f>SUM(#REF!)</f>
        <v>#REF!</v>
      </c>
      <c r="U229" s="663" t="e">
        <f>SUM(#REF!)</f>
        <v>#REF!</v>
      </c>
      <c r="V229" s="269"/>
      <c r="W229" s="303" t="e">
        <f>SUM(#REF!)</f>
        <v>#REF!</v>
      </c>
      <c r="X229" s="303" t="e">
        <f>SUM(#REF!)</f>
        <v>#REF!</v>
      </c>
      <c r="Z229" s="663">
        <v>0</v>
      </c>
      <c r="AA229" s="269"/>
      <c r="AB229" s="270">
        <v>0</v>
      </c>
      <c r="AC229" s="271">
        <v>0</v>
      </c>
      <c r="AE229" s="663">
        <f>SUM(AE228:AE228)</f>
        <v>1</v>
      </c>
      <c r="AF229" s="443"/>
      <c r="AG229" s="270">
        <f>SUM(AG228:AG228)</f>
        <v>1979.13</v>
      </c>
      <c r="AH229" s="271">
        <f>SUM(AH228:AH228)</f>
        <v>23749.56</v>
      </c>
      <c r="AJ229" s="663">
        <v>4</v>
      </c>
      <c r="AK229" s="443"/>
      <c r="AL229" s="270"/>
      <c r="AM229" s="271"/>
      <c r="AO229" s="663"/>
      <c r="AP229" s="443"/>
      <c r="AQ229" s="270"/>
      <c r="AR229" s="271"/>
      <c r="AT229" s="663">
        <f>SUM(AT228:AT228)</f>
        <v>1</v>
      </c>
      <c r="AU229" s="443"/>
      <c r="AV229" s="270">
        <f>SUM(AV228:AV228)</f>
        <v>2375.4299999999998</v>
      </c>
      <c r="AW229" s="271">
        <f>SUM(AW228:AW228)</f>
        <v>28505.159999999996</v>
      </c>
      <c r="AX229" s="663">
        <f>SUM(AX228:AX228)</f>
        <v>1</v>
      </c>
      <c r="AY229" s="443"/>
      <c r="AZ229" s="270">
        <f>SUM(AZ228:AZ228)</f>
        <v>2375.4299999999998</v>
      </c>
      <c r="BA229" s="271">
        <f>SUM(BA228:BA228)</f>
        <v>28505.159999999996</v>
      </c>
    </row>
    <row r="231" spans="2:53" x14ac:dyDescent="0.25">
      <c r="B231" s="665" t="s">
        <v>725</v>
      </c>
      <c r="C231" s="282" t="s">
        <v>503</v>
      </c>
      <c r="E231" s="717" t="s">
        <v>566</v>
      </c>
      <c r="F231" s="717"/>
      <c r="G231" s="717"/>
      <c r="H231" s="717" t="s">
        <v>569</v>
      </c>
      <c r="I231" s="717"/>
      <c r="J231" s="717"/>
      <c r="S231" s="720"/>
      <c r="T231" s="720"/>
      <c r="U231" s="720"/>
      <c r="V231" s="720"/>
      <c r="W231" s="720"/>
      <c r="X231" s="720"/>
      <c r="AA231" s="715" t="s">
        <v>570</v>
      </c>
      <c r="AB231" s="715"/>
      <c r="AC231" s="715"/>
      <c r="AF231" s="715" t="s">
        <v>627</v>
      </c>
      <c r="AG231" s="715"/>
      <c r="AH231" s="715"/>
      <c r="AK231" s="715" t="s">
        <v>657</v>
      </c>
      <c r="AL231" s="715"/>
      <c r="AM231" s="715"/>
    </row>
    <row r="232" spans="2:53" ht="47.25" x14ac:dyDescent="0.25">
      <c r="B232" s="256" t="s">
        <v>159</v>
      </c>
      <c r="C232" s="257" t="s">
        <v>160</v>
      </c>
      <c r="D232" s="257" t="s">
        <v>161</v>
      </c>
      <c r="E232" s="257" t="s">
        <v>168</v>
      </c>
      <c r="F232" s="257" t="s">
        <v>167</v>
      </c>
      <c r="G232" s="257" t="s">
        <v>162</v>
      </c>
      <c r="H232" s="257" t="s">
        <v>168</v>
      </c>
      <c r="I232" s="257" t="s">
        <v>167</v>
      </c>
      <c r="J232" s="257" t="s">
        <v>162</v>
      </c>
      <c r="K232" s="257" t="s">
        <v>515</v>
      </c>
      <c r="L232" s="257" t="s">
        <v>520</v>
      </c>
      <c r="M232" s="257" t="s">
        <v>518</v>
      </c>
      <c r="N232" s="257" t="s">
        <v>548</v>
      </c>
      <c r="P232" s="257" t="s">
        <v>161</v>
      </c>
      <c r="Q232" s="257" t="s">
        <v>168</v>
      </c>
      <c r="R232" s="257" t="s">
        <v>167</v>
      </c>
      <c r="S232" s="257" t="s">
        <v>162</v>
      </c>
      <c r="U232" s="257" t="s">
        <v>161</v>
      </c>
      <c r="V232" s="257" t="s">
        <v>168</v>
      </c>
      <c r="W232" s="257" t="s">
        <v>167</v>
      </c>
      <c r="X232" s="257" t="s">
        <v>162</v>
      </c>
      <c r="Z232" s="257" t="s">
        <v>571</v>
      </c>
      <c r="AA232" s="257" t="s">
        <v>168</v>
      </c>
      <c r="AB232" s="257" t="s">
        <v>167</v>
      </c>
      <c r="AC232" s="257" t="s">
        <v>162</v>
      </c>
      <c r="AE232" s="257" t="s">
        <v>628</v>
      </c>
      <c r="AF232" s="440" t="s">
        <v>168</v>
      </c>
      <c r="AG232" s="257" t="s">
        <v>167</v>
      </c>
      <c r="AH232" s="257" t="s">
        <v>162</v>
      </c>
      <c r="AJ232" s="257" t="s">
        <v>628</v>
      </c>
      <c r="AK232" s="440" t="s">
        <v>168</v>
      </c>
      <c r="AL232" s="257" t="s">
        <v>167</v>
      </c>
      <c r="AM232" s="257" t="s">
        <v>162</v>
      </c>
      <c r="AO232" s="257" t="s">
        <v>628</v>
      </c>
      <c r="AP232" s="440" t="s">
        <v>168</v>
      </c>
      <c r="AQ232" s="257" t="s">
        <v>167</v>
      </c>
      <c r="AR232" s="257" t="s">
        <v>162</v>
      </c>
      <c r="AT232" s="257" t="s">
        <v>628</v>
      </c>
      <c r="AU232" s="440" t="s">
        <v>168</v>
      </c>
      <c r="AV232" s="257" t="s">
        <v>167</v>
      </c>
      <c r="AW232" s="257" t="s">
        <v>162</v>
      </c>
      <c r="AX232" s="257" t="s">
        <v>628</v>
      </c>
      <c r="AY232" s="440" t="s">
        <v>168</v>
      </c>
      <c r="AZ232" s="257" t="s">
        <v>167</v>
      </c>
      <c r="BA232" s="257" t="s">
        <v>162</v>
      </c>
    </row>
    <row r="233" spans="2:53" x14ac:dyDescent="0.25">
      <c r="B233" s="258">
        <v>4</v>
      </c>
      <c r="C233" s="259" t="s">
        <v>3</v>
      </c>
      <c r="D233" s="260">
        <v>4</v>
      </c>
      <c r="E233" s="261">
        <v>2469.9499999999998</v>
      </c>
      <c r="F233" s="262">
        <v>9879.7999999999993</v>
      </c>
      <c r="G233" s="262">
        <v>118557.59999999999</v>
      </c>
      <c r="H233" s="261">
        <f>'Porteiro 2'!$D$137</f>
        <v>3292.56</v>
      </c>
      <c r="I233" s="262">
        <f t="shared" ref="I233" si="85">D233*H233</f>
        <v>13170.24</v>
      </c>
      <c r="J233" s="262">
        <f t="shared" ref="J233" si="86">I233*12</f>
        <v>158042.88</v>
      </c>
      <c r="K233" s="266" t="s">
        <v>519</v>
      </c>
      <c r="L233" s="264">
        <f t="shared" ref="L233" si="87">I233*2</f>
        <v>26340.48</v>
      </c>
      <c r="M233" s="274">
        <v>802050</v>
      </c>
      <c r="N233" s="246" t="s">
        <v>554</v>
      </c>
      <c r="Z233" s="260">
        <v>4</v>
      </c>
      <c r="AA233" s="261">
        <v>2469.9499999999998</v>
      </c>
      <c r="AB233" s="262">
        <v>9879.7999999999993</v>
      </c>
      <c r="AC233" s="262">
        <v>118557.59999999999</v>
      </c>
      <c r="AE233" s="260">
        <v>4</v>
      </c>
      <c r="AF233" s="441">
        <v>2785.89</v>
      </c>
      <c r="AG233" s="262">
        <v>11143.56</v>
      </c>
      <c r="AH233" s="262">
        <v>133722.72</v>
      </c>
      <c r="AJ233" s="260">
        <v>4</v>
      </c>
      <c r="AK233" s="441">
        <v>2785.89</v>
      </c>
      <c r="AL233" s="262">
        <v>11143.56</v>
      </c>
      <c r="AM233" s="262">
        <v>133722.72</v>
      </c>
      <c r="AO233" s="496">
        <v>6</v>
      </c>
      <c r="AP233" s="458">
        <v>2785.89</v>
      </c>
      <c r="AQ233" s="456">
        <v>16715.34</v>
      </c>
      <c r="AR233" s="456">
        <v>200584.08000000002</v>
      </c>
      <c r="AS233" s="267" t="s">
        <v>697</v>
      </c>
      <c r="AT233" s="260">
        <f>4+2</f>
        <v>6</v>
      </c>
      <c r="AU233" s="446">
        <f>'Porteiro 2'!$D$137</f>
        <v>3292.56</v>
      </c>
      <c r="AV233" s="310">
        <f t="shared" ref="AV233" si="88">AU233*AT233</f>
        <v>19755.36</v>
      </c>
      <c r="AW233" s="310">
        <f t="shared" ref="AW233" si="89">AV233*12</f>
        <v>237064.32000000001</v>
      </c>
      <c r="AX233" s="660">
        <v>1</v>
      </c>
      <c r="AY233" s="446">
        <f>'Porteiro 2'!$D$137</f>
        <v>3292.56</v>
      </c>
      <c r="AZ233" s="310">
        <f t="shared" ref="AZ233" si="90">AY233*AX233</f>
        <v>3292.56</v>
      </c>
      <c r="BA233" s="310">
        <f t="shared" ref="BA233" si="91">AZ233*12</f>
        <v>39510.720000000001</v>
      </c>
    </row>
    <row r="234" spans="2:53" x14ac:dyDescent="0.25">
      <c r="B234" s="716"/>
      <c r="C234" s="716"/>
      <c r="D234" s="663" t="e">
        <f>SUM(#REF!)</f>
        <v>#REF!</v>
      </c>
      <c r="E234" s="269"/>
      <c r="F234" s="269" t="e">
        <f>SUM(#REF!)</f>
        <v>#REF!</v>
      </c>
      <c r="G234" s="269"/>
      <c r="H234" s="269"/>
      <c r="I234" s="269" t="e">
        <f>SUM(#REF!)</f>
        <v>#REF!</v>
      </c>
      <c r="J234" s="269" t="e">
        <f>SUM(#REF!)</f>
        <v>#REF!</v>
      </c>
      <c r="K234" s="269" t="e">
        <f>SUM(#REF!)</f>
        <v>#REF!</v>
      </c>
      <c r="L234" s="269" t="e">
        <f>SUM(#REF!)</f>
        <v>#REF!</v>
      </c>
      <c r="M234" s="305"/>
      <c r="N234" s="305"/>
      <c r="P234" s="663" t="e">
        <f>SUM(#REF!)</f>
        <v>#REF!</v>
      </c>
      <c r="Q234" s="269"/>
      <c r="R234" s="303" t="e">
        <f>SUM(#REF!)</f>
        <v>#REF!</v>
      </c>
      <c r="S234" s="303" t="e">
        <f>SUM(#REF!)</f>
        <v>#REF!</v>
      </c>
      <c r="U234" s="663" t="e">
        <f>SUM(#REF!)</f>
        <v>#REF!</v>
      </c>
      <c r="V234" s="269"/>
      <c r="W234" s="303" t="e">
        <f>SUM(#REF!)</f>
        <v>#REF!</v>
      </c>
      <c r="X234" s="303" t="e">
        <f>SUM(#REF!)</f>
        <v>#REF!</v>
      </c>
      <c r="Z234" s="663">
        <v>0</v>
      </c>
      <c r="AA234" s="269"/>
      <c r="AB234" s="270">
        <v>0</v>
      </c>
      <c r="AC234" s="271">
        <v>0</v>
      </c>
      <c r="AE234" s="663">
        <f>SUM(AE233:AE233)</f>
        <v>4</v>
      </c>
      <c r="AF234" s="443"/>
      <c r="AG234" s="270">
        <f>SUM(AG233:AG233)</f>
        <v>11143.56</v>
      </c>
      <c r="AH234" s="271">
        <f>SUM(AH233:AH233)</f>
        <v>133722.72</v>
      </c>
      <c r="AJ234" s="663">
        <v>4</v>
      </c>
      <c r="AK234" s="443"/>
      <c r="AL234" s="270"/>
      <c r="AM234" s="271"/>
      <c r="AO234" s="663"/>
      <c r="AP234" s="443"/>
      <c r="AQ234" s="270"/>
      <c r="AR234" s="271"/>
      <c r="AT234" s="663">
        <f>SUM(AT233:AT233)</f>
        <v>6</v>
      </c>
      <c r="AU234" s="443"/>
      <c r="AV234" s="270">
        <f>SUM(AV233:AV233)</f>
        <v>19755.36</v>
      </c>
      <c r="AW234" s="271">
        <f>SUM(AW233:AW233)</f>
        <v>237064.32000000001</v>
      </c>
      <c r="AX234" s="663">
        <f>SUM(AX233:AX233)</f>
        <v>1</v>
      </c>
      <c r="AY234" s="443"/>
      <c r="AZ234" s="270">
        <f>SUM(AZ233:AZ233)</f>
        <v>3292.56</v>
      </c>
      <c r="BA234" s="271">
        <f>SUM(BA233:BA233)</f>
        <v>39510.720000000001</v>
      </c>
    </row>
  </sheetData>
  <mergeCells count="192">
    <mergeCell ref="B234:C234"/>
    <mergeCell ref="B224:C224"/>
    <mergeCell ref="E226:G226"/>
    <mergeCell ref="H226:J226"/>
    <mergeCell ref="S226:X226"/>
    <mergeCell ref="AA226:AC226"/>
    <mergeCell ref="AF226:AH226"/>
    <mergeCell ref="AK226:AM226"/>
    <mergeCell ref="B229:C229"/>
    <mergeCell ref="E231:G231"/>
    <mergeCell ref="H231:J231"/>
    <mergeCell ref="S231:X231"/>
    <mergeCell ref="AA231:AC231"/>
    <mergeCell ref="AF231:AH231"/>
    <mergeCell ref="AK231:AM231"/>
    <mergeCell ref="AA216:AC216"/>
    <mergeCell ref="AF216:AH216"/>
    <mergeCell ref="AK216:AM216"/>
    <mergeCell ref="B219:C219"/>
    <mergeCell ref="E221:G221"/>
    <mergeCell ref="H221:J221"/>
    <mergeCell ref="S221:X221"/>
    <mergeCell ref="AA221:AC221"/>
    <mergeCell ref="AF221:AH221"/>
    <mergeCell ref="AK221:AM221"/>
    <mergeCell ref="AP195:AR195"/>
    <mergeCell ref="AU195:AW195"/>
    <mergeCell ref="E196:G196"/>
    <mergeCell ref="H196:J196"/>
    <mergeCell ref="AA196:AC196"/>
    <mergeCell ref="AF196:AH196"/>
    <mergeCell ref="AK196:AM196"/>
    <mergeCell ref="B200:C200"/>
    <mergeCell ref="AA195:AC195"/>
    <mergeCell ref="AF195:AH195"/>
    <mergeCell ref="AK195:AM195"/>
    <mergeCell ref="AA190:AC190"/>
    <mergeCell ref="AF190:AH190"/>
    <mergeCell ref="AK190:AM190"/>
    <mergeCell ref="AP190:AR190"/>
    <mergeCell ref="AU190:AW190"/>
    <mergeCell ref="B194:C194"/>
    <mergeCell ref="E191:G191"/>
    <mergeCell ref="H191:J191"/>
    <mergeCell ref="AA191:AC191"/>
    <mergeCell ref="AF191:AH191"/>
    <mergeCell ref="AK191:AM191"/>
    <mergeCell ref="AA8:AC8"/>
    <mergeCell ref="AA66:AC66"/>
    <mergeCell ref="AA82:AC82"/>
    <mergeCell ref="B7:X7"/>
    <mergeCell ref="U8:X8"/>
    <mergeCell ref="AU101:AW101"/>
    <mergeCell ref="AU108:AW108"/>
    <mergeCell ref="AU117:AW117"/>
    <mergeCell ref="AU126:AW126"/>
    <mergeCell ref="AA108:AC108"/>
    <mergeCell ref="AA126:AC126"/>
    <mergeCell ref="AK108:AM108"/>
    <mergeCell ref="AK117:AM117"/>
    <mergeCell ref="AK126:AM126"/>
    <mergeCell ref="AF108:AH108"/>
    <mergeCell ref="AF126:AH126"/>
    <mergeCell ref="AK116:AM116"/>
    <mergeCell ref="AU116:AW116"/>
    <mergeCell ref="AK66:AM66"/>
    <mergeCell ref="AK75:AM75"/>
    <mergeCell ref="AK82:AM82"/>
    <mergeCell ref="AK91:AM91"/>
    <mergeCell ref="AK101:AM101"/>
    <mergeCell ref="AK90:AM90"/>
    <mergeCell ref="P8:S8"/>
    <mergeCell ref="E9:G9"/>
    <mergeCell ref="H9:J9"/>
    <mergeCell ref="E75:G75"/>
    <mergeCell ref="H75:J75"/>
    <mergeCell ref="E83:G83"/>
    <mergeCell ref="H83:J83"/>
    <mergeCell ref="E101:G101"/>
    <mergeCell ref="H66:J66"/>
    <mergeCell ref="H101:J101"/>
    <mergeCell ref="B21:C21"/>
    <mergeCell ref="B81:C81"/>
    <mergeCell ref="B99:C99"/>
    <mergeCell ref="B107:C107"/>
    <mergeCell ref="B180:C180"/>
    <mergeCell ref="B89:C89"/>
    <mergeCell ref="B142:C142"/>
    <mergeCell ref="B153:C153"/>
    <mergeCell ref="B161:C161"/>
    <mergeCell ref="B172:C172"/>
    <mergeCell ref="B115:C115"/>
    <mergeCell ref="E109:G109"/>
    <mergeCell ref="E135:G135"/>
    <mergeCell ref="S211:X211"/>
    <mergeCell ref="H135:J135"/>
    <mergeCell ref="E144:G144"/>
    <mergeCell ref="H144:J144"/>
    <mergeCell ref="H109:J109"/>
    <mergeCell ref="E117:G117"/>
    <mergeCell ref="H117:J117"/>
    <mergeCell ref="E127:G127"/>
    <mergeCell ref="H127:J127"/>
    <mergeCell ref="E163:G163"/>
    <mergeCell ref="H163:J163"/>
    <mergeCell ref="E174:G174"/>
    <mergeCell ref="H174:J174"/>
    <mergeCell ref="E155:G155"/>
    <mergeCell ref="H155:J155"/>
    <mergeCell ref="E211:G211"/>
    <mergeCell ref="H211:J211"/>
    <mergeCell ref="E216:G216"/>
    <mergeCell ref="H216:J216"/>
    <mergeCell ref="AA100:AC100"/>
    <mergeCell ref="AF100:AH100"/>
    <mergeCell ref="AK100:AM100"/>
    <mergeCell ref="AU100:AW100"/>
    <mergeCell ref="AF143:AH143"/>
    <mergeCell ref="AA143:AC143"/>
    <mergeCell ref="AK135:AM135"/>
    <mergeCell ref="AU143:AW143"/>
    <mergeCell ref="AP143:AR143"/>
    <mergeCell ref="AK143:AM143"/>
    <mergeCell ref="AP154:AR154"/>
    <mergeCell ref="AA162:AC162"/>
    <mergeCell ref="AU173:AW173"/>
    <mergeCell ref="AK174:AM174"/>
    <mergeCell ref="AP162:AR162"/>
    <mergeCell ref="AP173:AR173"/>
    <mergeCell ref="AF162:AH162"/>
    <mergeCell ref="AK155:AM155"/>
    <mergeCell ref="AK162:AM162"/>
    <mergeCell ref="AP90:AR90"/>
    <mergeCell ref="AK134:AM134"/>
    <mergeCell ref="AU134:AW134"/>
    <mergeCell ref="AP91:AR91"/>
    <mergeCell ref="AP100:AR100"/>
    <mergeCell ref="AP101:AR101"/>
    <mergeCell ref="AP108:AR108"/>
    <mergeCell ref="AP116:AR116"/>
    <mergeCell ref="AP117:AR117"/>
    <mergeCell ref="AP126:AR126"/>
    <mergeCell ref="AP134:AR134"/>
    <mergeCell ref="AU90:AW90"/>
    <mergeCell ref="AF66:AH66"/>
    <mergeCell ref="AF82:AH82"/>
    <mergeCell ref="AA90:AC90"/>
    <mergeCell ref="AF90:AH90"/>
    <mergeCell ref="AA116:AC116"/>
    <mergeCell ref="AF116:AH116"/>
    <mergeCell ref="AA134:AC134"/>
    <mergeCell ref="AF134:AH134"/>
    <mergeCell ref="AY66:BA66"/>
    <mergeCell ref="AY74:BA74"/>
    <mergeCell ref="AY82:BA82"/>
    <mergeCell ref="AY90:BA90"/>
    <mergeCell ref="AY91:BA91"/>
    <mergeCell ref="AY100:BA100"/>
    <mergeCell ref="AY101:BA101"/>
    <mergeCell ref="AY108:BA108"/>
    <mergeCell ref="AY116:BA116"/>
    <mergeCell ref="AU66:AW66"/>
    <mergeCell ref="AU74:AW74"/>
    <mergeCell ref="AU82:AW82"/>
    <mergeCell ref="AU91:AW91"/>
    <mergeCell ref="AP66:AR66"/>
    <mergeCell ref="AP74:AR74"/>
    <mergeCell ref="AP82:AR82"/>
    <mergeCell ref="AA211:AC211"/>
    <mergeCell ref="AF211:AH211"/>
    <mergeCell ref="AK211:AM211"/>
    <mergeCell ref="B214:C214"/>
    <mergeCell ref="AY195:BA195"/>
    <mergeCell ref="AY117:BA117"/>
    <mergeCell ref="AY126:BA126"/>
    <mergeCell ref="AY134:BA134"/>
    <mergeCell ref="AY143:BA143"/>
    <mergeCell ref="AY154:BA154"/>
    <mergeCell ref="AY162:BA162"/>
    <mergeCell ref="AY173:BA173"/>
    <mergeCell ref="AY181:BA181"/>
    <mergeCell ref="AY190:BA190"/>
    <mergeCell ref="AA181:AC181"/>
    <mergeCell ref="AF181:AH181"/>
    <mergeCell ref="AK181:AM181"/>
    <mergeCell ref="AU181:AW181"/>
    <mergeCell ref="AU154:AW154"/>
    <mergeCell ref="AA173:AC173"/>
    <mergeCell ref="AF173:AH173"/>
    <mergeCell ref="AK173:AM173"/>
    <mergeCell ref="AP181:AR181"/>
    <mergeCell ref="AU162:AW162"/>
  </mergeCells>
  <pageMargins left="0.78740157480314965" right="0.51181102362204722" top="0.78740157480314965" bottom="0.78740157480314965" header="0.31496062992125984" footer="0.31496062992125984"/>
  <pageSetup paperSize="9" scale="47" fitToHeight="0" orientation="portrait" r:id="rId1"/>
  <rowBreaks count="1" manualBreakCount="1">
    <brk id="90" min="1" max="54" man="1"/>
  </rowBreaks>
  <colBreaks count="2" manualBreakCount="2">
    <brk id="40" max="234" man="1"/>
    <brk id="45" max="234" man="1"/>
  </col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63"/>
  <sheetViews>
    <sheetView view="pageBreakPreview" topLeftCell="A123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6.5703125" style="4" customWidth="1"/>
    <col min="5" max="5" width="25.570312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" t="s">
        <v>13</v>
      </c>
      <c r="B8" s="8" t="s">
        <v>14</v>
      </c>
      <c r="C8" s="728">
        <v>41094</v>
      </c>
      <c r="D8" s="725"/>
    </row>
    <row r="9" spans="1:4" ht="12.75" x14ac:dyDescent="0.2">
      <c r="A9" s="7" t="s">
        <v>15</v>
      </c>
      <c r="B9" s="8" t="s">
        <v>16</v>
      </c>
      <c r="C9" s="729" t="s">
        <v>17</v>
      </c>
      <c r="D9" s="729"/>
    </row>
    <row r="10" spans="1:4" ht="12.75" x14ac:dyDescent="0.2">
      <c r="A10" s="7" t="s">
        <v>18</v>
      </c>
      <c r="B10" s="8" t="s">
        <v>19</v>
      </c>
      <c r="C10" s="783">
        <v>2012</v>
      </c>
      <c r="D10" s="783"/>
    </row>
    <row r="11" spans="1:4" ht="12.75" x14ac:dyDescent="0.2">
      <c r="A11" s="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501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0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v>860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2013'!J10</f>
        <v>1794.06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6" x14ac:dyDescent="0.25">
      <c r="A33" s="43" t="s">
        <v>45</v>
      </c>
      <c r="B33" s="526" t="s">
        <v>46</v>
      </c>
      <c r="C33" s="539"/>
      <c r="D33" s="535"/>
      <c r="E33" s="536"/>
      <c r="F33" s="62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>
        <v>0</v>
      </c>
      <c r="E36" s="527"/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6" x14ac:dyDescent="0.25">
      <c r="A38" s="540" t="s">
        <v>632</v>
      </c>
      <c r="B38" s="541" t="s">
        <v>633</v>
      </c>
      <c r="C38" s="534"/>
      <c r="D38" s="535">
        <f>D29*0.05</f>
        <v>89.703000000000003</v>
      </c>
      <c r="E38" s="527"/>
    </row>
    <row r="39" spans="1:6" x14ac:dyDescent="0.25">
      <c r="A39" s="771" t="s">
        <v>55</v>
      </c>
      <c r="B39" s="772"/>
      <c r="C39" s="534"/>
      <c r="D39" s="542">
        <f>ROUND(SUM(D29:D38),2)</f>
        <v>1883.76</v>
      </c>
      <c r="E39" s="527"/>
    </row>
    <row r="40" spans="1:6" x14ac:dyDescent="0.25">
      <c r="A40" s="543"/>
      <c r="B40" s="543"/>
      <c r="C40" s="544"/>
      <c r="D40" s="545"/>
      <c r="E40" s="527"/>
    </row>
    <row r="41" spans="1:6" ht="12.75" x14ac:dyDescent="0.2">
      <c r="A41" s="773" t="s">
        <v>56</v>
      </c>
      <c r="B41" s="774"/>
      <c r="C41" s="774"/>
      <c r="D41" s="775"/>
      <c r="E41" s="527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37.56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335.56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7" t="s">
        <v>13</v>
      </c>
      <c r="B53" s="8" t="s">
        <v>69</v>
      </c>
      <c r="C53" s="91">
        <f>'Uniforme 1'!D23</f>
        <v>51.875</v>
      </c>
      <c r="D53" s="18">
        <f>ROUND(C53*$C$29,2)</f>
        <v>51.88</v>
      </c>
    </row>
    <row r="54" spans="1:5" x14ac:dyDescent="0.25">
      <c r="A54" s="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7" t="s">
        <v>20</v>
      </c>
      <c r="B56" s="32" t="s">
        <v>72</v>
      </c>
      <c r="C56" s="18"/>
      <c r="D56" s="18">
        <f>C56</f>
        <v>0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376.75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28.26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18.84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3.77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47.09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150.69999999999999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56.51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11.3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693.22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156.91999999999999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52.31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209.23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76.989999999999995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286.22000000000003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1.88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0.15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15.07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36.54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13.45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83.26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150.35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156.91999999999999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4.5199999999999996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0.38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2.64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0.75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0.38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165.58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60.93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226.51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286.22000000000003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693.22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150.36000000000001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226.52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1356.32</v>
      </c>
    </row>
    <row r="106" spans="1:5" x14ac:dyDescent="0.25">
      <c r="D106" s="42">
        <f>ROUND(D105+D57+D49+D39,2)</f>
        <v>3627.52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36.28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68.459999999999994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315.31</v>
      </c>
      <c r="F113" s="61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82.98</v>
      </c>
      <c r="F114" s="62">
        <f>ROUND(D115+D108+D106,2)</f>
        <v>3682.12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18.32</v>
      </c>
      <c r="F115" s="63">
        <f>ROUND(F114/(1-F113),2)</f>
        <v>4148.87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521.35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1883.76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335.56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1356.32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3627.52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521.35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4148.87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4148.87</v>
      </c>
      <c r="E130" s="49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4148.87</v>
      </c>
      <c r="E132" s="49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4148.87</v>
      </c>
      <c r="E134" s="49"/>
      <c r="F134" s="64"/>
    </row>
    <row r="135" spans="1:9" ht="18.75" x14ac:dyDescent="0.3">
      <c r="E135" s="49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7" t="s">
        <v>13</v>
      </c>
      <c r="B137" s="731" t="s">
        <v>149</v>
      </c>
      <c r="C137" s="731"/>
      <c r="D137" s="18">
        <f>D130</f>
        <v>4148.87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4148.87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49786.44</v>
      </c>
      <c r="F139" s="9"/>
    </row>
    <row r="140" spans="1:9" ht="12.75" x14ac:dyDescent="0.2">
      <c r="A140" s="146"/>
      <c r="B140" s="147"/>
      <c r="C140" s="147"/>
      <c r="D140" s="148"/>
      <c r="F140" s="9"/>
    </row>
    <row r="141" spans="1:9" ht="12.75" x14ac:dyDescent="0.2">
      <c r="C141" s="2"/>
      <c r="D141" s="2"/>
      <c r="F141" s="9"/>
    </row>
    <row r="142" spans="1:9" ht="12.75" x14ac:dyDescent="0.2">
      <c r="A142" s="2" t="s">
        <v>484</v>
      </c>
      <c r="C142" s="2"/>
      <c r="D142" s="2"/>
      <c r="F142" s="9"/>
    </row>
    <row r="143" spans="1:9" ht="12.75" x14ac:dyDescent="0.2">
      <c r="C143" s="2"/>
      <c r="D143" s="2"/>
      <c r="F143" s="9"/>
    </row>
    <row r="144" spans="1:9" ht="12.75" x14ac:dyDescent="0.2">
      <c r="C144" s="2"/>
      <c r="D144" s="2"/>
      <c r="F144" s="9"/>
    </row>
    <row r="145" spans="1:8" ht="12.75" x14ac:dyDescent="0.2">
      <c r="C145" s="2"/>
      <c r="D145" s="2"/>
      <c r="F145" s="9"/>
    </row>
    <row r="146" spans="1:8" ht="12.75" x14ac:dyDescent="0.2">
      <c r="C146" s="2"/>
      <c r="D146" s="2"/>
      <c r="F146" s="9"/>
    </row>
    <row r="147" spans="1:8" x14ac:dyDescent="0.25">
      <c r="A147" s="30"/>
    </row>
    <row r="148" spans="1:8" x14ac:dyDescent="0.25">
      <c r="A148" s="753" t="s">
        <v>152</v>
      </c>
      <c r="B148" s="753"/>
    </row>
    <row r="149" spans="1:8" x14ac:dyDescent="0.25">
      <c r="A149" s="30"/>
      <c r="F149" s="9"/>
    </row>
    <row r="150" spans="1:8" x14ac:dyDescent="0.25">
      <c r="A150" s="30"/>
      <c r="F150" s="9"/>
      <c r="G150" s="50"/>
    </row>
    <row r="151" spans="1:8" x14ac:dyDescent="0.25">
      <c r="A151" s="755" t="s">
        <v>153</v>
      </c>
      <c r="B151" s="755"/>
      <c r="F151" s="9"/>
      <c r="G151" s="51"/>
    </row>
    <row r="152" spans="1:8" x14ac:dyDescent="0.25">
      <c r="A152" s="756" t="s">
        <v>154</v>
      </c>
      <c r="B152" s="756"/>
      <c r="F152" s="9"/>
    </row>
    <row r="153" spans="1:8" x14ac:dyDescent="0.25">
      <c r="A153" s="752" t="s">
        <v>155</v>
      </c>
      <c r="B153" s="752"/>
      <c r="F153" s="9"/>
    </row>
    <row r="154" spans="1:8" x14ac:dyDescent="0.25">
      <c r="F154" s="52"/>
      <c r="H154" s="1"/>
    </row>
    <row r="155" spans="1:8" x14ac:dyDescent="0.25">
      <c r="F155" s="9"/>
    </row>
    <row r="156" spans="1:8" x14ac:dyDescent="0.25">
      <c r="F156" s="9"/>
    </row>
    <row r="157" spans="1:8" x14ac:dyDescent="0.25">
      <c r="F157" s="9"/>
    </row>
    <row r="158" spans="1:8" x14ac:dyDescent="0.25">
      <c r="F158" s="9"/>
    </row>
    <row r="159" spans="1:8" x14ac:dyDescent="0.25">
      <c r="F159" s="9"/>
    </row>
    <row r="160" spans="1:8" x14ac:dyDescent="0.25">
      <c r="F160" s="9"/>
    </row>
    <row r="161" spans="6:6" x14ac:dyDescent="0.25">
      <c r="F161" s="9"/>
    </row>
    <row r="162" spans="6:6" x14ac:dyDescent="0.25">
      <c r="F162" s="52"/>
    </row>
    <row r="163" spans="6:6" x14ac:dyDescent="0.25">
      <c r="F163" s="9"/>
    </row>
  </sheetData>
  <mergeCells count="67">
    <mergeCell ref="A153:B153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8:B148"/>
    <mergeCell ref="A151:B151"/>
    <mergeCell ref="A152:B152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9:D65569 IY65569:IZ65569 SU65569:SV65569 ACQ65569:ACR65569 AMM65569:AMN65569 AWI65569:AWJ65569 BGE65569:BGF65569 BQA65569:BQB65569 BZW65569:BZX65569 CJS65569:CJT65569 CTO65569:CTP65569 DDK65569:DDL65569 DNG65569:DNH65569 DXC65569:DXD65569 EGY65569:EGZ65569 EQU65569:EQV65569 FAQ65569:FAR65569 FKM65569:FKN65569 FUI65569:FUJ65569 GEE65569:GEF65569 GOA65569:GOB65569 GXW65569:GXX65569 HHS65569:HHT65569 HRO65569:HRP65569 IBK65569:IBL65569 ILG65569:ILH65569 IVC65569:IVD65569 JEY65569:JEZ65569 JOU65569:JOV65569 JYQ65569:JYR65569 KIM65569:KIN65569 KSI65569:KSJ65569 LCE65569:LCF65569 LMA65569:LMB65569 LVW65569:LVX65569 MFS65569:MFT65569 MPO65569:MPP65569 MZK65569:MZL65569 NJG65569:NJH65569 NTC65569:NTD65569 OCY65569:OCZ65569 OMU65569:OMV65569 OWQ65569:OWR65569 PGM65569:PGN65569 PQI65569:PQJ65569 QAE65569:QAF65569 QKA65569:QKB65569 QTW65569:QTX65569 RDS65569:RDT65569 RNO65569:RNP65569 RXK65569:RXL65569 SHG65569:SHH65569 SRC65569:SRD65569 TAY65569:TAZ65569 TKU65569:TKV65569 TUQ65569:TUR65569 UEM65569:UEN65569 UOI65569:UOJ65569 UYE65569:UYF65569 VIA65569:VIB65569 VRW65569:VRX65569 WBS65569:WBT65569 WLO65569:WLP65569 WVK65569:WVL65569 C131105:D131105 IY131105:IZ131105 SU131105:SV131105 ACQ131105:ACR131105 AMM131105:AMN131105 AWI131105:AWJ131105 BGE131105:BGF131105 BQA131105:BQB131105 BZW131105:BZX131105 CJS131105:CJT131105 CTO131105:CTP131105 DDK131105:DDL131105 DNG131105:DNH131105 DXC131105:DXD131105 EGY131105:EGZ131105 EQU131105:EQV131105 FAQ131105:FAR131105 FKM131105:FKN131105 FUI131105:FUJ131105 GEE131105:GEF131105 GOA131105:GOB131105 GXW131105:GXX131105 HHS131105:HHT131105 HRO131105:HRP131105 IBK131105:IBL131105 ILG131105:ILH131105 IVC131105:IVD131105 JEY131105:JEZ131105 JOU131105:JOV131105 JYQ131105:JYR131105 KIM131105:KIN131105 KSI131105:KSJ131105 LCE131105:LCF131105 LMA131105:LMB131105 LVW131105:LVX131105 MFS131105:MFT131105 MPO131105:MPP131105 MZK131105:MZL131105 NJG131105:NJH131105 NTC131105:NTD131105 OCY131105:OCZ131105 OMU131105:OMV131105 OWQ131105:OWR131105 PGM131105:PGN131105 PQI131105:PQJ131105 QAE131105:QAF131105 QKA131105:QKB131105 QTW131105:QTX131105 RDS131105:RDT131105 RNO131105:RNP131105 RXK131105:RXL131105 SHG131105:SHH131105 SRC131105:SRD131105 TAY131105:TAZ131105 TKU131105:TKV131105 TUQ131105:TUR131105 UEM131105:UEN131105 UOI131105:UOJ131105 UYE131105:UYF131105 VIA131105:VIB131105 VRW131105:VRX131105 WBS131105:WBT131105 WLO131105:WLP131105 WVK131105:WVL131105 C196641:D196641 IY196641:IZ196641 SU196641:SV196641 ACQ196641:ACR196641 AMM196641:AMN196641 AWI196641:AWJ196641 BGE196641:BGF196641 BQA196641:BQB196641 BZW196641:BZX196641 CJS196641:CJT196641 CTO196641:CTP196641 DDK196641:DDL196641 DNG196641:DNH196641 DXC196641:DXD196641 EGY196641:EGZ196641 EQU196641:EQV196641 FAQ196641:FAR196641 FKM196641:FKN196641 FUI196641:FUJ196641 GEE196641:GEF196641 GOA196641:GOB196641 GXW196641:GXX196641 HHS196641:HHT196641 HRO196641:HRP196641 IBK196641:IBL196641 ILG196641:ILH196641 IVC196641:IVD196641 JEY196641:JEZ196641 JOU196641:JOV196641 JYQ196641:JYR196641 KIM196641:KIN196641 KSI196641:KSJ196641 LCE196641:LCF196641 LMA196641:LMB196641 LVW196641:LVX196641 MFS196641:MFT196641 MPO196641:MPP196641 MZK196641:MZL196641 NJG196641:NJH196641 NTC196641:NTD196641 OCY196641:OCZ196641 OMU196641:OMV196641 OWQ196641:OWR196641 PGM196641:PGN196641 PQI196641:PQJ196641 QAE196641:QAF196641 QKA196641:QKB196641 QTW196641:QTX196641 RDS196641:RDT196641 RNO196641:RNP196641 RXK196641:RXL196641 SHG196641:SHH196641 SRC196641:SRD196641 TAY196641:TAZ196641 TKU196641:TKV196641 TUQ196641:TUR196641 UEM196641:UEN196641 UOI196641:UOJ196641 UYE196641:UYF196641 VIA196641:VIB196641 VRW196641:VRX196641 WBS196641:WBT196641 WLO196641:WLP196641 WVK196641:WVL196641 C262177:D262177 IY262177:IZ262177 SU262177:SV262177 ACQ262177:ACR262177 AMM262177:AMN262177 AWI262177:AWJ262177 BGE262177:BGF262177 BQA262177:BQB262177 BZW262177:BZX262177 CJS262177:CJT262177 CTO262177:CTP262177 DDK262177:DDL262177 DNG262177:DNH262177 DXC262177:DXD262177 EGY262177:EGZ262177 EQU262177:EQV262177 FAQ262177:FAR262177 FKM262177:FKN262177 FUI262177:FUJ262177 GEE262177:GEF262177 GOA262177:GOB262177 GXW262177:GXX262177 HHS262177:HHT262177 HRO262177:HRP262177 IBK262177:IBL262177 ILG262177:ILH262177 IVC262177:IVD262177 JEY262177:JEZ262177 JOU262177:JOV262177 JYQ262177:JYR262177 KIM262177:KIN262177 KSI262177:KSJ262177 LCE262177:LCF262177 LMA262177:LMB262177 LVW262177:LVX262177 MFS262177:MFT262177 MPO262177:MPP262177 MZK262177:MZL262177 NJG262177:NJH262177 NTC262177:NTD262177 OCY262177:OCZ262177 OMU262177:OMV262177 OWQ262177:OWR262177 PGM262177:PGN262177 PQI262177:PQJ262177 QAE262177:QAF262177 QKA262177:QKB262177 QTW262177:QTX262177 RDS262177:RDT262177 RNO262177:RNP262177 RXK262177:RXL262177 SHG262177:SHH262177 SRC262177:SRD262177 TAY262177:TAZ262177 TKU262177:TKV262177 TUQ262177:TUR262177 UEM262177:UEN262177 UOI262177:UOJ262177 UYE262177:UYF262177 VIA262177:VIB262177 VRW262177:VRX262177 WBS262177:WBT262177 WLO262177:WLP262177 WVK262177:WVL262177 C327713:D327713 IY327713:IZ327713 SU327713:SV327713 ACQ327713:ACR327713 AMM327713:AMN327713 AWI327713:AWJ327713 BGE327713:BGF327713 BQA327713:BQB327713 BZW327713:BZX327713 CJS327713:CJT327713 CTO327713:CTP327713 DDK327713:DDL327713 DNG327713:DNH327713 DXC327713:DXD327713 EGY327713:EGZ327713 EQU327713:EQV327713 FAQ327713:FAR327713 FKM327713:FKN327713 FUI327713:FUJ327713 GEE327713:GEF327713 GOA327713:GOB327713 GXW327713:GXX327713 HHS327713:HHT327713 HRO327713:HRP327713 IBK327713:IBL327713 ILG327713:ILH327713 IVC327713:IVD327713 JEY327713:JEZ327713 JOU327713:JOV327713 JYQ327713:JYR327713 KIM327713:KIN327713 KSI327713:KSJ327713 LCE327713:LCF327713 LMA327713:LMB327713 LVW327713:LVX327713 MFS327713:MFT327713 MPO327713:MPP327713 MZK327713:MZL327713 NJG327713:NJH327713 NTC327713:NTD327713 OCY327713:OCZ327713 OMU327713:OMV327713 OWQ327713:OWR327713 PGM327713:PGN327713 PQI327713:PQJ327713 QAE327713:QAF327713 QKA327713:QKB327713 QTW327713:QTX327713 RDS327713:RDT327713 RNO327713:RNP327713 RXK327713:RXL327713 SHG327713:SHH327713 SRC327713:SRD327713 TAY327713:TAZ327713 TKU327713:TKV327713 TUQ327713:TUR327713 UEM327713:UEN327713 UOI327713:UOJ327713 UYE327713:UYF327713 VIA327713:VIB327713 VRW327713:VRX327713 WBS327713:WBT327713 WLO327713:WLP327713 WVK327713:WVL327713 C393249:D393249 IY393249:IZ393249 SU393249:SV393249 ACQ393249:ACR393249 AMM393249:AMN393249 AWI393249:AWJ393249 BGE393249:BGF393249 BQA393249:BQB393249 BZW393249:BZX393249 CJS393249:CJT393249 CTO393249:CTP393249 DDK393249:DDL393249 DNG393249:DNH393249 DXC393249:DXD393249 EGY393249:EGZ393249 EQU393249:EQV393249 FAQ393249:FAR393249 FKM393249:FKN393249 FUI393249:FUJ393249 GEE393249:GEF393249 GOA393249:GOB393249 GXW393249:GXX393249 HHS393249:HHT393249 HRO393249:HRP393249 IBK393249:IBL393249 ILG393249:ILH393249 IVC393249:IVD393249 JEY393249:JEZ393249 JOU393249:JOV393249 JYQ393249:JYR393249 KIM393249:KIN393249 KSI393249:KSJ393249 LCE393249:LCF393249 LMA393249:LMB393249 LVW393249:LVX393249 MFS393249:MFT393249 MPO393249:MPP393249 MZK393249:MZL393249 NJG393249:NJH393249 NTC393249:NTD393249 OCY393249:OCZ393249 OMU393249:OMV393249 OWQ393249:OWR393249 PGM393249:PGN393249 PQI393249:PQJ393249 QAE393249:QAF393249 QKA393249:QKB393249 QTW393249:QTX393249 RDS393249:RDT393249 RNO393249:RNP393249 RXK393249:RXL393249 SHG393249:SHH393249 SRC393249:SRD393249 TAY393249:TAZ393249 TKU393249:TKV393249 TUQ393249:TUR393249 UEM393249:UEN393249 UOI393249:UOJ393249 UYE393249:UYF393249 VIA393249:VIB393249 VRW393249:VRX393249 WBS393249:WBT393249 WLO393249:WLP393249 WVK393249:WVL393249 C458785:D458785 IY458785:IZ458785 SU458785:SV458785 ACQ458785:ACR458785 AMM458785:AMN458785 AWI458785:AWJ458785 BGE458785:BGF458785 BQA458785:BQB458785 BZW458785:BZX458785 CJS458785:CJT458785 CTO458785:CTP458785 DDK458785:DDL458785 DNG458785:DNH458785 DXC458785:DXD458785 EGY458785:EGZ458785 EQU458785:EQV458785 FAQ458785:FAR458785 FKM458785:FKN458785 FUI458785:FUJ458785 GEE458785:GEF458785 GOA458785:GOB458785 GXW458785:GXX458785 HHS458785:HHT458785 HRO458785:HRP458785 IBK458785:IBL458785 ILG458785:ILH458785 IVC458785:IVD458785 JEY458785:JEZ458785 JOU458785:JOV458785 JYQ458785:JYR458785 KIM458785:KIN458785 KSI458785:KSJ458785 LCE458785:LCF458785 LMA458785:LMB458785 LVW458785:LVX458785 MFS458785:MFT458785 MPO458785:MPP458785 MZK458785:MZL458785 NJG458785:NJH458785 NTC458785:NTD458785 OCY458785:OCZ458785 OMU458785:OMV458785 OWQ458785:OWR458785 PGM458785:PGN458785 PQI458785:PQJ458785 QAE458785:QAF458785 QKA458785:QKB458785 QTW458785:QTX458785 RDS458785:RDT458785 RNO458785:RNP458785 RXK458785:RXL458785 SHG458785:SHH458785 SRC458785:SRD458785 TAY458785:TAZ458785 TKU458785:TKV458785 TUQ458785:TUR458785 UEM458785:UEN458785 UOI458785:UOJ458785 UYE458785:UYF458785 VIA458785:VIB458785 VRW458785:VRX458785 WBS458785:WBT458785 WLO458785:WLP458785 WVK458785:WVL458785 C524321:D524321 IY524321:IZ524321 SU524321:SV524321 ACQ524321:ACR524321 AMM524321:AMN524321 AWI524321:AWJ524321 BGE524321:BGF524321 BQA524321:BQB524321 BZW524321:BZX524321 CJS524321:CJT524321 CTO524321:CTP524321 DDK524321:DDL524321 DNG524321:DNH524321 DXC524321:DXD524321 EGY524321:EGZ524321 EQU524321:EQV524321 FAQ524321:FAR524321 FKM524321:FKN524321 FUI524321:FUJ524321 GEE524321:GEF524321 GOA524321:GOB524321 GXW524321:GXX524321 HHS524321:HHT524321 HRO524321:HRP524321 IBK524321:IBL524321 ILG524321:ILH524321 IVC524321:IVD524321 JEY524321:JEZ524321 JOU524321:JOV524321 JYQ524321:JYR524321 KIM524321:KIN524321 KSI524321:KSJ524321 LCE524321:LCF524321 LMA524321:LMB524321 LVW524321:LVX524321 MFS524321:MFT524321 MPO524321:MPP524321 MZK524321:MZL524321 NJG524321:NJH524321 NTC524321:NTD524321 OCY524321:OCZ524321 OMU524321:OMV524321 OWQ524321:OWR524321 PGM524321:PGN524321 PQI524321:PQJ524321 QAE524321:QAF524321 QKA524321:QKB524321 QTW524321:QTX524321 RDS524321:RDT524321 RNO524321:RNP524321 RXK524321:RXL524321 SHG524321:SHH524321 SRC524321:SRD524321 TAY524321:TAZ524321 TKU524321:TKV524321 TUQ524321:TUR524321 UEM524321:UEN524321 UOI524321:UOJ524321 UYE524321:UYF524321 VIA524321:VIB524321 VRW524321:VRX524321 WBS524321:WBT524321 WLO524321:WLP524321 WVK524321:WVL524321 C589857:D589857 IY589857:IZ589857 SU589857:SV589857 ACQ589857:ACR589857 AMM589857:AMN589857 AWI589857:AWJ589857 BGE589857:BGF589857 BQA589857:BQB589857 BZW589857:BZX589857 CJS589857:CJT589857 CTO589857:CTP589857 DDK589857:DDL589857 DNG589857:DNH589857 DXC589857:DXD589857 EGY589857:EGZ589857 EQU589857:EQV589857 FAQ589857:FAR589857 FKM589857:FKN589857 FUI589857:FUJ589857 GEE589857:GEF589857 GOA589857:GOB589857 GXW589857:GXX589857 HHS589857:HHT589857 HRO589857:HRP589857 IBK589857:IBL589857 ILG589857:ILH589857 IVC589857:IVD589857 JEY589857:JEZ589857 JOU589857:JOV589857 JYQ589857:JYR589857 KIM589857:KIN589857 KSI589857:KSJ589857 LCE589857:LCF589857 LMA589857:LMB589857 LVW589857:LVX589857 MFS589857:MFT589857 MPO589857:MPP589857 MZK589857:MZL589857 NJG589857:NJH589857 NTC589857:NTD589857 OCY589857:OCZ589857 OMU589857:OMV589857 OWQ589857:OWR589857 PGM589857:PGN589857 PQI589857:PQJ589857 QAE589857:QAF589857 QKA589857:QKB589857 QTW589857:QTX589857 RDS589857:RDT589857 RNO589857:RNP589857 RXK589857:RXL589857 SHG589857:SHH589857 SRC589857:SRD589857 TAY589857:TAZ589857 TKU589857:TKV589857 TUQ589857:TUR589857 UEM589857:UEN589857 UOI589857:UOJ589857 UYE589857:UYF589857 VIA589857:VIB589857 VRW589857:VRX589857 WBS589857:WBT589857 WLO589857:WLP589857 WVK589857:WVL589857 C655393:D655393 IY655393:IZ655393 SU655393:SV655393 ACQ655393:ACR655393 AMM655393:AMN655393 AWI655393:AWJ655393 BGE655393:BGF655393 BQA655393:BQB655393 BZW655393:BZX655393 CJS655393:CJT655393 CTO655393:CTP655393 DDK655393:DDL655393 DNG655393:DNH655393 DXC655393:DXD655393 EGY655393:EGZ655393 EQU655393:EQV655393 FAQ655393:FAR655393 FKM655393:FKN655393 FUI655393:FUJ655393 GEE655393:GEF655393 GOA655393:GOB655393 GXW655393:GXX655393 HHS655393:HHT655393 HRO655393:HRP655393 IBK655393:IBL655393 ILG655393:ILH655393 IVC655393:IVD655393 JEY655393:JEZ655393 JOU655393:JOV655393 JYQ655393:JYR655393 KIM655393:KIN655393 KSI655393:KSJ655393 LCE655393:LCF655393 LMA655393:LMB655393 LVW655393:LVX655393 MFS655393:MFT655393 MPO655393:MPP655393 MZK655393:MZL655393 NJG655393:NJH655393 NTC655393:NTD655393 OCY655393:OCZ655393 OMU655393:OMV655393 OWQ655393:OWR655393 PGM655393:PGN655393 PQI655393:PQJ655393 QAE655393:QAF655393 QKA655393:QKB655393 QTW655393:QTX655393 RDS655393:RDT655393 RNO655393:RNP655393 RXK655393:RXL655393 SHG655393:SHH655393 SRC655393:SRD655393 TAY655393:TAZ655393 TKU655393:TKV655393 TUQ655393:TUR655393 UEM655393:UEN655393 UOI655393:UOJ655393 UYE655393:UYF655393 VIA655393:VIB655393 VRW655393:VRX655393 WBS655393:WBT655393 WLO655393:WLP655393 WVK655393:WVL655393 C720929:D720929 IY720929:IZ720929 SU720929:SV720929 ACQ720929:ACR720929 AMM720929:AMN720929 AWI720929:AWJ720929 BGE720929:BGF720929 BQA720929:BQB720929 BZW720929:BZX720929 CJS720929:CJT720929 CTO720929:CTP720929 DDK720929:DDL720929 DNG720929:DNH720929 DXC720929:DXD720929 EGY720929:EGZ720929 EQU720929:EQV720929 FAQ720929:FAR720929 FKM720929:FKN720929 FUI720929:FUJ720929 GEE720929:GEF720929 GOA720929:GOB720929 GXW720929:GXX720929 HHS720929:HHT720929 HRO720929:HRP720929 IBK720929:IBL720929 ILG720929:ILH720929 IVC720929:IVD720929 JEY720929:JEZ720929 JOU720929:JOV720929 JYQ720929:JYR720929 KIM720929:KIN720929 KSI720929:KSJ720929 LCE720929:LCF720929 LMA720929:LMB720929 LVW720929:LVX720929 MFS720929:MFT720929 MPO720929:MPP720929 MZK720929:MZL720929 NJG720929:NJH720929 NTC720929:NTD720929 OCY720929:OCZ720929 OMU720929:OMV720929 OWQ720929:OWR720929 PGM720929:PGN720929 PQI720929:PQJ720929 QAE720929:QAF720929 QKA720929:QKB720929 QTW720929:QTX720929 RDS720929:RDT720929 RNO720929:RNP720929 RXK720929:RXL720929 SHG720929:SHH720929 SRC720929:SRD720929 TAY720929:TAZ720929 TKU720929:TKV720929 TUQ720929:TUR720929 UEM720929:UEN720929 UOI720929:UOJ720929 UYE720929:UYF720929 VIA720929:VIB720929 VRW720929:VRX720929 WBS720929:WBT720929 WLO720929:WLP720929 WVK720929:WVL720929 C786465:D786465 IY786465:IZ786465 SU786465:SV786465 ACQ786465:ACR786465 AMM786465:AMN786465 AWI786465:AWJ786465 BGE786465:BGF786465 BQA786465:BQB786465 BZW786465:BZX786465 CJS786465:CJT786465 CTO786465:CTP786465 DDK786465:DDL786465 DNG786465:DNH786465 DXC786465:DXD786465 EGY786465:EGZ786465 EQU786465:EQV786465 FAQ786465:FAR786465 FKM786465:FKN786465 FUI786465:FUJ786465 GEE786465:GEF786465 GOA786465:GOB786465 GXW786465:GXX786465 HHS786465:HHT786465 HRO786465:HRP786465 IBK786465:IBL786465 ILG786465:ILH786465 IVC786465:IVD786465 JEY786465:JEZ786465 JOU786465:JOV786465 JYQ786465:JYR786465 KIM786465:KIN786465 KSI786465:KSJ786465 LCE786465:LCF786465 LMA786465:LMB786465 LVW786465:LVX786465 MFS786465:MFT786465 MPO786465:MPP786465 MZK786465:MZL786465 NJG786465:NJH786465 NTC786465:NTD786465 OCY786465:OCZ786465 OMU786465:OMV786465 OWQ786465:OWR786465 PGM786465:PGN786465 PQI786465:PQJ786465 QAE786465:QAF786465 QKA786465:QKB786465 QTW786465:QTX786465 RDS786465:RDT786465 RNO786465:RNP786465 RXK786465:RXL786465 SHG786465:SHH786465 SRC786465:SRD786465 TAY786465:TAZ786465 TKU786465:TKV786465 TUQ786465:TUR786465 UEM786465:UEN786465 UOI786465:UOJ786465 UYE786465:UYF786465 VIA786465:VIB786465 VRW786465:VRX786465 WBS786465:WBT786465 WLO786465:WLP786465 WVK786465:WVL786465 C852001:D852001 IY852001:IZ852001 SU852001:SV852001 ACQ852001:ACR852001 AMM852001:AMN852001 AWI852001:AWJ852001 BGE852001:BGF852001 BQA852001:BQB852001 BZW852001:BZX852001 CJS852001:CJT852001 CTO852001:CTP852001 DDK852001:DDL852001 DNG852001:DNH852001 DXC852001:DXD852001 EGY852001:EGZ852001 EQU852001:EQV852001 FAQ852001:FAR852001 FKM852001:FKN852001 FUI852001:FUJ852001 GEE852001:GEF852001 GOA852001:GOB852001 GXW852001:GXX852001 HHS852001:HHT852001 HRO852001:HRP852001 IBK852001:IBL852001 ILG852001:ILH852001 IVC852001:IVD852001 JEY852001:JEZ852001 JOU852001:JOV852001 JYQ852001:JYR852001 KIM852001:KIN852001 KSI852001:KSJ852001 LCE852001:LCF852001 LMA852001:LMB852001 LVW852001:LVX852001 MFS852001:MFT852001 MPO852001:MPP852001 MZK852001:MZL852001 NJG852001:NJH852001 NTC852001:NTD852001 OCY852001:OCZ852001 OMU852001:OMV852001 OWQ852001:OWR852001 PGM852001:PGN852001 PQI852001:PQJ852001 QAE852001:QAF852001 QKA852001:QKB852001 QTW852001:QTX852001 RDS852001:RDT852001 RNO852001:RNP852001 RXK852001:RXL852001 SHG852001:SHH852001 SRC852001:SRD852001 TAY852001:TAZ852001 TKU852001:TKV852001 TUQ852001:TUR852001 UEM852001:UEN852001 UOI852001:UOJ852001 UYE852001:UYF852001 VIA852001:VIB852001 VRW852001:VRX852001 WBS852001:WBT852001 WLO852001:WLP852001 WVK852001:WVL852001 C917537:D917537 IY917537:IZ917537 SU917537:SV917537 ACQ917537:ACR917537 AMM917537:AMN917537 AWI917537:AWJ917537 BGE917537:BGF917537 BQA917537:BQB917537 BZW917537:BZX917537 CJS917537:CJT917537 CTO917537:CTP917537 DDK917537:DDL917537 DNG917537:DNH917537 DXC917537:DXD917537 EGY917537:EGZ917537 EQU917537:EQV917537 FAQ917537:FAR917537 FKM917537:FKN917537 FUI917537:FUJ917537 GEE917537:GEF917537 GOA917537:GOB917537 GXW917537:GXX917537 HHS917537:HHT917537 HRO917537:HRP917537 IBK917537:IBL917537 ILG917537:ILH917537 IVC917537:IVD917537 JEY917537:JEZ917537 JOU917537:JOV917537 JYQ917537:JYR917537 KIM917537:KIN917537 KSI917537:KSJ917537 LCE917537:LCF917537 LMA917537:LMB917537 LVW917537:LVX917537 MFS917537:MFT917537 MPO917537:MPP917537 MZK917537:MZL917537 NJG917537:NJH917537 NTC917537:NTD917537 OCY917537:OCZ917537 OMU917537:OMV917537 OWQ917537:OWR917537 PGM917537:PGN917537 PQI917537:PQJ917537 QAE917537:QAF917537 QKA917537:QKB917537 QTW917537:QTX917537 RDS917537:RDT917537 RNO917537:RNP917537 RXK917537:RXL917537 SHG917537:SHH917537 SRC917537:SRD917537 TAY917537:TAZ917537 TKU917537:TKV917537 TUQ917537:TUR917537 UEM917537:UEN917537 UOI917537:UOJ917537 UYE917537:UYF917537 VIA917537:VIB917537 VRW917537:VRX917537 WBS917537:WBT917537 WLO917537:WLP917537 WVK917537:WVL917537 C983073:D983073 IY983073:IZ983073 SU983073:SV983073 ACQ983073:ACR983073 AMM983073:AMN983073 AWI983073:AWJ983073 BGE983073:BGF983073 BQA983073:BQB983073 BZW983073:BZX983073 CJS983073:CJT983073 CTO983073:CTP983073 DDK983073:DDL983073 DNG983073:DNH983073 DXC983073:DXD983073 EGY983073:EGZ983073 EQU983073:EQV983073 FAQ983073:FAR983073 FKM983073:FKN983073 FUI983073:FUJ983073 GEE983073:GEF983073 GOA983073:GOB983073 GXW983073:GXX983073 HHS983073:HHT983073 HRO983073:HRP983073 IBK983073:IBL983073 ILG983073:ILH983073 IVC983073:IVD983073 JEY983073:JEZ983073 JOU983073:JOV983073 JYQ983073:JYR983073 KIM983073:KIN983073 KSI983073:KSJ983073 LCE983073:LCF983073 LMA983073:LMB983073 LVW983073:LVX983073 MFS983073:MFT983073 MPO983073:MPP983073 MZK983073:MZL983073 NJG983073:NJH983073 NTC983073:NTD983073 OCY983073:OCZ983073 OMU983073:OMV983073 OWQ983073:OWR983073 PGM983073:PGN983073 PQI983073:PQJ983073 QAE983073:QAF983073 QKA983073:QKB983073 QTW983073:QTX983073 RDS983073:RDT983073 RNO983073:RNP983073 RXK983073:RXL983073 SHG983073:SHH983073 SRC983073:SRD983073 TAY983073:TAZ983073 TKU983073:TKV983073 TUQ983073:TUR983073 UEM983073:UEN983073 UOI983073:UOJ983073 UYE983073:UYF983073 VIA983073:VIB983073 VRW983073:VRX983073 WBS983073:WBT983073 WLO983073:WLP983073 WVK983073:WVL983073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66" orientation="portrait" r:id="rId1"/>
  <headerFooter alignWithMargins="0"/>
  <rowBreaks count="2" manualBreakCount="2">
    <brk id="58" max="4" man="1"/>
    <brk id="96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09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26" t="s">
        <v>9</v>
      </c>
      <c r="B1" s="726"/>
      <c r="C1" s="726"/>
      <c r="D1" s="726"/>
    </row>
    <row r="4" spans="1:4" x14ac:dyDescent="0.25">
      <c r="A4" s="1" t="s">
        <v>487</v>
      </c>
    </row>
    <row r="5" spans="1:4" x14ac:dyDescent="0.25">
      <c r="A5" s="1" t="s">
        <v>488</v>
      </c>
    </row>
    <row r="6" spans="1:4" x14ac:dyDescent="0.25">
      <c r="C6" s="5" t="s">
        <v>10</v>
      </c>
      <c r="D6" s="6" t="s">
        <v>11</v>
      </c>
    </row>
    <row r="7" spans="1:4" ht="12.75" x14ac:dyDescent="0.2">
      <c r="A7" s="727" t="s">
        <v>12</v>
      </c>
      <c r="B7" s="727"/>
      <c r="C7" s="727"/>
      <c r="D7" s="727"/>
    </row>
    <row r="8" spans="1:4" ht="12.75" x14ac:dyDescent="0.2">
      <c r="A8" s="7" t="s">
        <v>13</v>
      </c>
      <c r="B8" s="8" t="s">
        <v>14</v>
      </c>
      <c r="C8" s="728">
        <v>41094</v>
      </c>
      <c r="D8" s="725"/>
    </row>
    <row r="9" spans="1:4" ht="12.75" x14ac:dyDescent="0.2">
      <c r="A9" s="7" t="s">
        <v>15</v>
      </c>
      <c r="B9" s="8" t="s">
        <v>16</v>
      </c>
      <c r="C9" s="729" t="s">
        <v>17</v>
      </c>
      <c r="D9" s="729"/>
    </row>
    <row r="10" spans="1:4" ht="12.75" x14ac:dyDescent="0.2">
      <c r="A10" s="7" t="s">
        <v>18</v>
      </c>
      <c r="B10" s="8" t="s">
        <v>19</v>
      </c>
      <c r="C10" s="728" t="s">
        <v>490</v>
      </c>
      <c r="D10" s="725"/>
    </row>
    <row r="11" spans="1:4" ht="12.75" x14ac:dyDescent="0.2">
      <c r="A11" s="7" t="s">
        <v>20</v>
      </c>
      <c r="B11" s="8" t="s">
        <v>21</v>
      </c>
      <c r="C11" s="724" t="s">
        <v>0</v>
      </c>
      <c r="D11" s="725"/>
    </row>
    <row r="13" spans="1:4" ht="12.75" x14ac:dyDescent="0.2">
      <c r="A13" s="727" t="s">
        <v>22</v>
      </c>
      <c r="B13" s="727"/>
      <c r="C13" s="727"/>
      <c r="D13" s="727"/>
    </row>
    <row r="14" spans="1:4" ht="12.75" x14ac:dyDescent="0.2">
      <c r="A14" s="731" t="s">
        <v>23</v>
      </c>
      <c r="B14" s="731"/>
      <c r="C14" s="724" t="s">
        <v>502</v>
      </c>
      <c r="D14" s="725"/>
    </row>
    <row r="15" spans="1:4" ht="12.75" x14ac:dyDescent="0.2">
      <c r="A15" s="731" t="s">
        <v>24</v>
      </c>
      <c r="B15" s="731"/>
      <c r="C15" s="724" t="s">
        <v>25</v>
      </c>
      <c r="D15" s="725"/>
    </row>
    <row r="16" spans="1:4" ht="12.75" x14ac:dyDescent="0.2">
      <c r="A16" s="731" t="s">
        <v>26</v>
      </c>
      <c r="B16" s="731"/>
      <c r="C16" s="725">
        <v>1</v>
      </c>
      <c r="D16" s="725"/>
    </row>
    <row r="17" spans="1:5" ht="12.75" x14ac:dyDescent="0.2">
      <c r="A17" s="732" t="s">
        <v>27</v>
      </c>
      <c r="B17" s="733"/>
      <c r="C17" s="725" t="s">
        <v>28</v>
      </c>
      <c r="D17" s="725"/>
    </row>
    <row r="18" spans="1:5" x14ac:dyDescent="0.25">
      <c r="A18" s="10"/>
    </row>
    <row r="19" spans="1:5" ht="12.75" x14ac:dyDescent="0.2">
      <c r="A19" s="726" t="s">
        <v>29</v>
      </c>
      <c r="B19" s="726"/>
      <c r="C19" s="726"/>
      <c r="D19" s="726"/>
    </row>
    <row r="20" spans="1:5" ht="12.75" x14ac:dyDescent="0.2">
      <c r="A20" s="736" t="s">
        <v>30</v>
      </c>
      <c r="B20" s="736"/>
      <c r="C20" s="736"/>
      <c r="D20" s="736"/>
    </row>
    <row r="21" spans="1:5" ht="12.75" x14ac:dyDescent="0.2">
      <c r="A21" s="737" t="s">
        <v>31</v>
      </c>
      <c r="B21" s="738"/>
      <c r="C21" s="738"/>
      <c r="D21" s="739"/>
    </row>
    <row r="22" spans="1:5" ht="12.75" x14ac:dyDescent="0.2">
      <c r="A22" s="7">
        <v>1</v>
      </c>
      <c r="B22" s="8" t="s">
        <v>32</v>
      </c>
      <c r="C22" s="724" t="s">
        <v>489</v>
      </c>
      <c r="D22" s="725"/>
    </row>
    <row r="23" spans="1:5" x14ac:dyDescent="0.25">
      <c r="A23" s="43">
        <v>2</v>
      </c>
      <c r="B23" s="526" t="s">
        <v>33</v>
      </c>
      <c r="C23" s="769">
        <f>'REPACTUAÇÃO SIEMACO 2013'!J9</f>
        <v>962.38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2013'!J9</f>
        <v>962.38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5" x14ac:dyDescent="0.25">
      <c r="A33" s="43" t="s">
        <v>45</v>
      </c>
      <c r="B33" s="526" t="s">
        <v>46</v>
      </c>
      <c r="C33" s="539"/>
      <c r="D33" s="535"/>
      <c r="E33" s="536"/>
    </row>
    <row r="34" spans="1:5" x14ac:dyDescent="0.25">
      <c r="A34" s="43" t="s">
        <v>47</v>
      </c>
      <c r="B34" s="526" t="s">
        <v>48</v>
      </c>
      <c r="C34" s="534"/>
      <c r="D34" s="535"/>
      <c r="E34" s="538"/>
    </row>
    <row r="35" spans="1:5" x14ac:dyDescent="0.25">
      <c r="A35" s="43" t="s">
        <v>49</v>
      </c>
      <c r="B35" s="526" t="s">
        <v>50</v>
      </c>
      <c r="C35" s="539"/>
      <c r="D35" s="535"/>
      <c r="E35" s="536"/>
    </row>
    <row r="36" spans="1:5" x14ac:dyDescent="0.25">
      <c r="A36" s="43" t="s">
        <v>51</v>
      </c>
      <c r="B36" s="526" t="s">
        <v>52</v>
      </c>
      <c r="C36" s="534"/>
      <c r="D36" s="535">
        <v>0</v>
      </c>
      <c r="E36" s="527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40" t="s">
        <v>632</v>
      </c>
      <c r="B38" s="541" t="s">
        <v>633</v>
      </c>
      <c r="C38" s="534"/>
      <c r="D38" s="535">
        <f>D29*0.05</f>
        <v>48.119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1010.5</v>
      </c>
      <c r="E39" s="527"/>
    </row>
    <row r="40" spans="1:5" x14ac:dyDescent="0.25">
      <c r="A40" s="543"/>
      <c r="B40" s="543"/>
      <c r="C40" s="544"/>
      <c r="D40" s="545"/>
      <c r="E40" s="527"/>
    </row>
    <row r="41" spans="1:5" ht="12.75" x14ac:dyDescent="0.2">
      <c r="A41" s="773" t="s">
        <v>56</v>
      </c>
      <c r="B41" s="774"/>
      <c r="C41" s="774"/>
      <c r="D41" s="775"/>
      <c r="E41" s="527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87.46</v>
      </c>
      <c r="E43" s="548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385.46</v>
      </c>
      <c r="E49" s="527"/>
    </row>
    <row r="50" spans="1:5" ht="13.5" customHeight="1" x14ac:dyDescent="0.25">
      <c r="A50" s="552"/>
      <c r="B50" s="543"/>
      <c r="C50" s="544"/>
      <c r="D50" s="545"/>
      <c r="E50" s="527"/>
    </row>
    <row r="51" spans="1:5" ht="13.5" customHeight="1" x14ac:dyDescent="0.2">
      <c r="A51" s="773" t="s">
        <v>66</v>
      </c>
      <c r="B51" s="774"/>
      <c r="C51" s="774"/>
      <c r="D51" s="775"/>
      <c r="E51" s="527"/>
    </row>
    <row r="52" spans="1:5" ht="13.5" customHeight="1" x14ac:dyDescent="0.2">
      <c r="A52" s="530">
        <v>3</v>
      </c>
      <c r="B52" s="546" t="s">
        <v>67</v>
      </c>
      <c r="C52" s="532"/>
      <c r="D52" s="533" t="s">
        <v>40</v>
      </c>
      <c r="E52" s="527"/>
    </row>
    <row r="53" spans="1:5" x14ac:dyDescent="0.25">
      <c r="A53" s="7" t="s">
        <v>13</v>
      </c>
      <c r="B53" s="8" t="s">
        <v>69</v>
      </c>
      <c r="C53" s="161">
        <f>'Uniforme 2'!D10</f>
        <v>41.333333333333336</v>
      </c>
      <c r="D53" s="18">
        <f>ROUND(C53*$C$29,2)</f>
        <v>41.33</v>
      </c>
    </row>
    <row r="54" spans="1:5" x14ac:dyDescent="0.25">
      <c r="A54" s="7" t="s">
        <v>15</v>
      </c>
      <c r="B54" s="32" t="s">
        <v>67</v>
      </c>
      <c r="C54" s="161">
        <v>32</v>
      </c>
      <c r="D54" s="18"/>
      <c r="E54" s="28"/>
    </row>
    <row r="55" spans="1:5" x14ac:dyDescent="0.25">
      <c r="A55" s="7" t="s">
        <v>18</v>
      </c>
      <c r="B55" s="8" t="s">
        <v>71</v>
      </c>
      <c r="C55" s="161">
        <f>'Mat Jard'!B27</f>
        <v>30.451666666666668</v>
      </c>
      <c r="D55" s="18"/>
    </row>
    <row r="56" spans="1:5" x14ac:dyDescent="0.25">
      <c r="A56" s="7" t="s">
        <v>20</v>
      </c>
      <c r="B56" s="32" t="s">
        <v>72</v>
      </c>
      <c r="C56" s="161">
        <f>Epis!D11</f>
        <v>16.010000000000002</v>
      </c>
      <c r="D56" s="18"/>
      <c r="E56" s="28"/>
    </row>
    <row r="57" spans="1:5" x14ac:dyDescent="0.25">
      <c r="A57" s="744" t="s">
        <v>73</v>
      </c>
      <c r="B57" s="745"/>
      <c r="C57" s="29"/>
      <c r="D57" s="23">
        <f>ROUND(SUM(D53:D56),2)</f>
        <v>41.33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202.1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15.16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10.11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2.02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25.26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80.84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30.32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6.06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371.87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84.17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28.06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112.23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41.3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153.53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1.01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0.08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8.08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19.600000000000001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7.21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44.66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80.64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84.17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2.4300000000000002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0.2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1.41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0.4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0.2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88.82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32.69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121.51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153.53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371.86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80.66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121.51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727.57</v>
      </c>
    </row>
    <row r="106" spans="1:5" x14ac:dyDescent="0.25">
      <c r="D106" s="42">
        <f>ROUND(D105+D57+D49+D39,2)</f>
        <v>2164.86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21.65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41.32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190.32</v>
      </c>
      <c r="F113" s="61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75.13</v>
      </c>
      <c r="F114" s="62">
        <f>ROUND(D115+D108+D106,2)</f>
        <v>2197.44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10.93</v>
      </c>
      <c r="F115" s="63">
        <f>ROUND(F114/(1-F113),2)</f>
        <v>2504.21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339.35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1010.5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385.46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41.33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727.57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2164.86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339.35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2504.21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2504.21</v>
      </c>
      <c r="E130" s="49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2504.21</v>
      </c>
      <c r="E132" s="49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2504.21</v>
      </c>
      <c r="E134" s="49"/>
      <c r="F134" s="64"/>
    </row>
    <row r="135" spans="1:9" ht="18.75" x14ac:dyDescent="0.3">
      <c r="E135" s="49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7" t="s">
        <v>13</v>
      </c>
      <c r="B137" s="731" t="s">
        <v>149</v>
      </c>
      <c r="C137" s="731"/>
      <c r="D137" s="18">
        <f>D130</f>
        <v>2504.21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2504.21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30050.52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4" sqref="E4"/>
    </sheetView>
  </sheetViews>
  <sheetFormatPr defaultRowHeight="15" x14ac:dyDescent="0.25"/>
  <cols>
    <col min="1" max="1" width="32.42578125" customWidth="1"/>
    <col min="2" max="2" width="16.5703125" customWidth="1"/>
    <col min="5" max="5" width="11" customWidth="1"/>
  </cols>
  <sheetData>
    <row r="1" spans="1:5" ht="24.75" thickBot="1" x14ac:dyDescent="0.3">
      <c r="A1" s="73" t="s">
        <v>171</v>
      </c>
      <c r="B1" s="74" t="s">
        <v>24</v>
      </c>
      <c r="C1" s="74" t="s">
        <v>172</v>
      </c>
      <c r="D1" s="74" t="s">
        <v>173</v>
      </c>
      <c r="E1" s="74" t="s">
        <v>174</v>
      </c>
    </row>
    <row r="2" spans="1:5" ht="15.75" thickBot="1" x14ac:dyDescent="0.3">
      <c r="A2" s="75" t="s">
        <v>175</v>
      </c>
      <c r="B2" s="72" t="s">
        <v>176</v>
      </c>
      <c r="C2" s="72">
        <v>30</v>
      </c>
      <c r="D2" s="76">
        <v>2.65</v>
      </c>
      <c r="E2" s="76">
        <f>D2*C2</f>
        <v>79.5</v>
      </c>
    </row>
    <row r="3" spans="1:5" ht="15.75" thickBot="1" x14ac:dyDescent="0.3">
      <c r="A3" s="75" t="s">
        <v>341</v>
      </c>
      <c r="B3" s="72" t="s">
        <v>176</v>
      </c>
      <c r="C3" s="72">
        <v>1</v>
      </c>
      <c r="D3" s="76">
        <v>20</v>
      </c>
      <c r="E3" s="76">
        <f>D3*C3</f>
        <v>20</v>
      </c>
    </row>
    <row r="4" spans="1:5" ht="26.25" thickBot="1" x14ac:dyDescent="0.3">
      <c r="A4" s="77" t="s">
        <v>177</v>
      </c>
      <c r="B4" s="78"/>
      <c r="C4" s="78"/>
      <c r="D4" s="79"/>
      <c r="E4" s="80">
        <f>SUM(E2:E3)</f>
        <v>99.5</v>
      </c>
    </row>
    <row r="5" spans="1:5" ht="15.75" thickBot="1" x14ac:dyDescent="0.3"/>
    <row r="6" spans="1:5" ht="24.75" thickBot="1" x14ac:dyDescent="0.3">
      <c r="A6" s="73" t="s">
        <v>171</v>
      </c>
      <c r="B6" s="74" t="s">
        <v>24</v>
      </c>
      <c r="C6" s="74" t="s">
        <v>172</v>
      </c>
      <c r="D6" s="74" t="s">
        <v>173</v>
      </c>
      <c r="E6" s="74" t="s">
        <v>174</v>
      </c>
    </row>
    <row r="7" spans="1:5" ht="48.75" thickBot="1" x14ac:dyDescent="0.3">
      <c r="A7" s="75" t="s">
        <v>178</v>
      </c>
      <c r="B7" s="72" t="s">
        <v>179</v>
      </c>
      <c r="C7" s="72">
        <v>1</v>
      </c>
      <c r="D7" s="76">
        <v>1500</v>
      </c>
      <c r="E7" s="76">
        <f>D7*C7</f>
        <v>1500</v>
      </c>
    </row>
    <row r="8" spans="1:5" ht="24.75" thickBot="1" x14ac:dyDescent="0.3">
      <c r="A8" s="75" t="s">
        <v>180</v>
      </c>
      <c r="B8" s="72" t="s">
        <v>179</v>
      </c>
      <c r="C8" s="72">
        <v>1</v>
      </c>
      <c r="D8" s="76">
        <v>500</v>
      </c>
      <c r="E8" s="76">
        <f t="shared" ref="E8:E26" si="0">D8*C8</f>
        <v>500</v>
      </c>
    </row>
    <row r="9" spans="1:5" ht="15.75" thickBot="1" x14ac:dyDescent="0.3">
      <c r="A9" s="75" t="s">
        <v>181</v>
      </c>
      <c r="B9" s="72" t="s">
        <v>179</v>
      </c>
      <c r="C9" s="72">
        <v>5</v>
      </c>
      <c r="D9" s="76">
        <v>7</v>
      </c>
      <c r="E9" s="76">
        <f t="shared" si="0"/>
        <v>35</v>
      </c>
    </row>
    <row r="10" spans="1:5" ht="15.75" thickBot="1" x14ac:dyDescent="0.3">
      <c r="A10" s="75" t="s">
        <v>182</v>
      </c>
      <c r="B10" s="72" t="s">
        <v>179</v>
      </c>
      <c r="C10" s="72">
        <v>5</v>
      </c>
      <c r="D10" s="76">
        <v>20</v>
      </c>
      <c r="E10" s="76">
        <f t="shared" si="0"/>
        <v>100</v>
      </c>
    </row>
    <row r="11" spans="1:5" ht="15.75" thickBot="1" x14ac:dyDescent="0.3">
      <c r="A11" s="75" t="s">
        <v>183</v>
      </c>
      <c r="B11" s="72" t="s">
        <v>179</v>
      </c>
      <c r="C11" s="72">
        <v>1</v>
      </c>
      <c r="D11" s="76">
        <v>90</v>
      </c>
      <c r="E11" s="76">
        <f t="shared" si="0"/>
        <v>90</v>
      </c>
    </row>
    <row r="12" spans="1:5" ht="15.75" thickBot="1" x14ac:dyDescent="0.3">
      <c r="A12" s="75" t="s">
        <v>184</v>
      </c>
      <c r="B12" s="72" t="s">
        <v>179</v>
      </c>
      <c r="C12" s="72">
        <v>1</v>
      </c>
      <c r="D12" s="76">
        <v>37</v>
      </c>
      <c r="E12" s="76">
        <f t="shared" si="0"/>
        <v>37</v>
      </c>
    </row>
    <row r="13" spans="1:5" ht="15.75" thickBot="1" x14ac:dyDescent="0.3">
      <c r="A13" s="75" t="s">
        <v>185</v>
      </c>
      <c r="B13" s="72" t="s">
        <v>179</v>
      </c>
      <c r="C13" s="72">
        <v>1</v>
      </c>
      <c r="D13" s="76">
        <v>40</v>
      </c>
      <c r="E13" s="76">
        <f t="shared" si="0"/>
        <v>40</v>
      </c>
    </row>
    <row r="14" spans="1:5" ht="15.75" thickBot="1" x14ac:dyDescent="0.3">
      <c r="A14" s="75" t="s">
        <v>186</v>
      </c>
      <c r="B14" s="72" t="s">
        <v>179</v>
      </c>
      <c r="C14" s="72">
        <v>1</v>
      </c>
      <c r="D14" s="76">
        <v>18</v>
      </c>
      <c r="E14" s="76">
        <f t="shared" si="0"/>
        <v>18</v>
      </c>
    </row>
    <row r="15" spans="1:5" ht="15.75" thickBot="1" x14ac:dyDescent="0.3">
      <c r="A15" s="75" t="s">
        <v>187</v>
      </c>
      <c r="B15" s="72" t="s">
        <v>179</v>
      </c>
      <c r="C15" s="72">
        <v>1</v>
      </c>
      <c r="D15" s="76">
        <v>18</v>
      </c>
      <c r="E15" s="76">
        <f t="shared" si="0"/>
        <v>18</v>
      </c>
    </row>
    <row r="16" spans="1:5" ht="15.75" thickBot="1" x14ac:dyDescent="0.3">
      <c r="A16" s="75" t="s">
        <v>188</v>
      </c>
      <c r="B16" s="72" t="s">
        <v>179</v>
      </c>
      <c r="C16" s="72">
        <v>1</v>
      </c>
      <c r="D16" s="76">
        <v>18</v>
      </c>
      <c r="E16" s="76">
        <f t="shared" si="0"/>
        <v>18</v>
      </c>
    </row>
    <row r="17" spans="1:5" ht="15.75" thickBot="1" x14ac:dyDescent="0.3">
      <c r="A17" s="75" t="s">
        <v>189</v>
      </c>
      <c r="B17" s="72" t="s">
        <v>179</v>
      </c>
      <c r="C17" s="72">
        <v>1</v>
      </c>
      <c r="D17" s="76">
        <v>20</v>
      </c>
      <c r="E17" s="76">
        <f t="shared" si="0"/>
        <v>20</v>
      </c>
    </row>
    <row r="18" spans="1:5" ht="15.75" thickBot="1" x14ac:dyDescent="0.3">
      <c r="A18" s="75" t="s">
        <v>190</v>
      </c>
      <c r="B18" s="72" t="s">
        <v>179</v>
      </c>
      <c r="C18" s="72">
        <v>1</v>
      </c>
      <c r="D18" s="76">
        <v>125</v>
      </c>
      <c r="E18" s="76">
        <f t="shared" si="0"/>
        <v>125</v>
      </c>
    </row>
    <row r="19" spans="1:5" ht="24.75" thickBot="1" x14ac:dyDescent="0.3">
      <c r="A19" s="75" t="s">
        <v>191</v>
      </c>
      <c r="B19" s="72" t="s">
        <v>179</v>
      </c>
      <c r="C19" s="72">
        <v>2</v>
      </c>
      <c r="D19" s="76">
        <f>4*50</f>
        <v>200</v>
      </c>
      <c r="E19" s="76">
        <f t="shared" si="0"/>
        <v>400</v>
      </c>
    </row>
    <row r="20" spans="1:5" ht="15.75" thickBot="1" x14ac:dyDescent="0.3">
      <c r="A20" s="75" t="s">
        <v>192</v>
      </c>
      <c r="B20" s="72" t="s">
        <v>179</v>
      </c>
      <c r="C20" s="72">
        <v>1</v>
      </c>
      <c r="D20" s="76">
        <v>25</v>
      </c>
      <c r="E20" s="76">
        <f t="shared" si="0"/>
        <v>25</v>
      </c>
    </row>
    <row r="21" spans="1:5" ht="15.75" thickBot="1" x14ac:dyDescent="0.3">
      <c r="A21" s="75" t="s">
        <v>193</v>
      </c>
      <c r="B21" s="72" t="s">
        <v>179</v>
      </c>
      <c r="C21" s="72">
        <v>1</v>
      </c>
      <c r="D21" s="76">
        <v>25</v>
      </c>
      <c r="E21" s="76">
        <f t="shared" si="0"/>
        <v>25</v>
      </c>
    </row>
    <row r="22" spans="1:5" ht="15.75" thickBot="1" x14ac:dyDescent="0.3">
      <c r="A22" s="75" t="s">
        <v>194</v>
      </c>
      <c r="B22" s="72" t="s">
        <v>179</v>
      </c>
      <c r="C22" s="72">
        <v>1</v>
      </c>
      <c r="D22" s="76">
        <v>35</v>
      </c>
      <c r="E22" s="76">
        <f t="shared" si="0"/>
        <v>35</v>
      </c>
    </row>
    <row r="23" spans="1:5" ht="15.75" thickBot="1" x14ac:dyDescent="0.3">
      <c r="A23" s="75" t="s">
        <v>195</v>
      </c>
      <c r="B23" s="72" t="s">
        <v>179</v>
      </c>
      <c r="C23" s="72">
        <v>1</v>
      </c>
      <c r="D23" s="76">
        <v>65</v>
      </c>
      <c r="E23" s="76">
        <f t="shared" si="0"/>
        <v>65</v>
      </c>
    </row>
    <row r="24" spans="1:5" ht="24.75" thickBot="1" x14ac:dyDescent="0.3">
      <c r="A24" s="75" t="s">
        <v>196</v>
      </c>
      <c r="B24" s="72" t="s">
        <v>179</v>
      </c>
      <c r="C24" s="72">
        <v>1</v>
      </c>
      <c r="D24" s="76">
        <v>35</v>
      </c>
      <c r="E24" s="76">
        <f t="shared" si="0"/>
        <v>35</v>
      </c>
    </row>
    <row r="25" spans="1:5" ht="15.75" thickBot="1" x14ac:dyDescent="0.3">
      <c r="A25" s="75" t="s">
        <v>197</v>
      </c>
      <c r="B25" s="72" t="s">
        <v>198</v>
      </c>
      <c r="C25" s="72">
        <v>1</v>
      </c>
      <c r="D25" s="76">
        <v>30</v>
      </c>
      <c r="E25" s="76">
        <f t="shared" si="0"/>
        <v>30</v>
      </c>
    </row>
    <row r="26" spans="1:5" ht="15.75" thickBot="1" x14ac:dyDescent="0.3">
      <c r="A26" s="75" t="s">
        <v>199</v>
      </c>
      <c r="B26" s="72" t="s">
        <v>198</v>
      </c>
      <c r="C26" s="72">
        <v>1</v>
      </c>
      <c r="D26" s="76">
        <v>45</v>
      </c>
      <c r="E26" s="76">
        <f t="shared" si="0"/>
        <v>45</v>
      </c>
    </row>
    <row r="27" spans="1:5" ht="15.75" thickBot="1" x14ac:dyDescent="0.3">
      <c r="A27" s="81" t="s">
        <v>200</v>
      </c>
      <c r="B27" s="82"/>
      <c r="C27" s="82"/>
      <c r="D27" s="82"/>
      <c r="E27" s="83">
        <f>SUM(E7:E26)</f>
        <v>3161</v>
      </c>
    </row>
    <row r="30" spans="1:5" ht="15.75" thickBot="1" x14ac:dyDescent="0.3"/>
    <row r="31" spans="1:5" ht="45.75" thickBot="1" x14ac:dyDescent="0.3">
      <c r="A31" s="84" t="s">
        <v>201</v>
      </c>
      <c r="B31" s="85">
        <f>E27*0.5%</f>
        <v>15.805</v>
      </c>
    </row>
    <row r="32" spans="1:5" ht="45.75" thickBot="1" x14ac:dyDescent="0.3">
      <c r="A32" s="86" t="s">
        <v>202</v>
      </c>
      <c r="B32" s="87">
        <f>E27*0.8/60</f>
        <v>42.146666666666668</v>
      </c>
    </row>
    <row r="33" spans="1:2" ht="15.75" thickBot="1" x14ac:dyDescent="0.3">
      <c r="A33" s="86" t="s">
        <v>203</v>
      </c>
      <c r="B33" s="88">
        <v>1</v>
      </c>
    </row>
    <row r="34" spans="1:2" ht="30.75" thickBot="1" x14ac:dyDescent="0.3">
      <c r="A34" s="89" t="s">
        <v>177</v>
      </c>
      <c r="B34" s="90">
        <f>SUM(B31:B32)</f>
        <v>57.951666666666668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28" sqref="K28"/>
    </sheetView>
  </sheetViews>
  <sheetFormatPr defaultRowHeight="15" x14ac:dyDescent="0.25"/>
  <cols>
    <col min="1" max="1" width="40.5703125" bestFit="1" customWidth="1"/>
    <col min="2" max="2" width="16.7109375" bestFit="1" customWidth="1"/>
    <col min="3" max="3" width="6.140625" bestFit="1" customWidth="1"/>
    <col min="4" max="4" width="11.5703125" customWidth="1"/>
    <col min="5" max="5" width="14.5703125" customWidth="1"/>
  </cols>
  <sheetData>
    <row r="1" spans="1:6" ht="15.75" thickBot="1" x14ac:dyDescent="0.3">
      <c r="A1" s="73" t="s">
        <v>171</v>
      </c>
      <c r="B1" s="74" t="s">
        <v>24</v>
      </c>
      <c r="C1" s="74" t="s">
        <v>172</v>
      </c>
      <c r="D1" s="74" t="s">
        <v>173</v>
      </c>
      <c r="E1" s="74" t="s">
        <v>174</v>
      </c>
    </row>
    <row r="2" spans="1:6" ht="15.75" thickBot="1" x14ac:dyDescent="0.3">
      <c r="A2" s="75" t="s">
        <v>180</v>
      </c>
      <c r="B2" s="72" t="s">
        <v>179</v>
      </c>
      <c r="C2" s="72">
        <v>1</v>
      </c>
      <c r="D2" s="76">
        <v>500</v>
      </c>
      <c r="E2" s="76">
        <f>D2*C2</f>
        <v>500</v>
      </c>
      <c r="F2" s="160"/>
    </row>
    <row r="3" spans="1:6" ht="15.75" thickBot="1" x14ac:dyDescent="0.3">
      <c r="A3" s="75" t="s">
        <v>181</v>
      </c>
      <c r="B3" s="72" t="s">
        <v>179</v>
      </c>
      <c r="C3" s="72">
        <v>5</v>
      </c>
      <c r="D3" s="76">
        <v>7</v>
      </c>
      <c r="E3" s="76">
        <f t="shared" ref="E3:E20" si="0">D3*C3</f>
        <v>35</v>
      </c>
    </row>
    <row r="4" spans="1:6" ht="15.75" thickBot="1" x14ac:dyDescent="0.3">
      <c r="A4" s="75" t="s">
        <v>182</v>
      </c>
      <c r="B4" s="72" t="s">
        <v>179</v>
      </c>
      <c r="C4" s="72">
        <v>5</v>
      </c>
      <c r="D4" s="76">
        <v>20</v>
      </c>
      <c r="E4" s="76">
        <f t="shared" si="0"/>
        <v>100</v>
      </c>
    </row>
    <row r="5" spans="1:6" ht="15.75" thickBot="1" x14ac:dyDescent="0.3">
      <c r="A5" s="75" t="s">
        <v>183</v>
      </c>
      <c r="B5" s="72" t="s">
        <v>179</v>
      </c>
      <c r="C5" s="72">
        <v>1</v>
      </c>
      <c r="D5" s="76">
        <v>90</v>
      </c>
      <c r="E5" s="76">
        <f t="shared" si="0"/>
        <v>90</v>
      </c>
    </row>
    <row r="6" spans="1:6" ht="15.75" thickBot="1" x14ac:dyDescent="0.3">
      <c r="A6" s="75" t="s">
        <v>184</v>
      </c>
      <c r="B6" s="72" t="s">
        <v>179</v>
      </c>
      <c r="C6" s="72">
        <v>1</v>
      </c>
      <c r="D6" s="76">
        <v>37</v>
      </c>
      <c r="E6" s="76">
        <f t="shared" si="0"/>
        <v>37</v>
      </c>
    </row>
    <row r="7" spans="1:6" ht="15.75" thickBot="1" x14ac:dyDescent="0.3">
      <c r="A7" s="75" t="s">
        <v>185</v>
      </c>
      <c r="B7" s="72" t="s">
        <v>179</v>
      </c>
      <c r="C7" s="72">
        <v>1</v>
      </c>
      <c r="D7" s="76">
        <v>40</v>
      </c>
      <c r="E7" s="76">
        <f t="shared" si="0"/>
        <v>40</v>
      </c>
    </row>
    <row r="8" spans="1:6" ht="15.75" thickBot="1" x14ac:dyDescent="0.3">
      <c r="A8" s="75" t="s">
        <v>186</v>
      </c>
      <c r="B8" s="72" t="s">
        <v>179</v>
      </c>
      <c r="C8" s="72">
        <v>1</v>
      </c>
      <c r="D8" s="76">
        <v>18</v>
      </c>
      <c r="E8" s="76">
        <f t="shared" si="0"/>
        <v>18</v>
      </c>
    </row>
    <row r="9" spans="1:6" ht="15.75" thickBot="1" x14ac:dyDescent="0.3">
      <c r="A9" s="75" t="s">
        <v>187</v>
      </c>
      <c r="B9" s="72" t="s">
        <v>179</v>
      </c>
      <c r="C9" s="72">
        <v>1</v>
      </c>
      <c r="D9" s="76">
        <v>18</v>
      </c>
      <c r="E9" s="76">
        <f t="shared" si="0"/>
        <v>18</v>
      </c>
    </row>
    <row r="10" spans="1:6" ht="15.75" thickBot="1" x14ac:dyDescent="0.3">
      <c r="A10" s="75" t="s">
        <v>188</v>
      </c>
      <c r="B10" s="72" t="s">
        <v>179</v>
      </c>
      <c r="C10" s="72">
        <v>1</v>
      </c>
      <c r="D10" s="76">
        <v>18</v>
      </c>
      <c r="E10" s="76">
        <f t="shared" si="0"/>
        <v>18</v>
      </c>
    </row>
    <row r="11" spans="1:6" ht="15.75" thickBot="1" x14ac:dyDescent="0.3">
      <c r="A11" s="75" t="s">
        <v>189</v>
      </c>
      <c r="B11" s="72" t="s">
        <v>179</v>
      </c>
      <c r="C11" s="72">
        <v>1</v>
      </c>
      <c r="D11" s="76">
        <v>20</v>
      </c>
      <c r="E11" s="76">
        <f t="shared" si="0"/>
        <v>20</v>
      </c>
    </row>
    <row r="12" spans="1:6" ht="15.75" thickBot="1" x14ac:dyDescent="0.3">
      <c r="A12" s="75" t="s">
        <v>190</v>
      </c>
      <c r="B12" s="72" t="s">
        <v>179</v>
      </c>
      <c r="C12" s="72">
        <v>1</v>
      </c>
      <c r="D12" s="76">
        <v>125</v>
      </c>
      <c r="E12" s="76">
        <f t="shared" si="0"/>
        <v>125</v>
      </c>
    </row>
    <row r="13" spans="1:6" ht="24.75" thickBot="1" x14ac:dyDescent="0.3">
      <c r="A13" s="75" t="s">
        <v>191</v>
      </c>
      <c r="B13" s="72" t="s">
        <v>179</v>
      </c>
      <c r="C13" s="72">
        <v>2</v>
      </c>
      <c r="D13" s="76">
        <f>4*50</f>
        <v>200</v>
      </c>
      <c r="E13" s="76">
        <f t="shared" si="0"/>
        <v>400</v>
      </c>
    </row>
    <row r="14" spans="1:6" ht="15.75" thickBot="1" x14ac:dyDescent="0.3">
      <c r="A14" s="75" t="s">
        <v>192</v>
      </c>
      <c r="B14" s="72" t="s">
        <v>179</v>
      </c>
      <c r="C14" s="72">
        <v>1</v>
      </c>
      <c r="D14" s="76">
        <v>25</v>
      </c>
      <c r="E14" s="76">
        <f t="shared" si="0"/>
        <v>25</v>
      </c>
    </row>
    <row r="15" spans="1:6" ht="15.75" thickBot="1" x14ac:dyDescent="0.3">
      <c r="A15" s="75" t="s">
        <v>193</v>
      </c>
      <c r="B15" s="72" t="s">
        <v>179</v>
      </c>
      <c r="C15" s="72">
        <v>1</v>
      </c>
      <c r="D15" s="76">
        <v>25</v>
      </c>
      <c r="E15" s="76">
        <f t="shared" si="0"/>
        <v>25</v>
      </c>
    </row>
    <row r="16" spans="1:6" ht="15.75" thickBot="1" x14ac:dyDescent="0.3">
      <c r="A16" s="75" t="s">
        <v>194</v>
      </c>
      <c r="B16" s="72" t="s">
        <v>179</v>
      </c>
      <c r="C16" s="72">
        <v>1</v>
      </c>
      <c r="D16" s="76">
        <v>35</v>
      </c>
      <c r="E16" s="76">
        <f t="shared" si="0"/>
        <v>35</v>
      </c>
    </row>
    <row r="17" spans="1:5" ht="15.75" thickBot="1" x14ac:dyDescent="0.3">
      <c r="A17" s="75" t="s">
        <v>195</v>
      </c>
      <c r="B17" s="72" t="s">
        <v>179</v>
      </c>
      <c r="C17" s="72">
        <v>1</v>
      </c>
      <c r="D17" s="76">
        <v>65</v>
      </c>
      <c r="E17" s="76">
        <f t="shared" si="0"/>
        <v>65</v>
      </c>
    </row>
    <row r="18" spans="1:5" ht="24.75" thickBot="1" x14ac:dyDescent="0.3">
      <c r="A18" s="75" t="s">
        <v>196</v>
      </c>
      <c r="B18" s="72" t="s">
        <v>179</v>
      </c>
      <c r="C18" s="72">
        <v>1</v>
      </c>
      <c r="D18" s="76">
        <v>35</v>
      </c>
      <c r="E18" s="76">
        <f t="shared" si="0"/>
        <v>35</v>
      </c>
    </row>
    <row r="19" spans="1:5" ht="15.75" thickBot="1" x14ac:dyDescent="0.3">
      <c r="A19" s="75" t="s">
        <v>197</v>
      </c>
      <c r="B19" s="72" t="s">
        <v>198</v>
      </c>
      <c r="C19" s="72">
        <v>1</v>
      </c>
      <c r="D19" s="76">
        <v>30</v>
      </c>
      <c r="E19" s="76">
        <f t="shared" si="0"/>
        <v>30</v>
      </c>
    </row>
    <row r="20" spans="1:5" ht="15.75" thickBot="1" x14ac:dyDescent="0.3">
      <c r="A20" s="75" t="s">
        <v>199</v>
      </c>
      <c r="B20" s="72" t="s">
        <v>198</v>
      </c>
      <c r="C20" s="72">
        <v>1</v>
      </c>
      <c r="D20" s="76">
        <v>45</v>
      </c>
      <c r="E20" s="76">
        <f t="shared" si="0"/>
        <v>45</v>
      </c>
    </row>
    <row r="21" spans="1:5" ht="15.75" thickBot="1" x14ac:dyDescent="0.3">
      <c r="A21" s="81" t="s">
        <v>200</v>
      </c>
      <c r="B21" s="82"/>
      <c r="C21" s="82"/>
      <c r="D21" s="82"/>
      <c r="E21" s="83">
        <f>SUM(E2:E20)</f>
        <v>1661</v>
      </c>
    </row>
    <row r="23" spans="1:5" ht="15.75" thickBot="1" x14ac:dyDescent="0.3">
      <c r="E23" s="159"/>
    </row>
    <row r="24" spans="1:5" ht="30.75" thickBot="1" x14ac:dyDescent="0.3">
      <c r="A24" s="84" t="s">
        <v>205</v>
      </c>
      <c r="B24" s="85">
        <f>E21*0.5%</f>
        <v>8.3049999999999997</v>
      </c>
    </row>
    <row r="25" spans="1:5" ht="30.75" thickBot="1" x14ac:dyDescent="0.3">
      <c r="A25" s="86" t="s">
        <v>202</v>
      </c>
      <c r="B25" s="87">
        <f>E21*0.8/60</f>
        <v>22.146666666666668</v>
      </c>
    </row>
    <row r="26" spans="1:5" ht="15.75" thickBot="1" x14ac:dyDescent="0.3">
      <c r="A26" s="86" t="s">
        <v>203</v>
      </c>
      <c r="B26" s="88">
        <v>1</v>
      </c>
    </row>
    <row r="27" spans="1:5" ht="15.75" thickBot="1" x14ac:dyDescent="0.3">
      <c r="A27" s="77" t="s">
        <v>177</v>
      </c>
      <c r="B27" s="90">
        <f>SUM(B24:B25)</f>
        <v>30.451666666666668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2" workbookViewId="0">
      <selection activeCell="K25" sqref="K25"/>
    </sheetView>
  </sheetViews>
  <sheetFormatPr defaultRowHeight="15" x14ac:dyDescent="0.25"/>
  <cols>
    <col min="1" max="1" width="35.7109375" customWidth="1"/>
    <col min="2" max="2" width="48.140625" customWidth="1"/>
    <col min="3" max="3" width="14.28515625" customWidth="1"/>
    <col min="4" max="4" width="10.28515625" bestFit="1" customWidth="1"/>
    <col min="5" max="5" width="11.7109375" customWidth="1"/>
  </cols>
  <sheetData>
    <row r="1" spans="1:5" ht="24.75" thickBot="1" x14ac:dyDescent="0.3">
      <c r="A1" s="73" t="s">
        <v>171</v>
      </c>
      <c r="B1" s="74" t="s">
        <v>24</v>
      </c>
      <c r="C1" s="74" t="s">
        <v>172</v>
      </c>
      <c r="D1" s="74" t="s">
        <v>173</v>
      </c>
      <c r="E1" s="74" t="s">
        <v>206</v>
      </c>
    </row>
    <row r="2" spans="1:5" ht="15.75" thickBot="1" x14ac:dyDescent="0.3">
      <c r="A2" s="86" t="s">
        <v>207</v>
      </c>
      <c r="B2" s="92" t="s">
        <v>208</v>
      </c>
      <c r="C2" s="92">
        <v>2</v>
      </c>
      <c r="D2" s="93">
        <v>18</v>
      </c>
      <c r="E2" s="94">
        <f>D2*C2</f>
        <v>36</v>
      </c>
    </row>
    <row r="3" spans="1:5" ht="30.75" thickBot="1" x14ac:dyDescent="0.3">
      <c r="A3" s="86" t="s">
        <v>209</v>
      </c>
      <c r="B3" s="92" t="s">
        <v>210</v>
      </c>
      <c r="C3" s="92">
        <v>1</v>
      </c>
      <c r="D3" s="93">
        <v>59</v>
      </c>
      <c r="E3" s="94">
        <f>D3*C3</f>
        <v>59</v>
      </c>
    </row>
    <row r="4" spans="1:5" ht="15.75" thickBot="1" x14ac:dyDescent="0.3">
      <c r="A4" s="86" t="s">
        <v>211</v>
      </c>
      <c r="B4" s="92" t="s">
        <v>179</v>
      </c>
      <c r="C4" s="92">
        <v>30</v>
      </c>
      <c r="D4" s="93">
        <v>3.85</v>
      </c>
      <c r="E4" s="94">
        <f>D4*C4</f>
        <v>115.5</v>
      </c>
    </row>
    <row r="5" spans="1:5" ht="15.75" thickBot="1" x14ac:dyDescent="0.3">
      <c r="A5" s="77" t="s">
        <v>177</v>
      </c>
      <c r="B5" s="95"/>
      <c r="C5" s="95"/>
      <c r="D5" s="95"/>
      <c r="E5" s="96">
        <f>SUM(E2:E4)</f>
        <v>210.5</v>
      </c>
    </row>
    <row r="7" spans="1:5" ht="15.75" thickBot="1" x14ac:dyDescent="0.3"/>
    <row r="8" spans="1:5" ht="24.75" thickBot="1" x14ac:dyDescent="0.3">
      <c r="A8" s="73" t="s">
        <v>159</v>
      </c>
      <c r="B8" s="74" t="s">
        <v>212</v>
      </c>
      <c r="C8" s="74" t="s">
        <v>213</v>
      </c>
      <c r="D8" s="74" t="s">
        <v>214</v>
      </c>
      <c r="E8" s="74" t="s">
        <v>206</v>
      </c>
    </row>
    <row r="9" spans="1:5" ht="15.75" thickBot="1" x14ac:dyDescent="0.3">
      <c r="A9" s="97">
        <v>1</v>
      </c>
      <c r="B9" s="98" t="s">
        <v>215</v>
      </c>
      <c r="C9" s="99">
        <v>1</v>
      </c>
      <c r="D9" s="100">
        <v>20.5</v>
      </c>
      <c r="E9" s="100">
        <f>D9*C9</f>
        <v>20.5</v>
      </c>
    </row>
    <row r="10" spans="1:5" ht="15.75" thickBot="1" x14ac:dyDescent="0.3">
      <c r="A10" s="97">
        <v>2</v>
      </c>
      <c r="B10" s="98" t="s">
        <v>216</v>
      </c>
      <c r="C10" s="99">
        <v>1</v>
      </c>
      <c r="D10" s="100">
        <v>35</v>
      </c>
      <c r="E10" s="100">
        <f t="shared" ref="E10:E71" si="0">D10*C10</f>
        <v>35</v>
      </c>
    </row>
    <row r="11" spans="1:5" ht="15.75" thickBot="1" x14ac:dyDescent="0.3">
      <c r="A11" s="97">
        <v>3</v>
      </c>
      <c r="B11" s="98" t="s">
        <v>217</v>
      </c>
      <c r="C11" s="99">
        <v>1</v>
      </c>
      <c r="D11" s="100">
        <v>25</v>
      </c>
      <c r="E11" s="100">
        <f t="shared" si="0"/>
        <v>25</v>
      </c>
    </row>
    <row r="12" spans="1:5" ht="15.75" thickBot="1" x14ac:dyDescent="0.3">
      <c r="A12" s="97">
        <v>4</v>
      </c>
      <c r="B12" s="98" t="s">
        <v>218</v>
      </c>
      <c r="C12" s="99">
        <v>1</v>
      </c>
      <c r="D12" s="100">
        <v>25</v>
      </c>
      <c r="E12" s="100">
        <f t="shared" si="0"/>
        <v>25</v>
      </c>
    </row>
    <row r="13" spans="1:5" ht="15.75" thickBot="1" x14ac:dyDescent="0.3">
      <c r="A13" s="97">
        <v>5</v>
      </c>
      <c r="B13" s="98" t="s">
        <v>219</v>
      </c>
      <c r="C13" s="99">
        <v>1</v>
      </c>
      <c r="D13" s="100">
        <v>25</v>
      </c>
      <c r="E13" s="100">
        <f t="shared" si="0"/>
        <v>25</v>
      </c>
    </row>
    <row r="14" spans="1:5" ht="15.75" thickBot="1" x14ac:dyDescent="0.3">
      <c r="A14" s="97">
        <v>6</v>
      </c>
      <c r="B14" s="98" t="s">
        <v>220</v>
      </c>
      <c r="C14" s="99">
        <v>1</v>
      </c>
      <c r="D14" s="100">
        <v>20</v>
      </c>
      <c r="E14" s="100">
        <f t="shared" si="0"/>
        <v>20</v>
      </c>
    </row>
    <row r="15" spans="1:5" ht="15.75" thickBot="1" x14ac:dyDescent="0.3">
      <c r="A15" s="97">
        <v>7</v>
      </c>
      <c r="B15" s="98" t="s">
        <v>221</v>
      </c>
      <c r="C15" s="99">
        <v>1</v>
      </c>
      <c r="D15" s="100">
        <v>80</v>
      </c>
      <c r="E15" s="100">
        <f t="shared" si="0"/>
        <v>80</v>
      </c>
    </row>
    <row r="16" spans="1:5" ht="15.75" thickBot="1" x14ac:dyDescent="0.3">
      <c r="A16" s="97">
        <v>8</v>
      </c>
      <c r="B16" s="98" t="s">
        <v>222</v>
      </c>
      <c r="C16" s="99">
        <v>1</v>
      </c>
      <c r="D16" s="100">
        <v>24</v>
      </c>
      <c r="E16" s="100">
        <f t="shared" si="0"/>
        <v>24</v>
      </c>
    </row>
    <row r="17" spans="1:5" ht="15.75" thickBot="1" x14ac:dyDescent="0.3">
      <c r="A17" s="97">
        <v>9</v>
      </c>
      <c r="B17" s="98" t="s">
        <v>223</v>
      </c>
      <c r="C17" s="99">
        <v>1</v>
      </c>
      <c r="D17" s="100">
        <v>25</v>
      </c>
      <c r="E17" s="100">
        <f t="shared" si="0"/>
        <v>25</v>
      </c>
    </row>
    <row r="18" spans="1:5" ht="15.75" thickBot="1" x14ac:dyDescent="0.3">
      <c r="A18" s="97">
        <v>10</v>
      </c>
      <c r="B18" s="98" t="s">
        <v>224</v>
      </c>
      <c r="C18" s="99">
        <v>1</v>
      </c>
      <c r="D18" s="100">
        <v>40</v>
      </c>
      <c r="E18" s="100">
        <f t="shared" si="0"/>
        <v>40</v>
      </c>
    </row>
    <row r="19" spans="1:5" ht="26.25" thickBot="1" x14ac:dyDescent="0.3">
      <c r="A19" s="97">
        <v>11</v>
      </c>
      <c r="B19" s="98" t="s">
        <v>225</v>
      </c>
      <c r="C19" s="99">
        <v>1</v>
      </c>
      <c r="D19" s="100">
        <v>30</v>
      </c>
      <c r="E19" s="100">
        <f t="shared" si="0"/>
        <v>30</v>
      </c>
    </row>
    <row r="20" spans="1:5" ht="15.75" thickBot="1" x14ac:dyDescent="0.3">
      <c r="A20" s="97">
        <v>12</v>
      </c>
      <c r="B20" s="98" t="s">
        <v>226</v>
      </c>
      <c r="C20" s="99">
        <v>1</v>
      </c>
      <c r="D20" s="100">
        <v>20</v>
      </c>
      <c r="E20" s="100">
        <f t="shared" si="0"/>
        <v>20</v>
      </c>
    </row>
    <row r="21" spans="1:5" ht="15.75" thickBot="1" x14ac:dyDescent="0.3">
      <c r="A21" s="97">
        <v>13</v>
      </c>
      <c r="B21" s="98" t="s">
        <v>227</v>
      </c>
      <c r="C21" s="99">
        <v>1</v>
      </c>
      <c r="D21" s="100">
        <v>350</v>
      </c>
      <c r="E21" s="100">
        <f t="shared" si="0"/>
        <v>350</v>
      </c>
    </row>
    <row r="22" spans="1:5" ht="15.75" thickBot="1" x14ac:dyDescent="0.3">
      <c r="A22" s="97">
        <v>14</v>
      </c>
      <c r="B22" s="98" t="s">
        <v>228</v>
      </c>
      <c r="C22" s="99">
        <v>1</v>
      </c>
      <c r="D22" s="100">
        <v>20</v>
      </c>
      <c r="E22" s="100">
        <f t="shared" si="0"/>
        <v>20</v>
      </c>
    </row>
    <row r="23" spans="1:5" ht="15.75" thickBot="1" x14ac:dyDescent="0.3">
      <c r="A23" s="97">
        <v>15</v>
      </c>
      <c r="B23" s="98" t="s">
        <v>229</v>
      </c>
      <c r="C23" s="99">
        <v>1</v>
      </c>
      <c r="D23" s="100">
        <v>350</v>
      </c>
      <c r="E23" s="100">
        <f t="shared" si="0"/>
        <v>350</v>
      </c>
    </row>
    <row r="24" spans="1:5" ht="15.75" thickBot="1" x14ac:dyDescent="0.3">
      <c r="A24" s="97">
        <v>16</v>
      </c>
      <c r="B24" s="98" t="s">
        <v>230</v>
      </c>
      <c r="C24" s="99">
        <v>2</v>
      </c>
      <c r="D24" s="100">
        <v>5</v>
      </c>
      <c r="E24" s="100">
        <f t="shared" si="0"/>
        <v>10</v>
      </c>
    </row>
    <row r="25" spans="1:5" ht="15.75" thickBot="1" x14ac:dyDescent="0.3">
      <c r="A25" s="97">
        <v>17</v>
      </c>
      <c r="B25" s="98" t="s">
        <v>231</v>
      </c>
      <c r="C25" s="99">
        <v>1</v>
      </c>
      <c r="D25" s="100">
        <v>13</v>
      </c>
      <c r="E25" s="100">
        <f t="shared" si="0"/>
        <v>13</v>
      </c>
    </row>
    <row r="26" spans="1:5" ht="15.75" thickBot="1" x14ac:dyDescent="0.3">
      <c r="A26" s="97">
        <v>18</v>
      </c>
      <c r="B26" s="98" t="s">
        <v>232</v>
      </c>
      <c r="C26" s="99">
        <v>1</v>
      </c>
      <c r="D26" s="100">
        <v>90</v>
      </c>
      <c r="E26" s="100">
        <f t="shared" si="0"/>
        <v>90</v>
      </c>
    </row>
    <row r="27" spans="1:5" ht="15.75" thickBot="1" x14ac:dyDescent="0.3">
      <c r="A27" s="97">
        <v>19</v>
      </c>
      <c r="B27" s="98" t="s">
        <v>233</v>
      </c>
      <c r="C27" s="99">
        <v>1</v>
      </c>
      <c r="D27" s="100">
        <v>44.52</v>
      </c>
      <c r="E27" s="100">
        <f t="shared" si="0"/>
        <v>44.52</v>
      </c>
    </row>
    <row r="28" spans="1:5" ht="15.75" thickBot="1" x14ac:dyDescent="0.3">
      <c r="A28" s="97">
        <v>20</v>
      </c>
      <c r="B28" s="98" t="s">
        <v>234</v>
      </c>
      <c r="C28" s="99">
        <v>1</v>
      </c>
      <c r="D28" s="100">
        <v>4</v>
      </c>
      <c r="E28" s="100">
        <f t="shared" si="0"/>
        <v>4</v>
      </c>
    </row>
    <row r="29" spans="1:5" ht="15.75" thickBot="1" x14ac:dyDescent="0.3">
      <c r="A29" s="97">
        <v>21</v>
      </c>
      <c r="B29" s="98" t="s">
        <v>235</v>
      </c>
      <c r="C29" s="99">
        <v>1</v>
      </c>
      <c r="D29" s="100">
        <v>3</v>
      </c>
      <c r="E29" s="100">
        <f t="shared" si="0"/>
        <v>3</v>
      </c>
    </row>
    <row r="30" spans="1:5" ht="15.75" thickBot="1" x14ac:dyDescent="0.3">
      <c r="A30" s="97">
        <v>22</v>
      </c>
      <c r="B30" s="98" t="s">
        <v>236</v>
      </c>
      <c r="C30" s="99">
        <v>1</v>
      </c>
      <c r="D30" s="100">
        <v>1.5</v>
      </c>
      <c r="E30" s="100">
        <f t="shared" si="0"/>
        <v>1.5</v>
      </c>
    </row>
    <row r="31" spans="1:5" ht="15.75" thickBot="1" x14ac:dyDescent="0.3">
      <c r="A31" s="97">
        <v>23</v>
      </c>
      <c r="B31" s="98" t="s">
        <v>237</v>
      </c>
      <c r="C31" s="99">
        <v>1</v>
      </c>
      <c r="D31" s="100">
        <v>2</v>
      </c>
      <c r="E31" s="100">
        <f t="shared" si="0"/>
        <v>2</v>
      </c>
    </row>
    <row r="32" spans="1:5" ht="15.75" thickBot="1" x14ac:dyDescent="0.3">
      <c r="A32" s="97">
        <v>24</v>
      </c>
      <c r="B32" s="98" t="s">
        <v>238</v>
      </c>
      <c r="C32" s="99">
        <v>1</v>
      </c>
      <c r="D32" s="100">
        <v>2</v>
      </c>
      <c r="E32" s="100">
        <f t="shared" si="0"/>
        <v>2</v>
      </c>
    </row>
    <row r="33" spans="1:5" ht="15.75" thickBot="1" x14ac:dyDescent="0.3">
      <c r="A33" s="97">
        <v>25</v>
      </c>
      <c r="B33" s="98" t="s">
        <v>239</v>
      </c>
      <c r="C33" s="99">
        <v>1</v>
      </c>
      <c r="D33" s="100">
        <v>2</v>
      </c>
      <c r="E33" s="100">
        <f t="shared" si="0"/>
        <v>2</v>
      </c>
    </row>
    <row r="34" spans="1:5" ht="15.75" thickBot="1" x14ac:dyDescent="0.3">
      <c r="A34" s="97">
        <v>26</v>
      </c>
      <c r="B34" s="98" t="s">
        <v>240</v>
      </c>
      <c r="C34" s="99">
        <v>1</v>
      </c>
      <c r="D34" s="100">
        <v>25</v>
      </c>
      <c r="E34" s="100">
        <f t="shared" si="0"/>
        <v>25</v>
      </c>
    </row>
    <row r="35" spans="1:5" ht="15.75" thickBot="1" x14ac:dyDescent="0.3">
      <c r="A35" s="97">
        <v>27</v>
      </c>
      <c r="B35" s="98" t="s">
        <v>241</v>
      </c>
      <c r="C35" s="99">
        <v>1</v>
      </c>
      <c r="D35" s="100">
        <v>29</v>
      </c>
      <c r="E35" s="100">
        <f t="shared" si="0"/>
        <v>29</v>
      </c>
    </row>
    <row r="36" spans="1:5" ht="15.75" thickBot="1" x14ac:dyDescent="0.3">
      <c r="A36" s="97">
        <v>28</v>
      </c>
      <c r="B36" s="98" t="s">
        <v>242</v>
      </c>
      <c r="C36" s="99">
        <v>2</v>
      </c>
      <c r="D36" s="100">
        <v>7</v>
      </c>
      <c r="E36" s="100">
        <f t="shared" si="0"/>
        <v>14</v>
      </c>
    </row>
    <row r="37" spans="1:5" ht="15.75" thickBot="1" x14ac:dyDescent="0.3">
      <c r="A37" s="97">
        <v>30</v>
      </c>
      <c r="B37" s="98" t="s">
        <v>243</v>
      </c>
      <c r="C37" s="99">
        <v>2</v>
      </c>
      <c r="D37" s="100">
        <v>12</v>
      </c>
      <c r="E37" s="100">
        <f t="shared" si="0"/>
        <v>24</v>
      </c>
    </row>
    <row r="38" spans="1:5" ht="15.75" thickBot="1" x14ac:dyDescent="0.3">
      <c r="A38" s="97">
        <v>31</v>
      </c>
      <c r="B38" s="98" t="s">
        <v>244</v>
      </c>
      <c r="C38" s="99">
        <v>1</v>
      </c>
      <c r="D38" s="100">
        <v>18</v>
      </c>
      <c r="E38" s="100">
        <f t="shared" si="0"/>
        <v>18</v>
      </c>
    </row>
    <row r="39" spans="1:5" ht="15.75" thickBot="1" x14ac:dyDescent="0.3">
      <c r="A39" s="97">
        <v>32</v>
      </c>
      <c r="B39" s="98" t="s">
        <v>245</v>
      </c>
      <c r="C39" s="99">
        <v>1</v>
      </c>
      <c r="D39" s="100">
        <v>96.55</v>
      </c>
      <c r="E39" s="100">
        <f t="shared" si="0"/>
        <v>96.55</v>
      </c>
    </row>
    <row r="40" spans="1:5" ht="15.75" thickBot="1" x14ac:dyDescent="0.3">
      <c r="A40" s="97">
        <v>33</v>
      </c>
      <c r="B40" s="98" t="s">
        <v>246</v>
      </c>
      <c r="C40" s="99">
        <v>1</v>
      </c>
      <c r="D40" s="100">
        <v>25</v>
      </c>
      <c r="E40" s="100">
        <f t="shared" si="0"/>
        <v>25</v>
      </c>
    </row>
    <row r="41" spans="1:5" ht="15.75" thickBot="1" x14ac:dyDescent="0.3">
      <c r="A41" s="97">
        <v>34</v>
      </c>
      <c r="B41" s="98" t="s">
        <v>247</v>
      </c>
      <c r="C41" s="99">
        <v>2</v>
      </c>
      <c r="D41" s="100">
        <v>7</v>
      </c>
      <c r="E41" s="100">
        <f t="shared" si="0"/>
        <v>14</v>
      </c>
    </row>
    <row r="42" spans="1:5" ht="15.75" thickBot="1" x14ac:dyDescent="0.3">
      <c r="A42" s="97">
        <v>35</v>
      </c>
      <c r="B42" s="98" t="s">
        <v>248</v>
      </c>
      <c r="C42" s="99">
        <v>1</v>
      </c>
      <c r="D42" s="100">
        <v>180</v>
      </c>
      <c r="E42" s="100">
        <f t="shared" si="0"/>
        <v>180</v>
      </c>
    </row>
    <row r="43" spans="1:5" ht="15.75" thickBot="1" x14ac:dyDescent="0.3">
      <c r="A43" s="97">
        <v>36</v>
      </c>
      <c r="B43" s="98" t="s">
        <v>249</v>
      </c>
      <c r="C43" s="99">
        <v>2</v>
      </c>
      <c r="D43" s="100">
        <v>2.5</v>
      </c>
      <c r="E43" s="100">
        <f t="shared" si="0"/>
        <v>5</v>
      </c>
    </row>
    <row r="44" spans="1:5" ht="15.75" thickBot="1" x14ac:dyDescent="0.3">
      <c r="A44" s="97">
        <v>37</v>
      </c>
      <c r="B44" s="98" t="s">
        <v>250</v>
      </c>
      <c r="C44" s="99">
        <v>1</v>
      </c>
      <c r="D44" s="100">
        <v>11</v>
      </c>
      <c r="E44" s="100">
        <f t="shared" si="0"/>
        <v>11</v>
      </c>
    </row>
    <row r="45" spans="1:5" ht="15.75" thickBot="1" x14ac:dyDescent="0.3">
      <c r="A45" s="97">
        <v>38</v>
      </c>
      <c r="B45" s="98" t="s">
        <v>251</v>
      </c>
      <c r="C45" s="99">
        <v>1</v>
      </c>
      <c r="D45" s="100">
        <v>11</v>
      </c>
      <c r="E45" s="100">
        <f t="shared" si="0"/>
        <v>11</v>
      </c>
    </row>
    <row r="46" spans="1:5" ht="15.75" thickBot="1" x14ac:dyDescent="0.3">
      <c r="A46" s="97">
        <v>39</v>
      </c>
      <c r="B46" s="98" t="s">
        <v>252</v>
      </c>
      <c r="C46" s="99">
        <v>1</v>
      </c>
      <c r="D46" s="100">
        <v>11</v>
      </c>
      <c r="E46" s="100">
        <f t="shared" si="0"/>
        <v>11</v>
      </c>
    </row>
    <row r="47" spans="1:5" ht="15.75" thickBot="1" x14ac:dyDescent="0.3">
      <c r="A47" s="97">
        <v>40</v>
      </c>
      <c r="B47" s="98" t="s">
        <v>253</v>
      </c>
      <c r="C47" s="99">
        <v>1</v>
      </c>
      <c r="D47" s="100">
        <v>270</v>
      </c>
      <c r="E47" s="100">
        <f t="shared" si="0"/>
        <v>270</v>
      </c>
    </row>
    <row r="48" spans="1:5" ht="15.75" thickBot="1" x14ac:dyDescent="0.3">
      <c r="A48" s="97">
        <v>41</v>
      </c>
      <c r="B48" s="98" t="s">
        <v>254</v>
      </c>
      <c r="C48" s="99">
        <v>2</v>
      </c>
      <c r="D48" s="100">
        <v>45</v>
      </c>
      <c r="E48" s="100">
        <f t="shared" si="0"/>
        <v>90</v>
      </c>
    </row>
    <row r="49" spans="1:5" ht="15.75" thickBot="1" x14ac:dyDescent="0.3">
      <c r="A49" s="97">
        <v>42</v>
      </c>
      <c r="B49" s="98" t="s">
        <v>255</v>
      </c>
      <c r="C49" s="99">
        <v>1</v>
      </c>
      <c r="D49" s="100">
        <v>90</v>
      </c>
      <c r="E49" s="100">
        <f t="shared" si="0"/>
        <v>90</v>
      </c>
    </row>
    <row r="50" spans="1:5" ht="15.75" thickBot="1" x14ac:dyDescent="0.3">
      <c r="A50" s="97">
        <v>43</v>
      </c>
      <c r="B50" s="98" t="s">
        <v>256</v>
      </c>
      <c r="C50" s="99">
        <v>1</v>
      </c>
      <c r="D50" s="100">
        <v>17</v>
      </c>
      <c r="E50" s="100">
        <f t="shared" si="0"/>
        <v>17</v>
      </c>
    </row>
    <row r="51" spans="1:5" ht="15.75" thickBot="1" x14ac:dyDescent="0.3">
      <c r="A51" s="97">
        <v>44</v>
      </c>
      <c r="B51" s="98" t="s">
        <v>257</v>
      </c>
      <c r="C51" s="99">
        <v>1</v>
      </c>
      <c r="D51" s="100">
        <v>75</v>
      </c>
      <c r="E51" s="100">
        <f t="shared" si="0"/>
        <v>75</v>
      </c>
    </row>
    <row r="52" spans="1:5" ht="15.75" thickBot="1" x14ac:dyDescent="0.3">
      <c r="A52" s="97">
        <v>45</v>
      </c>
      <c r="B52" s="98" t="s">
        <v>258</v>
      </c>
      <c r="C52" s="99">
        <v>1</v>
      </c>
      <c r="D52" s="100">
        <v>14</v>
      </c>
      <c r="E52" s="100">
        <f t="shared" si="0"/>
        <v>14</v>
      </c>
    </row>
    <row r="53" spans="1:5" ht="15.75" thickBot="1" x14ac:dyDescent="0.3">
      <c r="A53" s="97">
        <v>46</v>
      </c>
      <c r="B53" s="98" t="s">
        <v>259</v>
      </c>
      <c r="C53" s="99">
        <v>2</v>
      </c>
      <c r="D53" s="100">
        <v>35</v>
      </c>
      <c r="E53" s="100">
        <f t="shared" si="0"/>
        <v>70</v>
      </c>
    </row>
    <row r="54" spans="1:5" ht="15.75" thickBot="1" x14ac:dyDescent="0.3">
      <c r="A54" s="97">
        <v>47</v>
      </c>
      <c r="B54" s="98" t="s">
        <v>260</v>
      </c>
      <c r="C54" s="99">
        <v>1</v>
      </c>
      <c r="D54" s="100">
        <v>2.76</v>
      </c>
      <c r="E54" s="100">
        <f t="shared" si="0"/>
        <v>2.76</v>
      </c>
    </row>
    <row r="55" spans="1:5" ht="15.75" thickBot="1" x14ac:dyDescent="0.3">
      <c r="A55" s="97">
        <v>48</v>
      </c>
      <c r="B55" s="98" t="s">
        <v>261</v>
      </c>
      <c r="C55" s="99">
        <v>1</v>
      </c>
      <c r="D55" s="100">
        <v>750</v>
      </c>
      <c r="E55" s="100">
        <f t="shared" si="0"/>
        <v>750</v>
      </c>
    </row>
    <row r="56" spans="1:5" ht="15.75" thickBot="1" x14ac:dyDescent="0.3">
      <c r="A56" s="97">
        <v>49</v>
      </c>
      <c r="B56" s="98" t="s">
        <v>262</v>
      </c>
      <c r="C56" s="99">
        <v>1</v>
      </c>
      <c r="D56" s="100">
        <v>2300</v>
      </c>
      <c r="E56" s="100">
        <f t="shared" si="0"/>
        <v>2300</v>
      </c>
    </row>
    <row r="57" spans="1:5" ht="15.75" thickBot="1" x14ac:dyDescent="0.3">
      <c r="A57" s="97">
        <v>50</v>
      </c>
      <c r="B57" s="98" t="s">
        <v>263</v>
      </c>
      <c r="C57" s="99">
        <v>2</v>
      </c>
      <c r="D57" s="100">
        <v>25</v>
      </c>
      <c r="E57" s="100">
        <f t="shared" si="0"/>
        <v>50</v>
      </c>
    </row>
    <row r="58" spans="1:5" ht="15.75" thickBot="1" x14ac:dyDescent="0.3">
      <c r="A58" s="97">
        <v>51</v>
      </c>
      <c r="B58" s="98" t="s">
        <v>264</v>
      </c>
      <c r="C58" s="99">
        <v>1</v>
      </c>
      <c r="D58" s="100">
        <v>19.079999999999998</v>
      </c>
      <c r="E58" s="100">
        <f t="shared" si="0"/>
        <v>19.079999999999998</v>
      </c>
    </row>
    <row r="59" spans="1:5" ht="15.75" thickBot="1" x14ac:dyDescent="0.3">
      <c r="A59" s="97">
        <v>52</v>
      </c>
      <c r="B59" s="98" t="s">
        <v>265</v>
      </c>
      <c r="C59" s="99">
        <v>5</v>
      </c>
      <c r="D59" s="100">
        <v>7.7</v>
      </c>
      <c r="E59" s="100">
        <f t="shared" si="0"/>
        <v>38.5</v>
      </c>
    </row>
    <row r="60" spans="1:5" ht="15.75" thickBot="1" x14ac:dyDescent="0.3">
      <c r="A60" s="97">
        <v>53</v>
      </c>
      <c r="B60" s="98" t="s">
        <v>266</v>
      </c>
      <c r="C60" s="99">
        <v>1</v>
      </c>
      <c r="D60" s="100">
        <v>33.58</v>
      </c>
      <c r="E60" s="100">
        <f t="shared" si="0"/>
        <v>33.58</v>
      </c>
    </row>
    <row r="61" spans="1:5" ht="15.75" thickBot="1" x14ac:dyDescent="0.3">
      <c r="A61" s="97">
        <v>54</v>
      </c>
      <c r="B61" s="98" t="s">
        <v>267</v>
      </c>
      <c r="C61" s="99">
        <v>5</v>
      </c>
      <c r="D61" s="100">
        <v>11.36</v>
      </c>
      <c r="E61" s="100">
        <f t="shared" si="0"/>
        <v>56.8</v>
      </c>
    </row>
    <row r="62" spans="1:5" ht="15.75" thickBot="1" x14ac:dyDescent="0.3">
      <c r="A62" s="97">
        <v>55</v>
      </c>
      <c r="B62" s="98" t="s">
        <v>268</v>
      </c>
      <c r="C62" s="99">
        <v>2</v>
      </c>
      <c r="D62" s="100">
        <v>38</v>
      </c>
      <c r="E62" s="100">
        <f t="shared" si="0"/>
        <v>76</v>
      </c>
    </row>
    <row r="63" spans="1:5" ht="15.75" thickBot="1" x14ac:dyDescent="0.3">
      <c r="A63" s="97">
        <v>56</v>
      </c>
      <c r="B63" s="98" t="s">
        <v>269</v>
      </c>
      <c r="C63" s="99">
        <v>1</v>
      </c>
      <c r="D63" s="100">
        <v>114.53</v>
      </c>
      <c r="E63" s="100">
        <f t="shared" si="0"/>
        <v>114.53</v>
      </c>
    </row>
    <row r="64" spans="1:5" ht="15.75" thickBot="1" x14ac:dyDescent="0.3">
      <c r="A64" s="97">
        <v>57</v>
      </c>
      <c r="B64" s="98" t="s">
        <v>270</v>
      </c>
      <c r="C64" s="99">
        <v>1</v>
      </c>
      <c r="D64" s="100">
        <v>118</v>
      </c>
      <c r="E64" s="100">
        <f t="shared" si="0"/>
        <v>118</v>
      </c>
    </row>
    <row r="65" spans="1:5" ht="15.75" thickBot="1" x14ac:dyDescent="0.3">
      <c r="A65" s="97">
        <v>58</v>
      </c>
      <c r="B65" s="98" t="s">
        <v>271</v>
      </c>
      <c r="C65" s="99">
        <v>1</v>
      </c>
      <c r="D65" s="100">
        <v>31.14</v>
      </c>
      <c r="E65" s="100">
        <f t="shared" si="0"/>
        <v>31.14</v>
      </c>
    </row>
    <row r="66" spans="1:5" ht="15.75" thickBot="1" x14ac:dyDescent="0.3">
      <c r="A66" s="97">
        <v>59</v>
      </c>
      <c r="B66" s="98" t="s">
        <v>272</v>
      </c>
      <c r="C66" s="99">
        <v>1</v>
      </c>
      <c r="D66" s="100">
        <v>21.94</v>
      </c>
      <c r="E66" s="100">
        <f t="shared" si="0"/>
        <v>21.94</v>
      </c>
    </row>
    <row r="67" spans="1:5" ht="15.75" thickBot="1" x14ac:dyDescent="0.3">
      <c r="A67" s="97">
        <v>60</v>
      </c>
      <c r="B67" s="98" t="s">
        <v>273</v>
      </c>
      <c r="C67" s="99">
        <v>1</v>
      </c>
      <c r="D67" s="100">
        <v>97.51</v>
      </c>
      <c r="E67" s="100">
        <f t="shared" si="0"/>
        <v>97.51</v>
      </c>
    </row>
    <row r="68" spans="1:5" ht="15.75" thickBot="1" x14ac:dyDescent="0.3">
      <c r="A68" s="97">
        <v>61</v>
      </c>
      <c r="B68" s="98" t="s">
        <v>274</v>
      </c>
      <c r="C68" s="99">
        <v>5</v>
      </c>
      <c r="D68" s="100">
        <v>20.95</v>
      </c>
      <c r="E68" s="100">
        <f t="shared" si="0"/>
        <v>104.75</v>
      </c>
    </row>
    <row r="69" spans="1:5" ht="15.75" thickBot="1" x14ac:dyDescent="0.3">
      <c r="A69" s="97">
        <v>62</v>
      </c>
      <c r="B69" s="98" t="s">
        <v>275</v>
      </c>
      <c r="C69" s="99">
        <v>1</v>
      </c>
      <c r="D69" s="100">
        <v>319.79000000000002</v>
      </c>
      <c r="E69" s="100">
        <f t="shared" si="0"/>
        <v>319.79000000000002</v>
      </c>
    </row>
    <row r="70" spans="1:5" ht="15.75" thickBot="1" x14ac:dyDescent="0.3">
      <c r="A70" s="97">
        <v>63</v>
      </c>
      <c r="B70" s="98" t="s">
        <v>276</v>
      </c>
      <c r="C70" s="99">
        <v>2</v>
      </c>
      <c r="D70" s="100">
        <v>13.16</v>
      </c>
      <c r="E70" s="100">
        <f t="shared" si="0"/>
        <v>26.32</v>
      </c>
    </row>
    <row r="71" spans="1:5" ht="15.75" thickBot="1" x14ac:dyDescent="0.3">
      <c r="A71" s="97">
        <v>64</v>
      </c>
      <c r="B71" s="98" t="s">
        <v>277</v>
      </c>
      <c r="C71" s="99">
        <v>2</v>
      </c>
      <c r="D71" s="100">
        <v>15.78</v>
      </c>
      <c r="E71" s="100">
        <f t="shared" si="0"/>
        <v>31.56</v>
      </c>
    </row>
    <row r="72" spans="1:5" ht="15.75" thickBot="1" x14ac:dyDescent="0.3">
      <c r="A72" s="101"/>
      <c r="B72" s="102" t="s">
        <v>1</v>
      </c>
      <c r="C72" s="103"/>
      <c r="D72" s="103"/>
      <c r="E72" s="104">
        <f>SUM(E9:E71)</f>
        <v>6543.33</v>
      </c>
    </row>
    <row r="73" spans="1:5" ht="15.75" thickBot="1" x14ac:dyDescent="0.3"/>
    <row r="74" spans="1:5" ht="30.75" thickBot="1" x14ac:dyDescent="0.3">
      <c r="A74" s="84" t="s">
        <v>201</v>
      </c>
      <c r="B74" s="85">
        <f>E72*0.5%</f>
        <v>32.716650000000001</v>
      </c>
    </row>
    <row r="75" spans="1:5" ht="45.75" thickBot="1" x14ac:dyDescent="0.3">
      <c r="A75" s="86" t="s">
        <v>278</v>
      </c>
      <c r="B75" s="87">
        <f>E72*0.8/60</f>
        <v>87.244400000000013</v>
      </c>
    </row>
    <row r="76" spans="1:5" ht="15.75" thickBot="1" x14ac:dyDescent="0.3">
      <c r="A76" s="86" t="s">
        <v>203</v>
      </c>
      <c r="B76" s="88">
        <v>1</v>
      </c>
    </row>
    <row r="77" spans="1:5" ht="30.75" thickBot="1" x14ac:dyDescent="0.3">
      <c r="A77" s="89" t="s">
        <v>177</v>
      </c>
      <c r="B77" s="90">
        <f>SUM(B74:B75)</f>
        <v>119.96105000000001</v>
      </c>
      <c r="C77" s="159"/>
    </row>
    <row r="79" spans="1:5" x14ac:dyDescent="0.25">
      <c r="C79" s="159"/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6" sqref="C6"/>
    </sheetView>
  </sheetViews>
  <sheetFormatPr defaultRowHeight="15" x14ac:dyDescent="0.25"/>
  <cols>
    <col min="1" max="1" width="31.28515625" customWidth="1"/>
    <col min="2" max="2" width="21.7109375" customWidth="1"/>
    <col min="4" max="4" width="13.7109375" customWidth="1"/>
  </cols>
  <sheetData>
    <row r="1" spans="1:4" ht="26.25" thickBot="1" x14ac:dyDescent="0.3">
      <c r="A1" s="105" t="s">
        <v>171</v>
      </c>
      <c r="B1" s="106" t="s">
        <v>172</v>
      </c>
      <c r="C1" s="107" t="s">
        <v>279</v>
      </c>
      <c r="D1" s="107" t="s">
        <v>280</v>
      </c>
    </row>
    <row r="2" spans="1:4" ht="15.75" thickBot="1" x14ac:dyDescent="0.3">
      <c r="A2" s="108" t="s">
        <v>281</v>
      </c>
      <c r="B2" s="109">
        <v>2</v>
      </c>
      <c r="C2" s="124">
        <v>22</v>
      </c>
      <c r="D2" s="125">
        <f>C2*B2</f>
        <v>44</v>
      </c>
    </row>
    <row r="3" spans="1:4" ht="15.75" thickBot="1" x14ac:dyDescent="0.3">
      <c r="A3" s="108" t="s">
        <v>282</v>
      </c>
      <c r="B3" s="109">
        <v>1</v>
      </c>
      <c r="C3" s="124">
        <v>7</v>
      </c>
      <c r="D3" s="125">
        <f t="shared" ref="D3:D8" si="0">C3*B3</f>
        <v>7</v>
      </c>
    </row>
    <row r="4" spans="1:4" ht="15.75" thickBot="1" x14ac:dyDescent="0.3">
      <c r="A4" s="108" t="s">
        <v>283</v>
      </c>
      <c r="B4" s="109">
        <v>2</v>
      </c>
      <c r="C4" s="124">
        <v>4.68</v>
      </c>
      <c r="D4" s="125">
        <f t="shared" si="0"/>
        <v>9.36</v>
      </c>
    </row>
    <row r="5" spans="1:4" ht="15.75" thickBot="1" x14ac:dyDescent="0.3">
      <c r="A5" s="108" t="s">
        <v>284</v>
      </c>
      <c r="B5" s="109">
        <v>2</v>
      </c>
      <c r="C5" s="124">
        <v>5</v>
      </c>
      <c r="D5" s="125">
        <f t="shared" si="0"/>
        <v>10</v>
      </c>
    </row>
    <row r="6" spans="1:4" ht="15.75" thickBot="1" x14ac:dyDescent="0.3">
      <c r="A6" s="108" t="s">
        <v>285</v>
      </c>
      <c r="B6" s="109">
        <v>1</v>
      </c>
      <c r="C6" s="124">
        <v>20</v>
      </c>
      <c r="D6" s="125">
        <f t="shared" si="0"/>
        <v>20</v>
      </c>
    </row>
    <row r="7" spans="1:4" ht="15.75" thickBot="1" x14ac:dyDescent="0.3">
      <c r="A7" s="108" t="s">
        <v>286</v>
      </c>
      <c r="B7" s="109">
        <v>1</v>
      </c>
      <c r="C7" s="124">
        <v>5</v>
      </c>
      <c r="D7" s="125">
        <f t="shared" si="0"/>
        <v>5</v>
      </c>
    </row>
    <row r="8" spans="1:4" ht="15.75" thickBot="1" x14ac:dyDescent="0.3">
      <c r="A8" s="108" t="s">
        <v>287</v>
      </c>
      <c r="B8" s="109">
        <v>1</v>
      </c>
      <c r="C8" s="124">
        <v>0.7</v>
      </c>
      <c r="D8" s="125">
        <f t="shared" si="0"/>
        <v>0.7</v>
      </c>
    </row>
    <row r="9" spans="1:4" ht="15.75" thickBot="1" x14ac:dyDescent="0.3">
      <c r="A9" s="794" t="s">
        <v>288</v>
      </c>
      <c r="B9" s="795"/>
      <c r="C9" s="796"/>
      <c r="D9" s="126">
        <f>SUM(D2:D8)</f>
        <v>96.06</v>
      </c>
    </row>
    <row r="10" spans="1:4" ht="15.75" thickBot="1" x14ac:dyDescent="0.3">
      <c r="A10" s="794" t="s">
        <v>307</v>
      </c>
      <c r="B10" s="795"/>
      <c r="C10" s="796"/>
      <c r="D10" s="127">
        <f>D9*2</f>
        <v>192.12</v>
      </c>
    </row>
    <row r="11" spans="1:4" ht="15.75" thickBot="1" x14ac:dyDescent="0.3">
      <c r="A11" s="797" t="s">
        <v>289</v>
      </c>
      <c r="B11" s="798"/>
      <c r="C11" s="799"/>
      <c r="D11" s="128">
        <f>D10/12</f>
        <v>16.010000000000002</v>
      </c>
    </row>
  </sheetData>
  <mergeCells count="3">
    <mergeCell ref="A9:C9"/>
    <mergeCell ref="A10:C10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23" sqref="E23"/>
    </sheetView>
  </sheetViews>
  <sheetFormatPr defaultRowHeight="15" x14ac:dyDescent="0.25"/>
  <cols>
    <col min="1" max="1" width="57.5703125" bestFit="1" customWidth="1"/>
    <col min="2" max="2" width="8.85546875" bestFit="1" customWidth="1"/>
    <col min="3" max="3" width="11.85546875" bestFit="1" customWidth="1"/>
    <col min="4" max="4" width="8.85546875" bestFit="1" customWidth="1"/>
  </cols>
  <sheetData>
    <row r="1" spans="1:4" ht="15.75" x14ac:dyDescent="0.25">
      <c r="A1" s="129" t="s">
        <v>308</v>
      </c>
    </row>
    <row r="2" spans="1:4" ht="16.5" thickBot="1" x14ac:dyDescent="0.3">
      <c r="A2" s="130" t="s">
        <v>309</v>
      </c>
    </row>
    <row r="3" spans="1:4" ht="26.25" thickBot="1" x14ac:dyDescent="0.3">
      <c r="A3" s="131" t="s">
        <v>212</v>
      </c>
      <c r="B3" s="132" t="s">
        <v>310</v>
      </c>
      <c r="C3" s="132" t="s">
        <v>311</v>
      </c>
      <c r="D3" s="132" t="s">
        <v>312</v>
      </c>
    </row>
    <row r="4" spans="1:4" ht="15.75" thickBot="1" x14ac:dyDescent="0.3">
      <c r="A4" s="108" t="s">
        <v>313</v>
      </c>
      <c r="B4" s="133">
        <v>80</v>
      </c>
      <c r="C4" s="99">
        <v>2</v>
      </c>
      <c r="D4" s="133">
        <f>C4*B4</f>
        <v>160</v>
      </c>
    </row>
    <row r="5" spans="1:4" ht="15.75" thickBot="1" x14ac:dyDescent="0.3">
      <c r="A5" s="108" t="s">
        <v>314</v>
      </c>
      <c r="B5" s="133">
        <v>15</v>
      </c>
      <c r="C5" s="99">
        <v>2</v>
      </c>
      <c r="D5" s="133">
        <f>C5*B5</f>
        <v>30</v>
      </c>
    </row>
    <row r="6" spans="1:4" ht="15.75" thickBot="1" x14ac:dyDescent="0.3">
      <c r="A6" s="108" t="s">
        <v>315</v>
      </c>
      <c r="B6" s="133">
        <v>20</v>
      </c>
      <c r="C6" s="134">
        <v>2</v>
      </c>
      <c r="D6" s="133">
        <f>C6*B6</f>
        <v>40</v>
      </c>
    </row>
    <row r="7" spans="1:4" ht="15.75" thickBot="1" x14ac:dyDescent="0.3">
      <c r="A7" s="108" t="s">
        <v>316</v>
      </c>
      <c r="B7" s="133">
        <v>45</v>
      </c>
      <c r="C7" s="135">
        <v>2</v>
      </c>
      <c r="D7" s="133">
        <f>C7*B7</f>
        <v>90</v>
      </c>
    </row>
    <row r="8" spans="1:4" ht="15.75" thickBot="1" x14ac:dyDescent="0.3">
      <c r="A8" s="108" t="s">
        <v>317</v>
      </c>
      <c r="B8" s="133">
        <v>2</v>
      </c>
      <c r="C8" s="135">
        <v>5</v>
      </c>
      <c r="D8" s="133">
        <f>C8*B8</f>
        <v>10</v>
      </c>
    </row>
    <row r="9" spans="1:4" ht="15.75" thickBot="1" x14ac:dyDescent="0.3">
      <c r="A9" s="136" t="s">
        <v>91</v>
      </c>
      <c r="B9" s="137"/>
      <c r="C9" s="138"/>
      <c r="D9" s="139">
        <f>SUM(D4:D8)</f>
        <v>330</v>
      </c>
    </row>
    <row r="10" spans="1:4" ht="15.75" thickBot="1" x14ac:dyDescent="0.3">
      <c r="A10" s="140"/>
      <c r="B10" s="111"/>
      <c r="C10" s="141" t="s">
        <v>167</v>
      </c>
      <c r="D10" s="139">
        <f>D9/6</f>
        <v>55</v>
      </c>
    </row>
    <row r="12" spans="1:4" ht="16.5" thickBot="1" x14ac:dyDescent="0.3">
      <c r="A12" s="130" t="s">
        <v>318</v>
      </c>
    </row>
    <row r="13" spans="1:4" ht="26.25" thickBot="1" x14ac:dyDescent="0.3">
      <c r="A13" s="131" t="s">
        <v>212</v>
      </c>
      <c r="B13" s="132" t="s">
        <v>310</v>
      </c>
      <c r="C13" s="132" t="s">
        <v>319</v>
      </c>
      <c r="D13" s="132" t="s">
        <v>312</v>
      </c>
    </row>
    <row r="14" spans="1:4" ht="15.75" thickBot="1" x14ac:dyDescent="0.3">
      <c r="A14" s="108" t="s">
        <v>320</v>
      </c>
      <c r="B14" s="133">
        <v>65</v>
      </c>
      <c r="C14" s="99">
        <v>2</v>
      </c>
      <c r="D14" s="133">
        <f t="shared" ref="D14:D19" si="0">B14*C14</f>
        <v>130</v>
      </c>
    </row>
    <row r="15" spans="1:4" ht="15.75" thickBot="1" x14ac:dyDescent="0.3">
      <c r="A15" s="108" t="s">
        <v>321</v>
      </c>
      <c r="B15" s="133">
        <v>2.5</v>
      </c>
      <c r="C15" s="99">
        <v>2</v>
      </c>
      <c r="D15" s="133">
        <f t="shared" si="0"/>
        <v>5</v>
      </c>
    </row>
    <row r="16" spans="1:4" ht="15.75" thickBot="1" x14ac:dyDescent="0.3">
      <c r="A16" s="108" t="s">
        <v>315</v>
      </c>
      <c r="B16" s="133">
        <v>18</v>
      </c>
      <c r="C16" s="134">
        <v>2</v>
      </c>
      <c r="D16" s="133">
        <f t="shared" si="0"/>
        <v>36</v>
      </c>
    </row>
    <row r="17" spans="1:4" ht="15.75" thickBot="1" x14ac:dyDescent="0.3">
      <c r="A17" s="108" t="s">
        <v>322</v>
      </c>
      <c r="B17" s="133">
        <v>2</v>
      </c>
      <c r="C17" s="135">
        <v>2</v>
      </c>
      <c r="D17" s="133">
        <f t="shared" si="0"/>
        <v>4</v>
      </c>
    </row>
    <row r="18" spans="1:4" ht="15.75" thickBot="1" x14ac:dyDescent="0.3">
      <c r="A18" s="108" t="s">
        <v>316</v>
      </c>
      <c r="B18" s="133">
        <v>50</v>
      </c>
      <c r="C18" s="135">
        <v>2</v>
      </c>
      <c r="D18" s="133">
        <f t="shared" si="0"/>
        <v>100</v>
      </c>
    </row>
    <row r="19" spans="1:4" ht="15.75" thickBot="1" x14ac:dyDescent="0.3">
      <c r="A19" s="108" t="s">
        <v>323</v>
      </c>
      <c r="B19" s="133">
        <v>3.5</v>
      </c>
      <c r="C19" s="135">
        <v>5</v>
      </c>
      <c r="D19" s="133">
        <f t="shared" si="0"/>
        <v>17.5</v>
      </c>
    </row>
    <row r="20" spans="1:4" ht="15.75" thickBot="1" x14ac:dyDescent="0.3">
      <c r="A20" s="136" t="s">
        <v>91</v>
      </c>
      <c r="B20" s="137"/>
      <c r="C20" s="138"/>
      <c r="D20" s="139">
        <f>SUM(D14:D19)</f>
        <v>292.5</v>
      </c>
    </row>
    <row r="21" spans="1:4" ht="15.75" thickBot="1" x14ac:dyDescent="0.3">
      <c r="A21" s="140"/>
      <c r="B21" s="111"/>
      <c r="C21" s="141" t="s">
        <v>167</v>
      </c>
      <c r="D21" s="139">
        <f>D20/6</f>
        <v>48.75</v>
      </c>
    </row>
    <row r="22" spans="1:4" ht="15.75" thickBot="1" x14ac:dyDescent="0.3">
      <c r="A22" s="142"/>
    </row>
    <row r="23" spans="1:4" ht="15.75" thickBot="1" x14ac:dyDescent="0.3">
      <c r="A23" s="140"/>
      <c r="B23" s="111"/>
      <c r="C23" s="143" t="s">
        <v>324</v>
      </c>
      <c r="D23" s="144">
        <f>(D10+D21)/2</f>
        <v>51.875</v>
      </c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3" sqref="B3"/>
    </sheetView>
  </sheetViews>
  <sheetFormatPr defaultRowHeight="15" x14ac:dyDescent="0.25"/>
  <cols>
    <col min="1" max="1" width="56.5703125" customWidth="1"/>
    <col min="3" max="3" width="11.140625" bestFit="1" customWidth="1"/>
  </cols>
  <sheetData>
    <row r="1" spans="1:4" ht="16.5" thickBot="1" x14ac:dyDescent="0.3">
      <c r="A1" s="800" t="s">
        <v>325</v>
      </c>
      <c r="B1" s="800"/>
      <c r="C1" s="800"/>
      <c r="D1" s="800"/>
    </row>
    <row r="2" spans="1:4" ht="26.25" thickBot="1" x14ac:dyDescent="0.3">
      <c r="A2" s="131" t="s">
        <v>212</v>
      </c>
      <c r="B2" s="132" t="s">
        <v>310</v>
      </c>
      <c r="C2" s="132" t="s">
        <v>319</v>
      </c>
      <c r="D2" s="132" t="s">
        <v>312</v>
      </c>
    </row>
    <row r="3" spans="1:4" ht="15.75" thickBot="1" x14ac:dyDescent="0.3">
      <c r="A3" s="108" t="s">
        <v>326</v>
      </c>
      <c r="B3" s="133">
        <v>16</v>
      </c>
      <c r="C3" s="99">
        <v>2</v>
      </c>
      <c r="D3" s="133">
        <f t="shared" ref="D3:D8" si="0">C3*B3</f>
        <v>32</v>
      </c>
    </row>
    <row r="4" spans="1:4" ht="15.75" thickBot="1" x14ac:dyDescent="0.3">
      <c r="A4" s="108" t="s">
        <v>327</v>
      </c>
      <c r="B4" s="133">
        <v>18</v>
      </c>
      <c r="C4" s="99">
        <v>2</v>
      </c>
      <c r="D4" s="133">
        <f t="shared" si="0"/>
        <v>36</v>
      </c>
    </row>
    <row r="5" spans="1:4" ht="15.75" thickBot="1" x14ac:dyDescent="0.3">
      <c r="A5" s="108" t="s">
        <v>328</v>
      </c>
      <c r="B5" s="133">
        <v>23</v>
      </c>
      <c r="C5" s="99">
        <v>2</v>
      </c>
      <c r="D5" s="133">
        <f t="shared" si="0"/>
        <v>46</v>
      </c>
    </row>
    <row r="6" spans="1:4" ht="15.75" thickBot="1" x14ac:dyDescent="0.3">
      <c r="A6" s="108" t="s">
        <v>329</v>
      </c>
      <c r="B6" s="133">
        <v>15</v>
      </c>
      <c r="C6" s="99">
        <v>2</v>
      </c>
      <c r="D6" s="133">
        <f t="shared" si="0"/>
        <v>30</v>
      </c>
    </row>
    <row r="7" spans="1:4" ht="15.75" thickBot="1" x14ac:dyDescent="0.3">
      <c r="A7" s="108" t="s">
        <v>330</v>
      </c>
      <c r="B7" s="133">
        <v>2</v>
      </c>
      <c r="C7" s="134">
        <v>5</v>
      </c>
      <c r="D7" s="133">
        <f t="shared" si="0"/>
        <v>10</v>
      </c>
    </row>
    <row r="8" spans="1:4" ht="15.75" thickBot="1" x14ac:dyDescent="0.3">
      <c r="A8" s="108" t="s">
        <v>331</v>
      </c>
      <c r="B8" s="133">
        <v>47</v>
      </c>
      <c r="C8" s="135">
        <v>2</v>
      </c>
      <c r="D8" s="133">
        <f t="shared" si="0"/>
        <v>94</v>
      </c>
    </row>
    <row r="9" spans="1:4" ht="15.75" thickBot="1" x14ac:dyDescent="0.3">
      <c r="A9" s="136" t="s">
        <v>91</v>
      </c>
      <c r="B9" s="137"/>
      <c r="C9" s="138"/>
      <c r="D9" s="139">
        <f>SUM(D3:D8)</f>
        <v>248</v>
      </c>
    </row>
    <row r="10" spans="1:4" ht="15.75" thickBot="1" x14ac:dyDescent="0.3">
      <c r="A10" s="140"/>
      <c r="B10" s="111"/>
      <c r="C10" s="141" t="s">
        <v>167</v>
      </c>
      <c r="D10" s="139">
        <f>D9/6</f>
        <v>41.333333333333336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Normal="100" workbookViewId="0">
      <selection activeCell="D107" sqref="D107"/>
    </sheetView>
  </sheetViews>
  <sheetFormatPr defaultRowHeight="12.75" x14ac:dyDescent="0.2"/>
  <cols>
    <col min="1" max="1" width="55" style="162" customWidth="1"/>
    <col min="2" max="2" width="14.140625" style="162" customWidth="1"/>
    <col min="3" max="3" width="33.85546875" style="162" customWidth="1"/>
    <col min="4" max="4" width="47.85546875" style="162" bestFit="1" customWidth="1"/>
    <col min="5" max="5" width="13.28515625" style="162" bestFit="1" customWidth="1"/>
    <col min="6" max="6" width="9.5703125" style="162" bestFit="1" customWidth="1"/>
    <col min="7" max="256" width="9.140625" style="162"/>
    <col min="257" max="257" width="80.7109375" style="162" customWidth="1"/>
    <col min="258" max="258" width="14.140625" style="162" customWidth="1"/>
    <col min="259" max="259" width="33.85546875" style="162" customWidth="1"/>
    <col min="260" max="260" width="47.85546875" style="162" bestFit="1" customWidth="1"/>
    <col min="261" max="261" width="13.28515625" style="162" bestFit="1" customWidth="1"/>
    <col min="262" max="262" width="9.5703125" style="162" bestFit="1" customWidth="1"/>
    <col min="263" max="512" width="9.140625" style="162"/>
    <col min="513" max="513" width="80.7109375" style="162" customWidth="1"/>
    <col min="514" max="514" width="14.140625" style="162" customWidth="1"/>
    <col min="515" max="515" width="33.85546875" style="162" customWidth="1"/>
    <col min="516" max="516" width="47.85546875" style="162" bestFit="1" customWidth="1"/>
    <col min="517" max="517" width="13.28515625" style="162" bestFit="1" customWidth="1"/>
    <col min="518" max="518" width="9.5703125" style="162" bestFit="1" customWidth="1"/>
    <col min="519" max="768" width="9.140625" style="162"/>
    <col min="769" max="769" width="80.7109375" style="162" customWidth="1"/>
    <col min="770" max="770" width="14.140625" style="162" customWidth="1"/>
    <col min="771" max="771" width="33.85546875" style="162" customWidth="1"/>
    <col min="772" max="772" width="47.85546875" style="162" bestFit="1" customWidth="1"/>
    <col min="773" max="773" width="13.28515625" style="162" bestFit="1" customWidth="1"/>
    <col min="774" max="774" width="9.5703125" style="162" bestFit="1" customWidth="1"/>
    <col min="775" max="1024" width="9.140625" style="162"/>
    <col min="1025" max="1025" width="80.7109375" style="162" customWidth="1"/>
    <col min="1026" max="1026" width="14.140625" style="162" customWidth="1"/>
    <col min="1027" max="1027" width="33.85546875" style="162" customWidth="1"/>
    <col min="1028" max="1028" width="47.85546875" style="162" bestFit="1" customWidth="1"/>
    <col min="1029" max="1029" width="13.28515625" style="162" bestFit="1" customWidth="1"/>
    <col min="1030" max="1030" width="9.5703125" style="162" bestFit="1" customWidth="1"/>
    <col min="1031" max="1280" width="9.140625" style="162"/>
    <col min="1281" max="1281" width="80.7109375" style="162" customWidth="1"/>
    <col min="1282" max="1282" width="14.140625" style="162" customWidth="1"/>
    <col min="1283" max="1283" width="33.85546875" style="162" customWidth="1"/>
    <col min="1284" max="1284" width="47.85546875" style="162" bestFit="1" customWidth="1"/>
    <col min="1285" max="1285" width="13.28515625" style="162" bestFit="1" customWidth="1"/>
    <col min="1286" max="1286" width="9.5703125" style="162" bestFit="1" customWidth="1"/>
    <col min="1287" max="1536" width="9.140625" style="162"/>
    <col min="1537" max="1537" width="80.7109375" style="162" customWidth="1"/>
    <col min="1538" max="1538" width="14.140625" style="162" customWidth="1"/>
    <col min="1539" max="1539" width="33.85546875" style="162" customWidth="1"/>
    <col min="1540" max="1540" width="47.85546875" style="162" bestFit="1" customWidth="1"/>
    <col min="1541" max="1541" width="13.28515625" style="162" bestFit="1" customWidth="1"/>
    <col min="1542" max="1542" width="9.5703125" style="162" bestFit="1" customWidth="1"/>
    <col min="1543" max="1792" width="9.140625" style="162"/>
    <col min="1793" max="1793" width="80.7109375" style="162" customWidth="1"/>
    <col min="1794" max="1794" width="14.140625" style="162" customWidth="1"/>
    <col min="1795" max="1795" width="33.85546875" style="162" customWidth="1"/>
    <col min="1796" max="1796" width="47.85546875" style="162" bestFit="1" customWidth="1"/>
    <col min="1797" max="1797" width="13.28515625" style="162" bestFit="1" customWidth="1"/>
    <col min="1798" max="1798" width="9.5703125" style="162" bestFit="1" customWidth="1"/>
    <col min="1799" max="2048" width="9.140625" style="162"/>
    <col min="2049" max="2049" width="80.7109375" style="162" customWidth="1"/>
    <col min="2050" max="2050" width="14.140625" style="162" customWidth="1"/>
    <col min="2051" max="2051" width="33.85546875" style="162" customWidth="1"/>
    <col min="2052" max="2052" width="47.85546875" style="162" bestFit="1" customWidth="1"/>
    <col min="2053" max="2053" width="13.28515625" style="162" bestFit="1" customWidth="1"/>
    <col min="2054" max="2054" width="9.5703125" style="162" bestFit="1" customWidth="1"/>
    <col min="2055" max="2304" width="9.140625" style="162"/>
    <col min="2305" max="2305" width="80.7109375" style="162" customWidth="1"/>
    <col min="2306" max="2306" width="14.140625" style="162" customWidth="1"/>
    <col min="2307" max="2307" width="33.85546875" style="162" customWidth="1"/>
    <col min="2308" max="2308" width="47.85546875" style="162" bestFit="1" customWidth="1"/>
    <col min="2309" max="2309" width="13.28515625" style="162" bestFit="1" customWidth="1"/>
    <col min="2310" max="2310" width="9.5703125" style="162" bestFit="1" customWidth="1"/>
    <col min="2311" max="2560" width="9.140625" style="162"/>
    <col min="2561" max="2561" width="80.7109375" style="162" customWidth="1"/>
    <col min="2562" max="2562" width="14.140625" style="162" customWidth="1"/>
    <col min="2563" max="2563" width="33.85546875" style="162" customWidth="1"/>
    <col min="2564" max="2564" width="47.85546875" style="162" bestFit="1" customWidth="1"/>
    <col min="2565" max="2565" width="13.28515625" style="162" bestFit="1" customWidth="1"/>
    <col min="2566" max="2566" width="9.5703125" style="162" bestFit="1" customWidth="1"/>
    <col min="2567" max="2816" width="9.140625" style="162"/>
    <col min="2817" max="2817" width="80.7109375" style="162" customWidth="1"/>
    <col min="2818" max="2818" width="14.140625" style="162" customWidth="1"/>
    <col min="2819" max="2819" width="33.85546875" style="162" customWidth="1"/>
    <col min="2820" max="2820" width="47.85546875" style="162" bestFit="1" customWidth="1"/>
    <col min="2821" max="2821" width="13.28515625" style="162" bestFit="1" customWidth="1"/>
    <col min="2822" max="2822" width="9.5703125" style="162" bestFit="1" customWidth="1"/>
    <col min="2823" max="3072" width="9.140625" style="162"/>
    <col min="3073" max="3073" width="80.7109375" style="162" customWidth="1"/>
    <col min="3074" max="3074" width="14.140625" style="162" customWidth="1"/>
    <col min="3075" max="3075" width="33.85546875" style="162" customWidth="1"/>
    <col min="3076" max="3076" width="47.85546875" style="162" bestFit="1" customWidth="1"/>
    <col min="3077" max="3077" width="13.28515625" style="162" bestFit="1" customWidth="1"/>
    <col min="3078" max="3078" width="9.5703125" style="162" bestFit="1" customWidth="1"/>
    <col min="3079" max="3328" width="9.140625" style="162"/>
    <col min="3329" max="3329" width="80.7109375" style="162" customWidth="1"/>
    <col min="3330" max="3330" width="14.140625" style="162" customWidth="1"/>
    <col min="3331" max="3331" width="33.85546875" style="162" customWidth="1"/>
    <col min="3332" max="3332" width="47.85546875" style="162" bestFit="1" customWidth="1"/>
    <col min="3333" max="3333" width="13.28515625" style="162" bestFit="1" customWidth="1"/>
    <col min="3334" max="3334" width="9.5703125" style="162" bestFit="1" customWidth="1"/>
    <col min="3335" max="3584" width="9.140625" style="162"/>
    <col min="3585" max="3585" width="80.7109375" style="162" customWidth="1"/>
    <col min="3586" max="3586" width="14.140625" style="162" customWidth="1"/>
    <col min="3587" max="3587" width="33.85546875" style="162" customWidth="1"/>
    <col min="3588" max="3588" width="47.85546875" style="162" bestFit="1" customWidth="1"/>
    <col min="3589" max="3589" width="13.28515625" style="162" bestFit="1" customWidth="1"/>
    <col min="3590" max="3590" width="9.5703125" style="162" bestFit="1" customWidth="1"/>
    <col min="3591" max="3840" width="9.140625" style="162"/>
    <col min="3841" max="3841" width="80.7109375" style="162" customWidth="1"/>
    <col min="3842" max="3842" width="14.140625" style="162" customWidth="1"/>
    <col min="3843" max="3843" width="33.85546875" style="162" customWidth="1"/>
    <col min="3844" max="3844" width="47.85546875" style="162" bestFit="1" customWidth="1"/>
    <col min="3845" max="3845" width="13.28515625" style="162" bestFit="1" customWidth="1"/>
    <col min="3846" max="3846" width="9.5703125" style="162" bestFit="1" customWidth="1"/>
    <col min="3847" max="4096" width="9.140625" style="162"/>
    <col min="4097" max="4097" width="80.7109375" style="162" customWidth="1"/>
    <col min="4098" max="4098" width="14.140625" style="162" customWidth="1"/>
    <col min="4099" max="4099" width="33.85546875" style="162" customWidth="1"/>
    <col min="4100" max="4100" width="47.85546875" style="162" bestFit="1" customWidth="1"/>
    <col min="4101" max="4101" width="13.28515625" style="162" bestFit="1" customWidth="1"/>
    <col min="4102" max="4102" width="9.5703125" style="162" bestFit="1" customWidth="1"/>
    <col min="4103" max="4352" width="9.140625" style="162"/>
    <col min="4353" max="4353" width="80.7109375" style="162" customWidth="1"/>
    <col min="4354" max="4354" width="14.140625" style="162" customWidth="1"/>
    <col min="4355" max="4355" width="33.85546875" style="162" customWidth="1"/>
    <col min="4356" max="4356" width="47.85546875" style="162" bestFit="1" customWidth="1"/>
    <col min="4357" max="4357" width="13.28515625" style="162" bestFit="1" customWidth="1"/>
    <col min="4358" max="4358" width="9.5703125" style="162" bestFit="1" customWidth="1"/>
    <col min="4359" max="4608" width="9.140625" style="162"/>
    <col min="4609" max="4609" width="80.7109375" style="162" customWidth="1"/>
    <col min="4610" max="4610" width="14.140625" style="162" customWidth="1"/>
    <col min="4611" max="4611" width="33.85546875" style="162" customWidth="1"/>
    <col min="4612" max="4612" width="47.85546875" style="162" bestFit="1" customWidth="1"/>
    <col min="4613" max="4613" width="13.28515625" style="162" bestFit="1" customWidth="1"/>
    <col min="4614" max="4614" width="9.5703125" style="162" bestFit="1" customWidth="1"/>
    <col min="4615" max="4864" width="9.140625" style="162"/>
    <col min="4865" max="4865" width="80.7109375" style="162" customWidth="1"/>
    <col min="4866" max="4866" width="14.140625" style="162" customWidth="1"/>
    <col min="4867" max="4867" width="33.85546875" style="162" customWidth="1"/>
    <col min="4868" max="4868" width="47.85546875" style="162" bestFit="1" customWidth="1"/>
    <col min="4869" max="4869" width="13.28515625" style="162" bestFit="1" customWidth="1"/>
    <col min="4870" max="4870" width="9.5703125" style="162" bestFit="1" customWidth="1"/>
    <col min="4871" max="5120" width="9.140625" style="162"/>
    <col min="5121" max="5121" width="80.7109375" style="162" customWidth="1"/>
    <col min="5122" max="5122" width="14.140625" style="162" customWidth="1"/>
    <col min="5123" max="5123" width="33.85546875" style="162" customWidth="1"/>
    <col min="5124" max="5124" width="47.85546875" style="162" bestFit="1" customWidth="1"/>
    <col min="5125" max="5125" width="13.28515625" style="162" bestFit="1" customWidth="1"/>
    <col min="5126" max="5126" width="9.5703125" style="162" bestFit="1" customWidth="1"/>
    <col min="5127" max="5376" width="9.140625" style="162"/>
    <col min="5377" max="5377" width="80.7109375" style="162" customWidth="1"/>
    <col min="5378" max="5378" width="14.140625" style="162" customWidth="1"/>
    <col min="5379" max="5379" width="33.85546875" style="162" customWidth="1"/>
    <col min="5380" max="5380" width="47.85546875" style="162" bestFit="1" customWidth="1"/>
    <col min="5381" max="5381" width="13.28515625" style="162" bestFit="1" customWidth="1"/>
    <col min="5382" max="5382" width="9.5703125" style="162" bestFit="1" customWidth="1"/>
    <col min="5383" max="5632" width="9.140625" style="162"/>
    <col min="5633" max="5633" width="80.7109375" style="162" customWidth="1"/>
    <col min="5634" max="5634" width="14.140625" style="162" customWidth="1"/>
    <col min="5635" max="5635" width="33.85546875" style="162" customWidth="1"/>
    <col min="5636" max="5636" width="47.85546875" style="162" bestFit="1" customWidth="1"/>
    <col min="5637" max="5637" width="13.28515625" style="162" bestFit="1" customWidth="1"/>
    <col min="5638" max="5638" width="9.5703125" style="162" bestFit="1" customWidth="1"/>
    <col min="5639" max="5888" width="9.140625" style="162"/>
    <col min="5889" max="5889" width="80.7109375" style="162" customWidth="1"/>
    <col min="5890" max="5890" width="14.140625" style="162" customWidth="1"/>
    <col min="5891" max="5891" width="33.85546875" style="162" customWidth="1"/>
    <col min="5892" max="5892" width="47.85546875" style="162" bestFit="1" customWidth="1"/>
    <col min="5893" max="5893" width="13.28515625" style="162" bestFit="1" customWidth="1"/>
    <col min="5894" max="5894" width="9.5703125" style="162" bestFit="1" customWidth="1"/>
    <col min="5895" max="6144" width="9.140625" style="162"/>
    <col min="6145" max="6145" width="80.7109375" style="162" customWidth="1"/>
    <col min="6146" max="6146" width="14.140625" style="162" customWidth="1"/>
    <col min="6147" max="6147" width="33.85546875" style="162" customWidth="1"/>
    <col min="6148" max="6148" width="47.85546875" style="162" bestFit="1" customWidth="1"/>
    <col min="6149" max="6149" width="13.28515625" style="162" bestFit="1" customWidth="1"/>
    <col min="6150" max="6150" width="9.5703125" style="162" bestFit="1" customWidth="1"/>
    <col min="6151" max="6400" width="9.140625" style="162"/>
    <col min="6401" max="6401" width="80.7109375" style="162" customWidth="1"/>
    <col min="6402" max="6402" width="14.140625" style="162" customWidth="1"/>
    <col min="6403" max="6403" width="33.85546875" style="162" customWidth="1"/>
    <col min="6404" max="6404" width="47.85546875" style="162" bestFit="1" customWidth="1"/>
    <col min="6405" max="6405" width="13.28515625" style="162" bestFit="1" customWidth="1"/>
    <col min="6406" max="6406" width="9.5703125" style="162" bestFit="1" customWidth="1"/>
    <col min="6407" max="6656" width="9.140625" style="162"/>
    <col min="6657" max="6657" width="80.7109375" style="162" customWidth="1"/>
    <col min="6658" max="6658" width="14.140625" style="162" customWidth="1"/>
    <col min="6659" max="6659" width="33.85546875" style="162" customWidth="1"/>
    <col min="6660" max="6660" width="47.85546875" style="162" bestFit="1" customWidth="1"/>
    <col min="6661" max="6661" width="13.28515625" style="162" bestFit="1" customWidth="1"/>
    <col min="6662" max="6662" width="9.5703125" style="162" bestFit="1" customWidth="1"/>
    <col min="6663" max="6912" width="9.140625" style="162"/>
    <col min="6913" max="6913" width="80.7109375" style="162" customWidth="1"/>
    <col min="6914" max="6914" width="14.140625" style="162" customWidth="1"/>
    <col min="6915" max="6915" width="33.85546875" style="162" customWidth="1"/>
    <col min="6916" max="6916" width="47.85546875" style="162" bestFit="1" customWidth="1"/>
    <col min="6917" max="6917" width="13.28515625" style="162" bestFit="1" customWidth="1"/>
    <col min="6918" max="6918" width="9.5703125" style="162" bestFit="1" customWidth="1"/>
    <col min="6919" max="7168" width="9.140625" style="162"/>
    <col min="7169" max="7169" width="80.7109375" style="162" customWidth="1"/>
    <col min="7170" max="7170" width="14.140625" style="162" customWidth="1"/>
    <col min="7171" max="7171" width="33.85546875" style="162" customWidth="1"/>
    <col min="7172" max="7172" width="47.85546875" style="162" bestFit="1" customWidth="1"/>
    <col min="7173" max="7173" width="13.28515625" style="162" bestFit="1" customWidth="1"/>
    <col min="7174" max="7174" width="9.5703125" style="162" bestFit="1" customWidth="1"/>
    <col min="7175" max="7424" width="9.140625" style="162"/>
    <col min="7425" max="7425" width="80.7109375" style="162" customWidth="1"/>
    <col min="7426" max="7426" width="14.140625" style="162" customWidth="1"/>
    <col min="7427" max="7427" width="33.85546875" style="162" customWidth="1"/>
    <col min="7428" max="7428" width="47.85546875" style="162" bestFit="1" customWidth="1"/>
    <col min="7429" max="7429" width="13.28515625" style="162" bestFit="1" customWidth="1"/>
    <col min="7430" max="7430" width="9.5703125" style="162" bestFit="1" customWidth="1"/>
    <col min="7431" max="7680" width="9.140625" style="162"/>
    <col min="7681" max="7681" width="80.7109375" style="162" customWidth="1"/>
    <col min="7682" max="7682" width="14.140625" style="162" customWidth="1"/>
    <col min="7683" max="7683" width="33.85546875" style="162" customWidth="1"/>
    <col min="7684" max="7684" width="47.85546875" style="162" bestFit="1" customWidth="1"/>
    <col min="7685" max="7685" width="13.28515625" style="162" bestFit="1" customWidth="1"/>
    <col min="7686" max="7686" width="9.5703125" style="162" bestFit="1" customWidth="1"/>
    <col min="7687" max="7936" width="9.140625" style="162"/>
    <col min="7937" max="7937" width="80.7109375" style="162" customWidth="1"/>
    <col min="7938" max="7938" width="14.140625" style="162" customWidth="1"/>
    <col min="7939" max="7939" width="33.85546875" style="162" customWidth="1"/>
    <col min="7940" max="7940" width="47.85546875" style="162" bestFit="1" customWidth="1"/>
    <col min="7941" max="7941" width="13.28515625" style="162" bestFit="1" customWidth="1"/>
    <col min="7942" max="7942" width="9.5703125" style="162" bestFit="1" customWidth="1"/>
    <col min="7943" max="8192" width="9.140625" style="162"/>
    <col min="8193" max="8193" width="80.7109375" style="162" customWidth="1"/>
    <col min="8194" max="8194" width="14.140625" style="162" customWidth="1"/>
    <col min="8195" max="8195" width="33.85546875" style="162" customWidth="1"/>
    <col min="8196" max="8196" width="47.85546875" style="162" bestFit="1" customWidth="1"/>
    <col min="8197" max="8197" width="13.28515625" style="162" bestFit="1" customWidth="1"/>
    <col min="8198" max="8198" width="9.5703125" style="162" bestFit="1" customWidth="1"/>
    <col min="8199" max="8448" width="9.140625" style="162"/>
    <col min="8449" max="8449" width="80.7109375" style="162" customWidth="1"/>
    <col min="8450" max="8450" width="14.140625" style="162" customWidth="1"/>
    <col min="8451" max="8451" width="33.85546875" style="162" customWidth="1"/>
    <col min="8452" max="8452" width="47.85546875" style="162" bestFit="1" customWidth="1"/>
    <col min="8453" max="8453" width="13.28515625" style="162" bestFit="1" customWidth="1"/>
    <col min="8454" max="8454" width="9.5703125" style="162" bestFit="1" customWidth="1"/>
    <col min="8455" max="8704" width="9.140625" style="162"/>
    <col min="8705" max="8705" width="80.7109375" style="162" customWidth="1"/>
    <col min="8706" max="8706" width="14.140625" style="162" customWidth="1"/>
    <col min="8707" max="8707" width="33.85546875" style="162" customWidth="1"/>
    <col min="8708" max="8708" width="47.85546875" style="162" bestFit="1" customWidth="1"/>
    <col min="8709" max="8709" width="13.28515625" style="162" bestFit="1" customWidth="1"/>
    <col min="8710" max="8710" width="9.5703125" style="162" bestFit="1" customWidth="1"/>
    <col min="8711" max="8960" width="9.140625" style="162"/>
    <col min="8961" max="8961" width="80.7109375" style="162" customWidth="1"/>
    <col min="8962" max="8962" width="14.140625" style="162" customWidth="1"/>
    <col min="8963" max="8963" width="33.85546875" style="162" customWidth="1"/>
    <col min="8964" max="8964" width="47.85546875" style="162" bestFit="1" customWidth="1"/>
    <col min="8965" max="8965" width="13.28515625" style="162" bestFit="1" customWidth="1"/>
    <col min="8966" max="8966" width="9.5703125" style="162" bestFit="1" customWidth="1"/>
    <col min="8967" max="9216" width="9.140625" style="162"/>
    <col min="9217" max="9217" width="80.7109375" style="162" customWidth="1"/>
    <col min="9218" max="9218" width="14.140625" style="162" customWidth="1"/>
    <col min="9219" max="9219" width="33.85546875" style="162" customWidth="1"/>
    <col min="9220" max="9220" width="47.85546875" style="162" bestFit="1" customWidth="1"/>
    <col min="9221" max="9221" width="13.28515625" style="162" bestFit="1" customWidth="1"/>
    <col min="9222" max="9222" width="9.5703125" style="162" bestFit="1" customWidth="1"/>
    <col min="9223" max="9472" width="9.140625" style="162"/>
    <col min="9473" max="9473" width="80.7109375" style="162" customWidth="1"/>
    <col min="9474" max="9474" width="14.140625" style="162" customWidth="1"/>
    <col min="9475" max="9475" width="33.85546875" style="162" customWidth="1"/>
    <col min="9476" max="9476" width="47.85546875" style="162" bestFit="1" customWidth="1"/>
    <col min="9477" max="9477" width="13.28515625" style="162" bestFit="1" customWidth="1"/>
    <col min="9478" max="9478" width="9.5703125" style="162" bestFit="1" customWidth="1"/>
    <col min="9479" max="9728" width="9.140625" style="162"/>
    <col min="9729" max="9729" width="80.7109375" style="162" customWidth="1"/>
    <col min="9730" max="9730" width="14.140625" style="162" customWidth="1"/>
    <col min="9731" max="9731" width="33.85546875" style="162" customWidth="1"/>
    <col min="9732" max="9732" width="47.85546875" style="162" bestFit="1" customWidth="1"/>
    <col min="9733" max="9733" width="13.28515625" style="162" bestFit="1" customWidth="1"/>
    <col min="9734" max="9734" width="9.5703125" style="162" bestFit="1" customWidth="1"/>
    <col min="9735" max="9984" width="9.140625" style="162"/>
    <col min="9985" max="9985" width="80.7109375" style="162" customWidth="1"/>
    <col min="9986" max="9986" width="14.140625" style="162" customWidth="1"/>
    <col min="9987" max="9987" width="33.85546875" style="162" customWidth="1"/>
    <col min="9988" max="9988" width="47.85546875" style="162" bestFit="1" customWidth="1"/>
    <col min="9989" max="9989" width="13.28515625" style="162" bestFit="1" customWidth="1"/>
    <col min="9990" max="9990" width="9.5703125" style="162" bestFit="1" customWidth="1"/>
    <col min="9991" max="10240" width="9.140625" style="162"/>
    <col min="10241" max="10241" width="80.7109375" style="162" customWidth="1"/>
    <col min="10242" max="10242" width="14.140625" style="162" customWidth="1"/>
    <col min="10243" max="10243" width="33.85546875" style="162" customWidth="1"/>
    <col min="10244" max="10244" width="47.85546875" style="162" bestFit="1" customWidth="1"/>
    <col min="10245" max="10245" width="13.28515625" style="162" bestFit="1" customWidth="1"/>
    <col min="10246" max="10246" width="9.5703125" style="162" bestFit="1" customWidth="1"/>
    <col min="10247" max="10496" width="9.140625" style="162"/>
    <col min="10497" max="10497" width="80.7109375" style="162" customWidth="1"/>
    <col min="10498" max="10498" width="14.140625" style="162" customWidth="1"/>
    <col min="10499" max="10499" width="33.85546875" style="162" customWidth="1"/>
    <col min="10500" max="10500" width="47.85546875" style="162" bestFit="1" customWidth="1"/>
    <col min="10501" max="10501" width="13.28515625" style="162" bestFit="1" customWidth="1"/>
    <col min="10502" max="10502" width="9.5703125" style="162" bestFit="1" customWidth="1"/>
    <col min="10503" max="10752" width="9.140625" style="162"/>
    <col min="10753" max="10753" width="80.7109375" style="162" customWidth="1"/>
    <col min="10754" max="10754" width="14.140625" style="162" customWidth="1"/>
    <col min="10755" max="10755" width="33.85546875" style="162" customWidth="1"/>
    <col min="10756" max="10756" width="47.85546875" style="162" bestFit="1" customWidth="1"/>
    <col min="10757" max="10757" width="13.28515625" style="162" bestFit="1" customWidth="1"/>
    <col min="10758" max="10758" width="9.5703125" style="162" bestFit="1" customWidth="1"/>
    <col min="10759" max="11008" width="9.140625" style="162"/>
    <col min="11009" max="11009" width="80.7109375" style="162" customWidth="1"/>
    <col min="11010" max="11010" width="14.140625" style="162" customWidth="1"/>
    <col min="11011" max="11011" width="33.85546875" style="162" customWidth="1"/>
    <col min="11012" max="11012" width="47.85546875" style="162" bestFit="1" customWidth="1"/>
    <col min="11013" max="11013" width="13.28515625" style="162" bestFit="1" customWidth="1"/>
    <col min="11014" max="11014" width="9.5703125" style="162" bestFit="1" customWidth="1"/>
    <col min="11015" max="11264" width="9.140625" style="162"/>
    <col min="11265" max="11265" width="80.7109375" style="162" customWidth="1"/>
    <col min="11266" max="11266" width="14.140625" style="162" customWidth="1"/>
    <col min="11267" max="11267" width="33.85546875" style="162" customWidth="1"/>
    <col min="11268" max="11268" width="47.85546875" style="162" bestFit="1" customWidth="1"/>
    <col min="11269" max="11269" width="13.28515625" style="162" bestFit="1" customWidth="1"/>
    <col min="11270" max="11270" width="9.5703125" style="162" bestFit="1" customWidth="1"/>
    <col min="11271" max="11520" width="9.140625" style="162"/>
    <col min="11521" max="11521" width="80.7109375" style="162" customWidth="1"/>
    <col min="11522" max="11522" width="14.140625" style="162" customWidth="1"/>
    <col min="11523" max="11523" width="33.85546875" style="162" customWidth="1"/>
    <col min="11524" max="11524" width="47.85546875" style="162" bestFit="1" customWidth="1"/>
    <col min="11525" max="11525" width="13.28515625" style="162" bestFit="1" customWidth="1"/>
    <col min="11526" max="11526" width="9.5703125" style="162" bestFit="1" customWidth="1"/>
    <col min="11527" max="11776" width="9.140625" style="162"/>
    <col min="11777" max="11777" width="80.7109375" style="162" customWidth="1"/>
    <col min="11778" max="11778" width="14.140625" style="162" customWidth="1"/>
    <col min="11779" max="11779" width="33.85546875" style="162" customWidth="1"/>
    <col min="11780" max="11780" width="47.85546875" style="162" bestFit="1" customWidth="1"/>
    <col min="11781" max="11781" width="13.28515625" style="162" bestFit="1" customWidth="1"/>
    <col min="11782" max="11782" width="9.5703125" style="162" bestFit="1" customWidth="1"/>
    <col min="11783" max="12032" width="9.140625" style="162"/>
    <col min="12033" max="12033" width="80.7109375" style="162" customWidth="1"/>
    <col min="12034" max="12034" width="14.140625" style="162" customWidth="1"/>
    <col min="12035" max="12035" width="33.85546875" style="162" customWidth="1"/>
    <col min="12036" max="12036" width="47.85546875" style="162" bestFit="1" customWidth="1"/>
    <col min="12037" max="12037" width="13.28515625" style="162" bestFit="1" customWidth="1"/>
    <col min="12038" max="12038" width="9.5703125" style="162" bestFit="1" customWidth="1"/>
    <col min="12039" max="12288" width="9.140625" style="162"/>
    <col min="12289" max="12289" width="80.7109375" style="162" customWidth="1"/>
    <col min="12290" max="12290" width="14.140625" style="162" customWidth="1"/>
    <col min="12291" max="12291" width="33.85546875" style="162" customWidth="1"/>
    <col min="12292" max="12292" width="47.85546875" style="162" bestFit="1" customWidth="1"/>
    <col min="12293" max="12293" width="13.28515625" style="162" bestFit="1" customWidth="1"/>
    <col min="12294" max="12294" width="9.5703125" style="162" bestFit="1" customWidth="1"/>
    <col min="12295" max="12544" width="9.140625" style="162"/>
    <col min="12545" max="12545" width="80.7109375" style="162" customWidth="1"/>
    <col min="12546" max="12546" width="14.140625" style="162" customWidth="1"/>
    <col min="12547" max="12547" width="33.85546875" style="162" customWidth="1"/>
    <col min="12548" max="12548" width="47.85546875" style="162" bestFit="1" customWidth="1"/>
    <col min="12549" max="12549" width="13.28515625" style="162" bestFit="1" customWidth="1"/>
    <col min="12550" max="12550" width="9.5703125" style="162" bestFit="1" customWidth="1"/>
    <col min="12551" max="12800" width="9.140625" style="162"/>
    <col min="12801" max="12801" width="80.7109375" style="162" customWidth="1"/>
    <col min="12802" max="12802" width="14.140625" style="162" customWidth="1"/>
    <col min="12803" max="12803" width="33.85546875" style="162" customWidth="1"/>
    <col min="12804" max="12804" width="47.85546875" style="162" bestFit="1" customWidth="1"/>
    <col min="12805" max="12805" width="13.28515625" style="162" bestFit="1" customWidth="1"/>
    <col min="12806" max="12806" width="9.5703125" style="162" bestFit="1" customWidth="1"/>
    <col min="12807" max="13056" width="9.140625" style="162"/>
    <col min="13057" max="13057" width="80.7109375" style="162" customWidth="1"/>
    <col min="13058" max="13058" width="14.140625" style="162" customWidth="1"/>
    <col min="13059" max="13059" width="33.85546875" style="162" customWidth="1"/>
    <col min="13060" max="13060" width="47.85546875" style="162" bestFit="1" customWidth="1"/>
    <col min="13061" max="13061" width="13.28515625" style="162" bestFit="1" customWidth="1"/>
    <col min="13062" max="13062" width="9.5703125" style="162" bestFit="1" customWidth="1"/>
    <col min="13063" max="13312" width="9.140625" style="162"/>
    <col min="13313" max="13313" width="80.7109375" style="162" customWidth="1"/>
    <col min="13314" max="13314" width="14.140625" style="162" customWidth="1"/>
    <col min="13315" max="13315" width="33.85546875" style="162" customWidth="1"/>
    <col min="13316" max="13316" width="47.85546875" style="162" bestFit="1" customWidth="1"/>
    <col min="13317" max="13317" width="13.28515625" style="162" bestFit="1" customWidth="1"/>
    <col min="13318" max="13318" width="9.5703125" style="162" bestFit="1" customWidth="1"/>
    <col min="13319" max="13568" width="9.140625" style="162"/>
    <col min="13569" max="13569" width="80.7109375" style="162" customWidth="1"/>
    <col min="13570" max="13570" width="14.140625" style="162" customWidth="1"/>
    <col min="13571" max="13571" width="33.85546875" style="162" customWidth="1"/>
    <col min="13572" max="13572" width="47.85546875" style="162" bestFit="1" customWidth="1"/>
    <col min="13573" max="13573" width="13.28515625" style="162" bestFit="1" customWidth="1"/>
    <col min="13574" max="13574" width="9.5703125" style="162" bestFit="1" customWidth="1"/>
    <col min="13575" max="13824" width="9.140625" style="162"/>
    <col min="13825" max="13825" width="80.7109375" style="162" customWidth="1"/>
    <col min="13826" max="13826" width="14.140625" style="162" customWidth="1"/>
    <col min="13827" max="13827" width="33.85546875" style="162" customWidth="1"/>
    <col min="13828" max="13828" width="47.85546875" style="162" bestFit="1" customWidth="1"/>
    <col min="13829" max="13829" width="13.28515625" style="162" bestFit="1" customWidth="1"/>
    <col min="13830" max="13830" width="9.5703125" style="162" bestFit="1" customWidth="1"/>
    <col min="13831" max="14080" width="9.140625" style="162"/>
    <col min="14081" max="14081" width="80.7109375" style="162" customWidth="1"/>
    <col min="14082" max="14082" width="14.140625" style="162" customWidth="1"/>
    <col min="14083" max="14083" width="33.85546875" style="162" customWidth="1"/>
    <col min="14084" max="14084" width="47.85546875" style="162" bestFit="1" customWidth="1"/>
    <col min="14085" max="14085" width="13.28515625" style="162" bestFit="1" customWidth="1"/>
    <col min="14086" max="14086" width="9.5703125" style="162" bestFit="1" customWidth="1"/>
    <col min="14087" max="14336" width="9.140625" style="162"/>
    <col min="14337" max="14337" width="80.7109375" style="162" customWidth="1"/>
    <col min="14338" max="14338" width="14.140625" style="162" customWidth="1"/>
    <col min="14339" max="14339" width="33.85546875" style="162" customWidth="1"/>
    <col min="14340" max="14340" width="47.85546875" style="162" bestFit="1" customWidth="1"/>
    <col min="14341" max="14341" width="13.28515625" style="162" bestFit="1" customWidth="1"/>
    <col min="14342" max="14342" width="9.5703125" style="162" bestFit="1" customWidth="1"/>
    <col min="14343" max="14592" width="9.140625" style="162"/>
    <col min="14593" max="14593" width="80.7109375" style="162" customWidth="1"/>
    <col min="14594" max="14594" width="14.140625" style="162" customWidth="1"/>
    <col min="14595" max="14595" width="33.85546875" style="162" customWidth="1"/>
    <col min="14596" max="14596" width="47.85546875" style="162" bestFit="1" customWidth="1"/>
    <col min="14597" max="14597" width="13.28515625" style="162" bestFit="1" customWidth="1"/>
    <col min="14598" max="14598" width="9.5703125" style="162" bestFit="1" customWidth="1"/>
    <col min="14599" max="14848" width="9.140625" style="162"/>
    <col min="14849" max="14849" width="80.7109375" style="162" customWidth="1"/>
    <col min="14850" max="14850" width="14.140625" style="162" customWidth="1"/>
    <col min="14851" max="14851" width="33.85546875" style="162" customWidth="1"/>
    <col min="14852" max="14852" width="47.85546875" style="162" bestFit="1" customWidth="1"/>
    <col min="14853" max="14853" width="13.28515625" style="162" bestFit="1" customWidth="1"/>
    <col min="14854" max="14854" width="9.5703125" style="162" bestFit="1" customWidth="1"/>
    <col min="14855" max="15104" width="9.140625" style="162"/>
    <col min="15105" max="15105" width="80.7109375" style="162" customWidth="1"/>
    <col min="15106" max="15106" width="14.140625" style="162" customWidth="1"/>
    <col min="15107" max="15107" width="33.85546875" style="162" customWidth="1"/>
    <col min="15108" max="15108" width="47.85546875" style="162" bestFit="1" customWidth="1"/>
    <col min="15109" max="15109" width="13.28515625" style="162" bestFit="1" customWidth="1"/>
    <col min="15110" max="15110" width="9.5703125" style="162" bestFit="1" customWidth="1"/>
    <col min="15111" max="15360" width="9.140625" style="162"/>
    <col min="15361" max="15361" width="80.7109375" style="162" customWidth="1"/>
    <col min="15362" max="15362" width="14.140625" style="162" customWidth="1"/>
    <col min="15363" max="15363" width="33.85546875" style="162" customWidth="1"/>
    <col min="15364" max="15364" width="47.85546875" style="162" bestFit="1" customWidth="1"/>
    <col min="15365" max="15365" width="13.28515625" style="162" bestFit="1" customWidth="1"/>
    <col min="15366" max="15366" width="9.5703125" style="162" bestFit="1" customWidth="1"/>
    <col min="15367" max="15616" width="9.140625" style="162"/>
    <col min="15617" max="15617" width="80.7109375" style="162" customWidth="1"/>
    <col min="15618" max="15618" width="14.140625" style="162" customWidth="1"/>
    <col min="15619" max="15619" width="33.85546875" style="162" customWidth="1"/>
    <col min="15620" max="15620" width="47.85546875" style="162" bestFit="1" customWidth="1"/>
    <col min="15621" max="15621" width="13.28515625" style="162" bestFit="1" customWidth="1"/>
    <col min="15622" max="15622" width="9.5703125" style="162" bestFit="1" customWidth="1"/>
    <col min="15623" max="15872" width="9.140625" style="162"/>
    <col min="15873" max="15873" width="80.7109375" style="162" customWidth="1"/>
    <col min="15874" max="15874" width="14.140625" style="162" customWidth="1"/>
    <col min="15875" max="15875" width="33.85546875" style="162" customWidth="1"/>
    <col min="15876" max="15876" width="47.85546875" style="162" bestFit="1" customWidth="1"/>
    <col min="15877" max="15877" width="13.28515625" style="162" bestFit="1" customWidth="1"/>
    <col min="15878" max="15878" width="9.5703125" style="162" bestFit="1" customWidth="1"/>
    <col min="15879" max="16128" width="9.140625" style="162"/>
    <col min="16129" max="16129" width="80.7109375" style="162" customWidth="1"/>
    <col min="16130" max="16130" width="14.140625" style="162" customWidth="1"/>
    <col min="16131" max="16131" width="33.85546875" style="162" customWidth="1"/>
    <col min="16132" max="16132" width="47.85546875" style="162" bestFit="1" customWidth="1"/>
    <col min="16133" max="16133" width="13.28515625" style="162" bestFit="1" customWidth="1"/>
    <col min="16134" max="16134" width="9.5703125" style="162" bestFit="1" customWidth="1"/>
    <col min="16135" max="16384" width="9.140625" style="162"/>
  </cols>
  <sheetData>
    <row r="1" spans="1:4" ht="38.25" customHeight="1" x14ac:dyDescent="0.2">
      <c r="A1" s="802" t="s">
        <v>480</v>
      </c>
      <c r="B1" s="802"/>
      <c r="C1" s="802"/>
      <c r="D1" s="802"/>
    </row>
    <row r="2" spans="1:4" ht="16.5" thickBot="1" x14ac:dyDescent="0.25">
      <c r="A2" s="163" t="s">
        <v>112</v>
      </c>
    </row>
    <row r="3" spans="1:4" ht="13.5" thickBot="1" x14ac:dyDescent="0.25">
      <c r="A3" s="164" t="s">
        <v>159</v>
      </c>
      <c r="B3" s="165" t="s">
        <v>68</v>
      </c>
      <c r="C3" s="165" t="s">
        <v>342</v>
      </c>
      <c r="D3" s="165" t="s">
        <v>343</v>
      </c>
    </row>
    <row r="4" spans="1:4" ht="13.5" thickBot="1" x14ac:dyDescent="0.25">
      <c r="A4" s="166" t="s">
        <v>344</v>
      </c>
      <c r="B4" s="167">
        <v>0.2</v>
      </c>
      <c r="C4" s="168" t="s">
        <v>345</v>
      </c>
      <c r="D4" s="169" t="s">
        <v>346</v>
      </c>
    </row>
    <row r="5" spans="1:4" ht="13.5" thickBot="1" x14ac:dyDescent="0.25">
      <c r="A5" s="166" t="s">
        <v>347</v>
      </c>
      <c r="B5" s="167">
        <v>1.4999999999999999E-2</v>
      </c>
      <c r="C5" s="168" t="s">
        <v>345</v>
      </c>
      <c r="D5" s="169" t="s">
        <v>348</v>
      </c>
    </row>
    <row r="6" spans="1:4" ht="13.5" thickBot="1" x14ac:dyDescent="0.25">
      <c r="A6" s="166" t="s">
        <v>349</v>
      </c>
      <c r="B6" s="167">
        <v>0.01</v>
      </c>
      <c r="C6" s="168" t="s">
        <v>345</v>
      </c>
      <c r="D6" s="169" t="s">
        <v>350</v>
      </c>
    </row>
    <row r="7" spans="1:4" ht="13.5" thickBot="1" x14ac:dyDescent="0.25">
      <c r="A7" s="166" t="s">
        <v>351</v>
      </c>
      <c r="B7" s="167">
        <v>2E-3</v>
      </c>
      <c r="C7" s="168" t="s">
        <v>345</v>
      </c>
      <c r="D7" s="169" t="s">
        <v>352</v>
      </c>
    </row>
    <row r="8" spans="1:4" ht="13.5" thickBot="1" x14ac:dyDescent="0.25">
      <c r="A8" s="166" t="s">
        <v>353</v>
      </c>
      <c r="B8" s="167">
        <v>2.5000000000000001E-2</v>
      </c>
      <c r="C8" s="168" t="s">
        <v>345</v>
      </c>
      <c r="D8" s="169" t="s">
        <v>354</v>
      </c>
    </row>
    <row r="9" spans="1:4" ht="13.5" thickBot="1" x14ac:dyDescent="0.25">
      <c r="A9" s="166" t="s">
        <v>355</v>
      </c>
      <c r="B9" s="167">
        <v>0.08</v>
      </c>
      <c r="C9" s="168" t="s">
        <v>345</v>
      </c>
      <c r="D9" s="169" t="s">
        <v>356</v>
      </c>
    </row>
    <row r="10" spans="1:4" ht="13.5" thickBot="1" x14ac:dyDescent="0.25">
      <c r="A10" s="166" t="s">
        <v>357</v>
      </c>
      <c r="B10" s="167">
        <v>6.0000000000000001E-3</v>
      </c>
      <c r="C10" s="168" t="s">
        <v>345</v>
      </c>
      <c r="D10" s="169" t="s">
        <v>358</v>
      </c>
    </row>
    <row r="11" spans="1:4" x14ac:dyDescent="0.2">
      <c r="A11" s="170" t="s">
        <v>359</v>
      </c>
    </row>
    <row r="12" spans="1:4" x14ac:dyDescent="0.2">
      <c r="A12" s="171" t="s">
        <v>360</v>
      </c>
    </row>
    <row r="13" spans="1:4" ht="25.5" x14ac:dyDescent="0.2">
      <c r="A13" s="171" t="s">
        <v>361</v>
      </c>
      <c r="D13" s="199"/>
    </row>
    <row r="14" spans="1:4" x14ac:dyDescent="0.2">
      <c r="A14" s="171" t="s">
        <v>362</v>
      </c>
    </row>
    <row r="15" spans="1:4" ht="13.5" thickBot="1" x14ac:dyDescent="0.25">
      <c r="A15" s="171" t="s">
        <v>363</v>
      </c>
      <c r="B15" s="172">
        <v>0.03</v>
      </c>
    </row>
    <row r="16" spans="1:4" ht="13.5" thickBot="1" x14ac:dyDescent="0.25">
      <c r="A16" s="173" t="s">
        <v>364</v>
      </c>
      <c r="B16" s="174">
        <f>SUM(B4:B15)</f>
        <v>0.3680000000000001</v>
      </c>
    </row>
    <row r="17" spans="1:4" x14ac:dyDescent="0.2">
      <c r="A17" s="175"/>
    </row>
    <row r="18" spans="1:4" ht="16.5" thickBot="1" x14ac:dyDescent="0.25">
      <c r="A18" s="163" t="s">
        <v>365</v>
      </c>
    </row>
    <row r="19" spans="1:4" ht="13.5" thickBot="1" x14ac:dyDescent="0.25">
      <c r="A19" s="164" t="s">
        <v>159</v>
      </c>
      <c r="B19" s="165" t="s">
        <v>68</v>
      </c>
      <c r="C19" s="165" t="s">
        <v>366</v>
      </c>
      <c r="D19" s="165" t="s">
        <v>343</v>
      </c>
    </row>
    <row r="20" spans="1:4" ht="13.5" thickBot="1" x14ac:dyDescent="0.25">
      <c r="A20" s="166" t="s">
        <v>367</v>
      </c>
      <c r="B20" s="167">
        <v>8.3330000000000001E-2</v>
      </c>
      <c r="C20" s="169" t="s">
        <v>368</v>
      </c>
      <c r="D20" s="169" t="s">
        <v>369</v>
      </c>
    </row>
    <row r="21" spans="1:4" ht="13.5" thickBot="1" x14ac:dyDescent="0.25">
      <c r="A21" s="166" t="s">
        <v>370</v>
      </c>
      <c r="B21" s="167">
        <v>0.11111</v>
      </c>
      <c r="C21" s="169" t="s">
        <v>371</v>
      </c>
      <c r="D21" s="169" t="s">
        <v>372</v>
      </c>
    </row>
    <row r="22" spans="1:4" ht="15.75" thickBot="1" x14ac:dyDescent="0.25">
      <c r="A22" s="166" t="s">
        <v>373</v>
      </c>
      <c r="B22" s="167">
        <v>1.9400000000000001E-2</v>
      </c>
      <c r="C22" s="169" t="s">
        <v>374</v>
      </c>
      <c r="D22" s="176" t="s">
        <v>375</v>
      </c>
    </row>
    <row r="23" spans="1:4" ht="15.75" thickBot="1" x14ac:dyDescent="0.25">
      <c r="A23" s="166" t="s">
        <v>376</v>
      </c>
      <c r="B23" s="167">
        <v>2.8E-3</v>
      </c>
      <c r="C23" s="169" t="s">
        <v>468</v>
      </c>
      <c r="D23" s="169" t="s">
        <v>377</v>
      </c>
    </row>
    <row r="24" spans="1:4" ht="15.75" thickBot="1" x14ac:dyDescent="0.25">
      <c r="A24" s="166" t="s">
        <v>378</v>
      </c>
      <c r="B24" s="167">
        <v>4.0000000000000002E-4</v>
      </c>
      <c r="C24" s="169" t="s">
        <v>471</v>
      </c>
      <c r="D24" s="169" t="s">
        <v>379</v>
      </c>
    </row>
    <row r="25" spans="1:4" ht="15.75" thickBot="1" x14ac:dyDescent="0.25">
      <c r="A25" s="166" t="s">
        <v>380</v>
      </c>
      <c r="B25" s="167">
        <v>1.4E-3</v>
      </c>
      <c r="C25" s="169" t="s">
        <v>472</v>
      </c>
      <c r="D25" s="169" t="s">
        <v>381</v>
      </c>
    </row>
    <row r="26" spans="1:4" ht="15.75" thickBot="1" x14ac:dyDescent="0.25">
      <c r="A26" s="177" t="s">
        <v>382</v>
      </c>
      <c r="B26" s="167">
        <v>2.0000000000000001E-4</v>
      </c>
      <c r="C26" s="169" t="s">
        <v>470</v>
      </c>
      <c r="D26" s="176" t="s">
        <v>383</v>
      </c>
    </row>
    <row r="27" spans="1:4" ht="15.75" thickBot="1" x14ac:dyDescent="0.25">
      <c r="A27" s="166" t="s">
        <v>384</v>
      </c>
      <c r="B27" s="167">
        <v>2.1000000000000001E-4</v>
      </c>
      <c r="C27" s="169" t="s">
        <v>385</v>
      </c>
      <c r="D27" s="187" t="s">
        <v>386</v>
      </c>
    </row>
    <row r="28" spans="1:4" ht="13.5" thickBot="1" x14ac:dyDescent="0.25">
      <c r="A28" s="166" t="s">
        <v>91</v>
      </c>
      <c r="B28" s="178">
        <f>SUM(B20:B27)</f>
        <v>0.21885000000000002</v>
      </c>
      <c r="C28" s="238"/>
      <c r="D28" s="239"/>
    </row>
    <row r="29" spans="1:4" ht="30.75" x14ac:dyDescent="0.2">
      <c r="A29" s="179" t="s">
        <v>387</v>
      </c>
      <c r="C29" s="237"/>
      <c r="D29" s="210"/>
    </row>
    <row r="30" spans="1:4" ht="15" x14ac:dyDescent="0.2">
      <c r="A30" s="180" t="s">
        <v>473</v>
      </c>
      <c r="C30" s="181"/>
    </row>
    <row r="31" spans="1:4" ht="27.75" x14ac:dyDescent="0.2">
      <c r="A31" s="180" t="s">
        <v>474</v>
      </c>
      <c r="D31" s="236"/>
    </row>
    <row r="32" spans="1:4" ht="15" x14ac:dyDescent="0.2">
      <c r="A32" s="180" t="s">
        <v>475</v>
      </c>
    </row>
    <row r="33" spans="1:4" ht="15" x14ac:dyDescent="0.2">
      <c r="A33" s="803" t="s">
        <v>469</v>
      </c>
      <c r="B33" s="803"/>
      <c r="C33" s="803"/>
      <c r="D33" s="803"/>
    </row>
    <row r="34" spans="1:4" ht="15" x14ac:dyDescent="0.2">
      <c r="A34" s="803" t="s">
        <v>388</v>
      </c>
      <c r="B34" s="803"/>
      <c r="C34" s="803"/>
      <c r="D34" s="803"/>
    </row>
    <row r="35" spans="1:4" ht="16.5" thickBot="1" x14ac:dyDescent="0.25">
      <c r="A35" s="163" t="s">
        <v>389</v>
      </c>
    </row>
    <row r="36" spans="1:4" ht="13.5" thickBot="1" x14ac:dyDescent="0.25">
      <c r="A36" s="164" t="s">
        <v>159</v>
      </c>
      <c r="B36" s="165" t="s">
        <v>68</v>
      </c>
      <c r="C36" s="233" t="s">
        <v>366</v>
      </c>
      <c r="D36" s="165" t="s">
        <v>343</v>
      </c>
    </row>
    <row r="37" spans="1:4" ht="15.75" thickBot="1" x14ac:dyDescent="0.25">
      <c r="A37" s="166" t="s">
        <v>390</v>
      </c>
      <c r="B37" s="232">
        <v>1.6999999999999999E-3</v>
      </c>
      <c r="C37" s="234" t="s">
        <v>391</v>
      </c>
      <c r="D37" s="169" t="s">
        <v>392</v>
      </c>
    </row>
    <row r="38" spans="1:4" ht="15.75" thickBot="1" x14ac:dyDescent="0.25">
      <c r="A38" s="166" t="s">
        <v>393</v>
      </c>
      <c r="B38" s="232">
        <v>1.67E-3</v>
      </c>
      <c r="C38" s="234" t="s">
        <v>391</v>
      </c>
      <c r="D38" s="169" t="s">
        <v>394</v>
      </c>
    </row>
    <row r="39" spans="1:4" ht="15.75" thickBot="1" x14ac:dyDescent="0.25">
      <c r="A39" s="166" t="s">
        <v>395</v>
      </c>
      <c r="B39" s="167">
        <v>3.2000000000000001E-2</v>
      </c>
      <c r="C39" s="169" t="s">
        <v>396</v>
      </c>
      <c r="D39" s="169" t="s">
        <v>397</v>
      </c>
    </row>
    <row r="40" spans="1:4" ht="15.75" thickBot="1" x14ac:dyDescent="0.25">
      <c r="A40" s="166" t="s">
        <v>398</v>
      </c>
      <c r="B40" s="167">
        <v>5.9999999999999995E-4</v>
      </c>
      <c r="C40" s="169" t="s">
        <v>399</v>
      </c>
      <c r="D40" s="169" t="s">
        <v>397</v>
      </c>
    </row>
    <row r="41" spans="1:4" ht="15.75" thickBot="1" x14ac:dyDescent="0.25">
      <c r="A41" s="166" t="s">
        <v>400</v>
      </c>
      <c r="B41" s="167">
        <v>8.0000000000000002E-3</v>
      </c>
      <c r="C41" s="169" t="s">
        <v>401</v>
      </c>
      <c r="D41" s="169" t="s">
        <v>402</v>
      </c>
    </row>
    <row r="42" spans="1:4" ht="15.75" thickBot="1" x14ac:dyDescent="0.25">
      <c r="A42" s="166" t="s">
        <v>403</v>
      </c>
      <c r="B42" s="167">
        <v>2.0000000000000001E-4</v>
      </c>
      <c r="C42" s="169" t="s">
        <v>404</v>
      </c>
      <c r="D42" s="169" t="s">
        <v>402</v>
      </c>
    </row>
    <row r="43" spans="1:4" ht="13.5" thickBot="1" x14ac:dyDescent="0.25">
      <c r="A43" s="166" t="s">
        <v>91</v>
      </c>
      <c r="B43" s="178">
        <f>SUM(B37:B42)</f>
        <v>4.4170000000000001E-2</v>
      </c>
      <c r="C43" s="168"/>
      <c r="D43" s="169"/>
    </row>
    <row r="44" spans="1:4" ht="15" x14ac:dyDescent="0.25">
      <c r="A44" s="182" t="s">
        <v>467</v>
      </c>
      <c r="D44" s="183"/>
    </row>
    <row r="45" spans="1:4" ht="15" x14ac:dyDescent="0.2">
      <c r="A45" s="803" t="s">
        <v>405</v>
      </c>
      <c r="B45" s="803"/>
      <c r="C45" s="803"/>
    </row>
    <row r="46" spans="1:4" ht="15" x14ac:dyDescent="0.2">
      <c r="A46" s="235" t="s">
        <v>406</v>
      </c>
      <c r="D46" s="236"/>
    </row>
    <row r="47" spans="1:4" ht="15" x14ac:dyDescent="0.2">
      <c r="A47" s="803" t="s">
        <v>407</v>
      </c>
      <c r="B47" s="803"/>
      <c r="C47" s="803"/>
    </row>
    <row r="48" spans="1:4" ht="15" x14ac:dyDescent="0.2">
      <c r="A48" s="182" t="s">
        <v>408</v>
      </c>
      <c r="D48" s="185"/>
    </row>
    <row r="49" spans="1:4" ht="15" x14ac:dyDescent="0.2">
      <c r="A49" s="803" t="s">
        <v>409</v>
      </c>
      <c r="B49" s="803"/>
      <c r="C49" s="803"/>
    </row>
    <row r="50" spans="1:4" ht="15.75" x14ac:dyDescent="0.2">
      <c r="A50" s="163" t="s">
        <v>410</v>
      </c>
    </row>
    <row r="51" spans="1:4" x14ac:dyDescent="0.2">
      <c r="A51" s="186" t="s">
        <v>411</v>
      </c>
    </row>
    <row r="52" spans="1:4" x14ac:dyDescent="0.2">
      <c r="A52" s="184" t="s">
        <v>412</v>
      </c>
    </row>
    <row r="53" spans="1:4" ht="16.5" thickBot="1" x14ac:dyDescent="0.25">
      <c r="A53" s="163" t="s">
        <v>413</v>
      </c>
    </row>
    <row r="54" spans="1:4" ht="13.5" thickBot="1" x14ac:dyDescent="0.25">
      <c r="A54" s="164" t="s">
        <v>159</v>
      </c>
      <c r="B54" s="165" t="s">
        <v>68</v>
      </c>
      <c r="C54" s="165" t="s">
        <v>366</v>
      </c>
      <c r="D54" s="165" t="s">
        <v>343</v>
      </c>
    </row>
    <row r="55" spans="1:4" x14ac:dyDescent="0.2">
      <c r="A55" s="804" t="s">
        <v>414</v>
      </c>
      <c r="B55" s="806">
        <v>3.3E-4</v>
      </c>
      <c r="C55" s="187" t="s">
        <v>415</v>
      </c>
      <c r="D55" s="808" t="s">
        <v>416</v>
      </c>
    </row>
    <row r="56" spans="1:4" ht="13.5" thickBot="1" x14ac:dyDescent="0.25">
      <c r="A56" s="805"/>
      <c r="B56" s="807"/>
      <c r="C56" s="169" t="s">
        <v>417</v>
      </c>
      <c r="D56" s="809"/>
    </row>
    <row r="57" spans="1:4" ht="28.5" thickBot="1" x14ac:dyDescent="0.25">
      <c r="A57" s="177" t="s">
        <v>418</v>
      </c>
      <c r="B57" s="167">
        <v>2.5999999999999998E-4</v>
      </c>
      <c r="C57" s="169" t="s">
        <v>419</v>
      </c>
      <c r="D57" s="168" t="s">
        <v>345</v>
      </c>
    </row>
    <row r="58" spans="1:4" ht="13.5" thickBot="1" x14ac:dyDescent="0.25">
      <c r="A58" s="166" t="s">
        <v>91</v>
      </c>
      <c r="B58" s="178">
        <v>5.9999999999999995E-4</v>
      </c>
      <c r="C58" s="168"/>
      <c r="D58" s="169"/>
    </row>
    <row r="59" spans="1:4" ht="66" x14ac:dyDescent="0.2">
      <c r="A59" s="180" t="s">
        <v>420</v>
      </c>
    </row>
    <row r="60" spans="1:4" ht="15.75" x14ac:dyDescent="0.2">
      <c r="A60" s="163" t="s">
        <v>421</v>
      </c>
    </row>
    <row r="61" spans="1:4" x14ac:dyDescent="0.2">
      <c r="A61" s="175"/>
    </row>
    <row r="62" spans="1:4" x14ac:dyDescent="0.2">
      <c r="A62" s="170" t="s">
        <v>422</v>
      </c>
    </row>
    <row r="63" spans="1:4" x14ac:dyDescent="0.2">
      <c r="A63" s="184" t="s">
        <v>423</v>
      </c>
    </row>
    <row r="64" spans="1:4" x14ac:dyDescent="0.2">
      <c r="A64" s="184" t="s">
        <v>424</v>
      </c>
    </row>
    <row r="65" spans="1:1" x14ac:dyDescent="0.2">
      <c r="A65" s="184" t="s">
        <v>425</v>
      </c>
    </row>
    <row r="66" spans="1:1" x14ac:dyDescent="0.2">
      <c r="A66" s="184" t="s">
        <v>426</v>
      </c>
    </row>
    <row r="67" spans="1:1" x14ac:dyDescent="0.2">
      <c r="A67" s="184" t="s">
        <v>427</v>
      </c>
    </row>
    <row r="68" spans="1:1" x14ac:dyDescent="0.2">
      <c r="A68" s="184" t="s">
        <v>428</v>
      </c>
    </row>
    <row r="69" spans="1:1" x14ac:dyDescent="0.2">
      <c r="A69" s="184" t="s">
        <v>429</v>
      </c>
    </row>
    <row r="70" spans="1:1" ht="15.75" x14ac:dyDescent="0.2">
      <c r="A70" s="163" t="s">
        <v>204</v>
      </c>
    </row>
    <row r="71" spans="1:1" x14ac:dyDescent="0.2">
      <c r="A71" s="175"/>
    </row>
    <row r="72" spans="1:1" ht="25.5" x14ac:dyDescent="0.2">
      <c r="A72" s="171" t="s">
        <v>430</v>
      </c>
    </row>
    <row r="73" spans="1:1" ht="25.5" x14ac:dyDescent="0.2">
      <c r="A73" s="171" t="s">
        <v>476</v>
      </c>
    </row>
    <row r="74" spans="1:1" ht="51" x14ac:dyDescent="0.2">
      <c r="A74" s="171" t="s">
        <v>477</v>
      </c>
    </row>
    <row r="75" spans="1:1" ht="38.25" x14ac:dyDescent="0.2">
      <c r="A75" s="171" t="s">
        <v>478</v>
      </c>
    </row>
    <row r="76" spans="1:1" ht="51" x14ac:dyDescent="0.2">
      <c r="A76" s="171" t="s">
        <v>479</v>
      </c>
    </row>
    <row r="77" spans="1:1" x14ac:dyDescent="0.2">
      <c r="A77" s="171" t="s">
        <v>431</v>
      </c>
    </row>
    <row r="78" spans="1:1" x14ac:dyDescent="0.2">
      <c r="A78" s="188"/>
    </row>
    <row r="79" spans="1:1" ht="15.75" x14ac:dyDescent="0.2">
      <c r="A79" s="163" t="s">
        <v>432</v>
      </c>
    </row>
    <row r="80" spans="1:1" x14ac:dyDescent="0.2">
      <c r="A80" s="175"/>
    </row>
    <row r="81" spans="1:5" ht="27" customHeight="1" x14ac:dyDescent="0.2">
      <c r="A81" s="801" t="s">
        <v>466</v>
      </c>
      <c r="B81" s="801"/>
      <c r="C81" s="801"/>
      <c r="D81" s="189">
        <v>1239000</v>
      </c>
    </row>
    <row r="82" spans="1:5" x14ac:dyDescent="0.2">
      <c r="A82" s="171"/>
    </row>
    <row r="83" spans="1:5" ht="15" x14ac:dyDescent="0.25">
      <c r="A83" s="190" t="s">
        <v>433</v>
      </c>
      <c r="B83" s="191">
        <v>5340</v>
      </c>
      <c r="C83" s="192">
        <f>B83/$D$81</f>
        <v>4.3099273607748187E-3</v>
      </c>
      <c r="E83" s="193"/>
    </row>
    <row r="84" spans="1:5" ht="15" x14ac:dyDescent="0.25">
      <c r="A84" s="190" t="s">
        <v>434</v>
      </c>
      <c r="B84" s="191">
        <v>600</v>
      </c>
      <c r="C84" s="192">
        <f t="shared" ref="C84:C91" si="0">B84/$D$81</f>
        <v>4.8426150121065375E-4</v>
      </c>
      <c r="E84" s="193"/>
    </row>
    <row r="85" spans="1:5" ht="15" x14ac:dyDescent="0.25">
      <c r="A85" s="190" t="s">
        <v>435</v>
      </c>
      <c r="B85" s="191">
        <v>257</v>
      </c>
      <c r="C85" s="192">
        <f t="shared" si="0"/>
        <v>2.0742534301856336E-4</v>
      </c>
      <c r="E85" s="193"/>
    </row>
    <row r="86" spans="1:5" ht="15" x14ac:dyDescent="0.25">
      <c r="A86" s="190" t="s">
        <v>436</v>
      </c>
      <c r="B86" s="191">
        <v>800</v>
      </c>
      <c r="C86" s="192">
        <f t="shared" si="0"/>
        <v>6.4568200161420504E-4</v>
      </c>
      <c r="E86" s="193"/>
    </row>
    <row r="87" spans="1:5" ht="15" x14ac:dyDescent="0.25">
      <c r="A87" s="190" t="s">
        <v>437</v>
      </c>
      <c r="B87" s="191">
        <v>75</v>
      </c>
      <c r="C87" s="192">
        <f t="shared" si="0"/>
        <v>6.0532687651331719E-5</v>
      </c>
      <c r="E87" s="193"/>
    </row>
    <row r="88" spans="1:5" ht="15" x14ac:dyDescent="0.25">
      <c r="A88" s="190" t="s">
        <v>438</v>
      </c>
      <c r="B88" s="191">
        <v>1000</v>
      </c>
      <c r="C88" s="192">
        <f t="shared" si="0"/>
        <v>8.0710250201775622E-4</v>
      </c>
      <c r="E88" s="193"/>
    </row>
    <row r="89" spans="1:5" ht="15" x14ac:dyDescent="0.25">
      <c r="A89" s="190" t="s">
        <v>439</v>
      </c>
      <c r="B89" s="191">
        <v>350</v>
      </c>
      <c r="C89" s="192">
        <f t="shared" si="0"/>
        <v>2.824858757062147E-4</v>
      </c>
      <c r="E89" s="193"/>
    </row>
    <row r="90" spans="1:5" ht="15" x14ac:dyDescent="0.25">
      <c r="A90" s="190" t="s">
        <v>440</v>
      </c>
      <c r="B90" s="191">
        <v>2500</v>
      </c>
      <c r="C90" s="192">
        <f t="shared" si="0"/>
        <v>2.0177562550443904E-3</v>
      </c>
      <c r="E90" s="193"/>
    </row>
    <row r="91" spans="1:5" ht="15" x14ac:dyDescent="0.25">
      <c r="A91" s="190" t="s">
        <v>441</v>
      </c>
      <c r="B91" s="191">
        <v>1500</v>
      </c>
      <c r="C91" s="192">
        <f t="shared" si="0"/>
        <v>1.2106537530266344E-3</v>
      </c>
      <c r="E91" s="193"/>
    </row>
    <row r="92" spans="1:5" ht="15" x14ac:dyDescent="0.25">
      <c r="A92" s="190" t="s">
        <v>442</v>
      </c>
      <c r="B92" s="191">
        <f>SUM(B83:B91)</f>
        <v>12422</v>
      </c>
      <c r="C92" s="192">
        <f>SUM(C83:C91)</f>
        <v>1.0025827280064568E-2</v>
      </c>
      <c r="E92" s="193"/>
    </row>
    <row r="93" spans="1:5" ht="15" x14ac:dyDescent="0.25">
      <c r="A93" s="170"/>
      <c r="B93" s="194"/>
      <c r="C93" s="192"/>
      <c r="E93" s="193"/>
    </row>
    <row r="94" spans="1:5" ht="15" x14ac:dyDescent="0.25">
      <c r="A94" s="170"/>
      <c r="B94" s="195"/>
      <c r="C94" s="196"/>
      <c r="E94" s="193"/>
    </row>
    <row r="95" spans="1:5" ht="15" x14ac:dyDescent="0.25">
      <c r="A95" s="170"/>
      <c r="B95" s="197"/>
      <c r="E95" s="193"/>
    </row>
    <row r="96" spans="1:5" ht="15" x14ac:dyDescent="0.25">
      <c r="A96" s="170"/>
      <c r="B96" s="197"/>
      <c r="E96" s="193"/>
    </row>
    <row r="97" spans="1:6" ht="15.75" x14ac:dyDescent="0.25">
      <c r="A97" s="163" t="s">
        <v>443</v>
      </c>
      <c r="E97" s="193"/>
    </row>
    <row r="98" spans="1:6" ht="25.5" x14ac:dyDescent="0.25">
      <c r="A98" s="171" t="s">
        <v>444</v>
      </c>
      <c r="E98" s="193"/>
      <c r="F98" s="196"/>
    </row>
    <row r="99" spans="1:6" x14ac:dyDescent="0.2">
      <c r="A99" s="170" t="s">
        <v>445</v>
      </c>
    </row>
    <row r="100" spans="1:6" ht="38.25" x14ac:dyDescent="0.2">
      <c r="A100" s="171" t="s">
        <v>446</v>
      </c>
    </row>
    <row r="101" spans="1:6" x14ac:dyDescent="0.2">
      <c r="A101" s="198" t="s">
        <v>447</v>
      </c>
      <c r="D101" s="227">
        <v>232533.33</v>
      </c>
      <c r="E101" s="196"/>
    </row>
    <row r="102" spans="1:6" x14ac:dyDescent="0.2">
      <c r="A102" s="198"/>
    </row>
    <row r="103" spans="1:6" ht="15" x14ac:dyDescent="0.25">
      <c r="A103" s="198" t="s">
        <v>448</v>
      </c>
      <c r="C103" s="193">
        <v>51.03</v>
      </c>
      <c r="D103" s="192">
        <f>C103/D101</f>
        <v>2.1945241140270086E-4</v>
      </c>
    </row>
    <row r="104" spans="1:6" ht="15" x14ac:dyDescent="0.25">
      <c r="A104" s="198" t="s">
        <v>449</v>
      </c>
      <c r="C104" s="193">
        <v>1116.26</v>
      </c>
      <c r="D104" s="192">
        <v>4.7999999999999996E-3</v>
      </c>
    </row>
    <row r="106" spans="1:6" x14ac:dyDescent="0.2">
      <c r="A106" s="198" t="s">
        <v>450</v>
      </c>
      <c r="B106" s="189"/>
      <c r="D106" s="199">
        <f>SUM(D103:D105)</f>
        <v>5.0194524114027007E-3</v>
      </c>
    </row>
  </sheetData>
  <mergeCells count="10">
    <mergeCell ref="A81:C81"/>
    <mergeCell ref="A1:D1"/>
    <mergeCell ref="A33:D33"/>
    <mergeCell ref="A34:D34"/>
    <mergeCell ref="A45:C45"/>
    <mergeCell ref="A47:C47"/>
    <mergeCell ref="A49:C49"/>
    <mergeCell ref="A55:A56"/>
    <mergeCell ref="B55:B56"/>
    <mergeCell ref="D55:D56"/>
  </mergeCells>
  <pageMargins left="0.511811024" right="0.511811024" top="0.78740157499999996" bottom="0.78740157499999996" header="0.31496062000000002" footer="0.31496062000000002"/>
  <pageSetup scale="54" orientation="portrait" verticalDpi="0" r:id="rId1"/>
  <rowBreaks count="1" manualBreakCount="1">
    <brk id="7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C28" sqref="C28"/>
    </sheetView>
  </sheetViews>
  <sheetFormatPr defaultRowHeight="12.75" x14ac:dyDescent="0.2"/>
  <cols>
    <col min="1" max="1" width="80.42578125" style="162" customWidth="1"/>
    <col min="2" max="2" width="12.7109375" style="162" customWidth="1"/>
    <col min="3" max="3" width="22.28515625" style="162" customWidth="1"/>
    <col min="4" max="4" width="26.7109375" style="162" customWidth="1"/>
    <col min="5" max="5" width="13.28515625" style="162" bestFit="1" customWidth="1"/>
    <col min="6" max="6" width="9.5703125" style="162" bestFit="1" customWidth="1"/>
    <col min="7" max="256" width="9.140625" style="162"/>
    <col min="257" max="257" width="75.28515625" style="162" customWidth="1"/>
    <col min="258" max="258" width="21.28515625" style="162" customWidth="1"/>
    <col min="259" max="259" width="39.5703125" style="162" customWidth="1"/>
    <col min="260" max="260" width="26.7109375" style="162" customWidth="1"/>
    <col min="261" max="261" width="13.28515625" style="162" bestFit="1" customWidth="1"/>
    <col min="262" max="262" width="9.5703125" style="162" bestFit="1" customWidth="1"/>
    <col min="263" max="512" width="9.140625" style="162"/>
    <col min="513" max="513" width="75.28515625" style="162" customWidth="1"/>
    <col min="514" max="514" width="21.28515625" style="162" customWidth="1"/>
    <col min="515" max="515" width="39.5703125" style="162" customWidth="1"/>
    <col min="516" max="516" width="26.7109375" style="162" customWidth="1"/>
    <col min="517" max="517" width="13.28515625" style="162" bestFit="1" customWidth="1"/>
    <col min="518" max="518" width="9.5703125" style="162" bestFit="1" customWidth="1"/>
    <col min="519" max="768" width="9.140625" style="162"/>
    <col min="769" max="769" width="75.28515625" style="162" customWidth="1"/>
    <col min="770" max="770" width="21.28515625" style="162" customWidth="1"/>
    <col min="771" max="771" width="39.5703125" style="162" customWidth="1"/>
    <col min="772" max="772" width="26.7109375" style="162" customWidth="1"/>
    <col min="773" max="773" width="13.28515625" style="162" bestFit="1" customWidth="1"/>
    <col min="774" max="774" width="9.5703125" style="162" bestFit="1" customWidth="1"/>
    <col min="775" max="1024" width="9.140625" style="162"/>
    <col min="1025" max="1025" width="75.28515625" style="162" customWidth="1"/>
    <col min="1026" max="1026" width="21.28515625" style="162" customWidth="1"/>
    <col min="1027" max="1027" width="39.5703125" style="162" customWidth="1"/>
    <col min="1028" max="1028" width="26.7109375" style="162" customWidth="1"/>
    <col min="1029" max="1029" width="13.28515625" style="162" bestFit="1" customWidth="1"/>
    <col min="1030" max="1030" width="9.5703125" style="162" bestFit="1" customWidth="1"/>
    <col min="1031" max="1280" width="9.140625" style="162"/>
    <col min="1281" max="1281" width="75.28515625" style="162" customWidth="1"/>
    <col min="1282" max="1282" width="21.28515625" style="162" customWidth="1"/>
    <col min="1283" max="1283" width="39.5703125" style="162" customWidth="1"/>
    <col min="1284" max="1284" width="26.7109375" style="162" customWidth="1"/>
    <col min="1285" max="1285" width="13.28515625" style="162" bestFit="1" customWidth="1"/>
    <col min="1286" max="1286" width="9.5703125" style="162" bestFit="1" customWidth="1"/>
    <col min="1287" max="1536" width="9.140625" style="162"/>
    <col min="1537" max="1537" width="75.28515625" style="162" customWidth="1"/>
    <col min="1538" max="1538" width="21.28515625" style="162" customWidth="1"/>
    <col min="1539" max="1539" width="39.5703125" style="162" customWidth="1"/>
    <col min="1540" max="1540" width="26.7109375" style="162" customWidth="1"/>
    <col min="1541" max="1541" width="13.28515625" style="162" bestFit="1" customWidth="1"/>
    <col min="1542" max="1542" width="9.5703125" style="162" bestFit="1" customWidth="1"/>
    <col min="1543" max="1792" width="9.140625" style="162"/>
    <col min="1793" max="1793" width="75.28515625" style="162" customWidth="1"/>
    <col min="1794" max="1794" width="21.28515625" style="162" customWidth="1"/>
    <col min="1795" max="1795" width="39.5703125" style="162" customWidth="1"/>
    <col min="1796" max="1796" width="26.7109375" style="162" customWidth="1"/>
    <col min="1797" max="1797" width="13.28515625" style="162" bestFit="1" customWidth="1"/>
    <col min="1798" max="1798" width="9.5703125" style="162" bestFit="1" customWidth="1"/>
    <col min="1799" max="2048" width="9.140625" style="162"/>
    <col min="2049" max="2049" width="75.28515625" style="162" customWidth="1"/>
    <col min="2050" max="2050" width="21.28515625" style="162" customWidth="1"/>
    <col min="2051" max="2051" width="39.5703125" style="162" customWidth="1"/>
    <col min="2052" max="2052" width="26.7109375" style="162" customWidth="1"/>
    <col min="2053" max="2053" width="13.28515625" style="162" bestFit="1" customWidth="1"/>
    <col min="2054" max="2054" width="9.5703125" style="162" bestFit="1" customWidth="1"/>
    <col min="2055" max="2304" width="9.140625" style="162"/>
    <col min="2305" max="2305" width="75.28515625" style="162" customWidth="1"/>
    <col min="2306" max="2306" width="21.28515625" style="162" customWidth="1"/>
    <col min="2307" max="2307" width="39.5703125" style="162" customWidth="1"/>
    <col min="2308" max="2308" width="26.7109375" style="162" customWidth="1"/>
    <col min="2309" max="2309" width="13.28515625" style="162" bestFit="1" customWidth="1"/>
    <col min="2310" max="2310" width="9.5703125" style="162" bestFit="1" customWidth="1"/>
    <col min="2311" max="2560" width="9.140625" style="162"/>
    <col min="2561" max="2561" width="75.28515625" style="162" customWidth="1"/>
    <col min="2562" max="2562" width="21.28515625" style="162" customWidth="1"/>
    <col min="2563" max="2563" width="39.5703125" style="162" customWidth="1"/>
    <col min="2564" max="2564" width="26.7109375" style="162" customWidth="1"/>
    <col min="2565" max="2565" width="13.28515625" style="162" bestFit="1" customWidth="1"/>
    <col min="2566" max="2566" width="9.5703125" style="162" bestFit="1" customWidth="1"/>
    <col min="2567" max="2816" width="9.140625" style="162"/>
    <col min="2817" max="2817" width="75.28515625" style="162" customWidth="1"/>
    <col min="2818" max="2818" width="21.28515625" style="162" customWidth="1"/>
    <col min="2819" max="2819" width="39.5703125" style="162" customWidth="1"/>
    <col min="2820" max="2820" width="26.7109375" style="162" customWidth="1"/>
    <col min="2821" max="2821" width="13.28515625" style="162" bestFit="1" customWidth="1"/>
    <col min="2822" max="2822" width="9.5703125" style="162" bestFit="1" customWidth="1"/>
    <col min="2823" max="3072" width="9.140625" style="162"/>
    <col min="3073" max="3073" width="75.28515625" style="162" customWidth="1"/>
    <col min="3074" max="3074" width="21.28515625" style="162" customWidth="1"/>
    <col min="3075" max="3075" width="39.5703125" style="162" customWidth="1"/>
    <col min="3076" max="3076" width="26.7109375" style="162" customWidth="1"/>
    <col min="3077" max="3077" width="13.28515625" style="162" bestFit="1" customWidth="1"/>
    <col min="3078" max="3078" width="9.5703125" style="162" bestFit="1" customWidth="1"/>
    <col min="3079" max="3328" width="9.140625" style="162"/>
    <col min="3329" max="3329" width="75.28515625" style="162" customWidth="1"/>
    <col min="3330" max="3330" width="21.28515625" style="162" customWidth="1"/>
    <col min="3331" max="3331" width="39.5703125" style="162" customWidth="1"/>
    <col min="3332" max="3332" width="26.7109375" style="162" customWidth="1"/>
    <col min="3333" max="3333" width="13.28515625" style="162" bestFit="1" customWidth="1"/>
    <col min="3334" max="3334" width="9.5703125" style="162" bestFit="1" customWidth="1"/>
    <col min="3335" max="3584" width="9.140625" style="162"/>
    <col min="3585" max="3585" width="75.28515625" style="162" customWidth="1"/>
    <col min="3586" max="3586" width="21.28515625" style="162" customWidth="1"/>
    <col min="3587" max="3587" width="39.5703125" style="162" customWidth="1"/>
    <col min="3588" max="3588" width="26.7109375" style="162" customWidth="1"/>
    <col min="3589" max="3589" width="13.28515625" style="162" bestFit="1" customWidth="1"/>
    <col min="3590" max="3590" width="9.5703125" style="162" bestFit="1" customWidth="1"/>
    <col min="3591" max="3840" width="9.140625" style="162"/>
    <col min="3841" max="3841" width="75.28515625" style="162" customWidth="1"/>
    <col min="3842" max="3842" width="21.28515625" style="162" customWidth="1"/>
    <col min="3843" max="3843" width="39.5703125" style="162" customWidth="1"/>
    <col min="3844" max="3844" width="26.7109375" style="162" customWidth="1"/>
    <col min="3845" max="3845" width="13.28515625" style="162" bestFit="1" customWidth="1"/>
    <col min="3846" max="3846" width="9.5703125" style="162" bestFit="1" customWidth="1"/>
    <col min="3847" max="4096" width="9.140625" style="162"/>
    <col min="4097" max="4097" width="75.28515625" style="162" customWidth="1"/>
    <col min="4098" max="4098" width="21.28515625" style="162" customWidth="1"/>
    <col min="4099" max="4099" width="39.5703125" style="162" customWidth="1"/>
    <col min="4100" max="4100" width="26.7109375" style="162" customWidth="1"/>
    <col min="4101" max="4101" width="13.28515625" style="162" bestFit="1" customWidth="1"/>
    <col min="4102" max="4102" width="9.5703125" style="162" bestFit="1" customWidth="1"/>
    <col min="4103" max="4352" width="9.140625" style="162"/>
    <col min="4353" max="4353" width="75.28515625" style="162" customWidth="1"/>
    <col min="4354" max="4354" width="21.28515625" style="162" customWidth="1"/>
    <col min="4355" max="4355" width="39.5703125" style="162" customWidth="1"/>
    <col min="4356" max="4356" width="26.7109375" style="162" customWidth="1"/>
    <col min="4357" max="4357" width="13.28515625" style="162" bestFit="1" customWidth="1"/>
    <col min="4358" max="4358" width="9.5703125" style="162" bestFit="1" customWidth="1"/>
    <col min="4359" max="4608" width="9.140625" style="162"/>
    <col min="4609" max="4609" width="75.28515625" style="162" customWidth="1"/>
    <col min="4610" max="4610" width="21.28515625" style="162" customWidth="1"/>
    <col min="4611" max="4611" width="39.5703125" style="162" customWidth="1"/>
    <col min="4612" max="4612" width="26.7109375" style="162" customWidth="1"/>
    <col min="4613" max="4613" width="13.28515625" style="162" bestFit="1" customWidth="1"/>
    <col min="4614" max="4614" width="9.5703125" style="162" bestFit="1" customWidth="1"/>
    <col min="4615" max="4864" width="9.140625" style="162"/>
    <col min="4865" max="4865" width="75.28515625" style="162" customWidth="1"/>
    <col min="4866" max="4866" width="21.28515625" style="162" customWidth="1"/>
    <col min="4867" max="4867" width="39.5703125" style="162" customWidth="1"/>
    <col min="4868" max="4868" width="26.7109375" style="162" customWidth="1"/>
    <col min="4869" max="4869" width="13.28515625" style="162" bestFit="1" customWidth="1"/>
    <col min="4870" max="4870" width="9.5703125" style="162" bestFit="1" customWidth="1"/>
    <col min="4871" max="5120" width="9.140625" style="162"/>
    <col min="5121" max="5121" width="75.28515625" style="162" customWidth="1"/>
    <col min="5122" max="5122" width="21.28515625" style="162" customWidth="1"/>
    <col min="5123" max="5123" width="39.5703125" style="162" customWidth="1"/>
    <col min="5124" max="5124" width="26.7109375" style="162" customWidth="1"/>
    <col min="5125" max="5125" width="13.28515625" style="162" bestFit="1" customWidth="1"/>
    <col min="5126" max="5126" width="9.5703125" style="162" bestFit="1" customWidth="1"/>
    <col min="5127" max="5376" width="9.140625" style="162"/>
    <col min="5377" max="5377" width="75.28515625" style="162" customWidth="1"/>
    <col min="5378" max="5378" width="21.28515625" style="162" customWidth="1"/>
    <col min="5379" max="5379" width="39.5703125" style="162" customWidth="1"/>
    <col min="5380" max="5380" width="26.7109375" style="162" customWidth="1"/>
    <col min="5381" max="5381" width="13.28515625" style="162" bestFit="1" customWidth="1"/>
    <col min="5382" max="5382" width="9.5703125" style="162" bestFit="1" customWidth="1"/>
    <col min="5383" max="5632" width="9.140625" style="162"/>
    <col min="5633" max="5633" width="75.28515625" style="162" customWidth="1"/>
    <col min="5634" max="5634" width="21.28515625" style="162" customWidth="1"/>
    <col min="5635" max="5635" width="39.5703125" style="162" customWidth="1"/>
    <col min="5636" max="5636" width="26.7109375" style="162" customWidth="1"/>
    <col min="5637" max="5637" width="13.28515625" style="162" bestFit="1" customWidth="1"/>
    <col min="5638" max="5638" width="9.5703125" style="162" bestFit="1" customWidth="1"/>
    <col min="5639" max="5888" width="9.140625" style="162"/>
    <col min="5889" max="5889" width="75.28515625" style="162" customWidth="1"/>
    <col min="5890" max="5890" width="21.28515625" style="162" customWidth="1"/>
    <col min="5891" max="5891" width="39.5703125" style="162" customWidth="1"/>
    <col min="5892" max="5892" width="26.7109375" style="162" customWidth="1"/>
    <col min="5893" max="5893" width="13.28515625" style="162" bestFit="1" customWidth="1"/>
    <col min="5894" max="5894" width="9.5703125" style="162" bestFit="1" customWidth="1"/>
    <col min="5895" max="6144" width="9.140625" style="162"/>
    <col min="6145" max="6145" width="75.28515625" style="162" customWidth="1"/>
    <col min="6146" max="6146" width="21.28515625" style="162" customWidth="1"/>
    <col min="6147" max="6147" width="39.5703125" style="162" customWidth="1"/>
    <col min="6148" max="6148" width="26.7109375" style="162" customWidth="1"/>
    <col min="6149" max="6149" width="13.28515625" style="162" bestFit="1" customWidth="1"/>
    <col min="6150" max="6150" width="9.5703125" style="162" bestFit="1" customWidth="1"/>
    <col min="6151" max="6400" width="9.140625" style="162"/>
    <col min="6401" max="6401" width="75.28515625" style="162" customWidth="1"/>
    <col min="6402" max="6402" width="21.28515625" style="162" customWidth="1"/>
    <col min="6403" max="6403" width="39.5703125" style="162" customWidth="1"/>
    <col min="6404" max="6404" width="26.7109375" style="162" customWidth="1"/>
    <col min="6405" max="6405" width="13.28515625" style="162" bestFit="1" customWidth="1"/>
    <col min="6406" max="6406" width="9.5703125" style="162" bestFit="1" customWidth="1"/>
    <col min="6407" max="6656" width="9.140625" style="162"/>
    <col min="6657" max="6657" width="75.28515625" style="162" customWidth="1"/>
    <col min="6658" max="6658" width="21.28515625" style="162" customWidth="1"/>
    <col min="6659" max="6659" width="39.5703125" style="162" customWidth="1"/>
    <col min="6660" max="6660" width="26.7109375" style="162" customWidth="1"/>
    <col min="6661" max="6661" width="13.28515625" style="162" bestFit="1" customWidth="1"/>
    <col min="6662" max="6662" width="9.5703125" style="162" bestFit="1" customWidth="1"/>
    <col min="6663" max="6912" width="9.140625" style="162"/>
    <col min="6913" max="6913" width="75.28515625" style="162" customWidth="1"/>
    <col min="6914" max="6914" width="21.28515625" style="162" customWidth="1"/>
    <col min="6915" max="6915" width="39.5703125" style="162" customWidth="1"/>
    <col min="6916" max="6916" width="26.7109375" style="162" customWidth="1"/>
    <col min="6917" max="6917" width="13.28515625" style="162" bestFit="1" customWidth="1"/>
    <col min="6918" max="6918" width="9.5703125" style="162" bestFit="1" customWidth="1"/>
    <col min="6919" max="7168" width="9.140625" style="162"/>
    <col min="7169" max="7169" width="75.28515625" style="162" customWidth="1"/>
    <col min="7170" max="7170" width="21.28515625" style="162" customWidth="1"/>
    <col min="7171" max="7171" width="39.5703125" style="162" customWidth="1"/>
    <col min="7172" max="7172" width="26.7109375" style="162" customWidth="1"/>
    <col min="7173" max="7173" width="13.28515625" style="162" bestFit="1" customWidth="1"/>
    <col min="7174" max="7174" width="9.5703125" style="162" bestFit="1" customWidth="1"/>
    <col min="7175" max="7424" width="9.140625" style="162"/>
    <col min="7425" max="7425" width="75.28515625" style="162" customWidth="1"/>
    <col min="7426" max="7426" width="21.28515625" style="162" customWidth="1"/>
    <col min="7427" max="7427" width="39.5703125" style="162" customWidth="1"/>
    <col min="7428" max="7428" width="26.7109375" style="162" customWidth="1"/>
    <col min="7429" max="7429" width="13.28515625" style="162" bestFit="1" customWidth="1"/>
    <col min="7430" max="7430" width="9.5703125" style="162" bestFit="1" customWidth="1"/>
    <col min="7431" max="7680" width="9.140625" style="162"/>
    <col min="7681" max="7681" width="75.28515625" style="162" customWidth="1"/>
    <col min="7682" max="7682" width="21.28515625" style="162" customWidth="1"/>
    <col min="7683" max="7683" width="39.5703125" style="162" customWidth="1"/>
    <col min="7684" max="7684" width="26.7109375" style="162" customWidth="1"/>
    <col min="7685" max="7685" width="13.28515625" style="162" bestFit="1" customWidth="1"/>
    <col min="7686" max="7686" width="9.5703125" style="162" bestFit="1" customWidth="1"/>
    <col min="7687" max="7936" width="9.140625" style="162"/>
    <col min="7937" max="7937" width="75.28515625" style="162" customWidth="1"/>
    <col min="7938" max="7938" width="21.28515625" style="162" customWidth="1"/>
    <col min="7939" max="7939" width="39.5703125" style="162" customWidth="1"/>
    <col min="7940" max="7940" width="26.7109375" style="162" customWidth="1"/>
    <col min="7941" max="7941" width="13.28515625" style="162" bestFit="1" customWidth="1"/>
    <col min="7942" max="7942" width="9.5703125" style="162" bestFit="1" customWidth="1"/>
    <col min="7943" max="8192" width="9.140625" style="162"/>
    <col min="8193" max="8193" width="75.28515625" style="162" customWidth="1"/>
    <col min="8194" max="8194" width="21.28515625" style="162" customWidth="1"/>
    <col min="8195" max="8195" width="39.5703125" style="162" customWidth="1"/>
    <col min="8196" max="8196" width="26.7109375" style="162" customWidth="1"/>
    <col min="8197" max="8197" width="13.28515625" style="162" bestFit="1" customWidth="1"/>
    <col min="8198" max="8198" width="9.5703125" style="162" bestFit="1" customWidth="1"/>
    <col min="8199" max="8448" width="9.140625" style="162"/>
    <col min="8449" max="8449" width="75.28515625" style="162" customWidth="1"/>
    <col min="8450" max="8450" width="21.28515625" style="162" customWidth="1"/>
    <col min="8451" max="8451" width="39.5703125" style="162" customWidth="1"/>
    <col min="8452" max="8452" width="26.7109375" style="162" customWidth="1"/>
    <col min="8453" max="8453" width="13.28515625" style="162" bestFit="1" customWidth="1"/>
    <col min="8454" max="8454" width="9.5703125" style="162" bestFit="1" customWidth="1"/>
    <col min="8455" max="8704" width="9.140625" style="162"/>
    <col min="8705" max="8705" width="75.28515625" style="162" customWidth="1"/>
    <col min="8706" max="8706" width="21.28515625" style="162" customWidth="1"/>
    <col min="8707" max="8707" width="39.5703125" style="162" customWidth="1"/>
    <col min="8708" max="8708" width="26.7109375" style="162" customWidth="1"/>
    <col min="8709" max="8709" width="13.28515625" style="162" bestFit="1" customWidth="1"/>
    <col min="8710" max="8710" width="9.5703125" style="162" bestFit="1" customWidth="1"/>
    <col min="8711" max="8960" width="9.140625" style="162"/>
    <col min="8961" max="8961" width="75.28515625" style="162" customWidth="1"/>
    <col min="8962" max="8962" width="21.28515625" style="162" customWidth="1"/>
    <col min="8963" max="8963" width="39.5703125" style="162" customWidth="1"/>
    <col min="8964" max="8964" width="26.7109375" style="162" customWidth="1"/>
    <col min="8965" max="8965" width="13.28515625" style="162" bestFit="1" customWidth="1"/>
    <col min="8966" max="8966" width="9.5703125" style="162" bestFit="1" customWidth="1"/>
    <col min="8967" max="9216" width="9.140625" style="162"/>
    <col min="9217" max="9217" width="75.28515625" style="162" customWidth="1"/>
    <col min="9218" max="9218" width="21.28515625" style="162" customWidth="1"/>
    <col min="9219" max="9219" width="39.5703125" style="162" customWidth="1"/>
    <col min="9220" max="9220" width="26.7109375" style="162" customWidth="1"/>
    <col min="9221" max="9221" width="13.28515625" style="162" bestFit="1" customWidth="1"/>
    <col min="9222" max="9222" width="9.5703125" style="162" bestFit="1" customWidth="1"/>
    <col min="9223" max="9472" width="9.140625" style="162"/>
    <col min="9473" max="9473" width="75.28515625" style="162" customWidth="1"/>
    <col min="9474" max="9474" width="21.28515625" style="162" customWidth="1"/>
    <col min="9475" max="9475" width="39.5703125" style="162" customWidth="1"/>
    <col min="9476" max="9476" width="26.7109375" style="162" customWidth="1"/>
    <col min="9477" max="9477" width="13.28515625" style="162" bestFit="1" customWidth="1"/>
    <col min="9478" max="9478" width="9.5703125" style="162" bestFit="1" customWidth="1"/>
    <col min="9479" max="9728" width="9.140625" style="162"/>
    <col min="9729" max="9729" width="75.28515625" style="162" customWidth="1"/>
    <col min="9730" max="9730" width="21.28515625" style="162" customWidth="1"/>
    <col min="9731" max="9731" width="39.5703125" style="162" customWidth="1"/>
    <col min="9732" max="9732" width="26.7109375" style="162" customWidth="1"/>
    <col min="9733" max="9733" width="13.28515625" style="162" bestFit="1" customWidth="1"/>
    <col min="9734" max="9734" width="9.5703125" style="162" bestFit="1" customWidth="1"/>
    <col min="9735" max="9984" width="9.140625" style="162"/>
    <col min="9985" max="9985" width="75.28515625" style="162" customWidth="1"/>
    <col min="9986" max="9986" width="21.28515625" style="162" customWidth="1"/>
    <col min="9987" max="9987" width="39.5703125" style="162" customWidth="1"/>
    <col min="9988" max="9988" width="26.7109375" style="162" customWidth="1"/>
    <col min="9989" max="9989" width="13.28515625" style="162" bestFit="1" customWidth="1"/>
    <col min="9990" max="9990" width="9.5703125" style="162" bestFit="1" customWidth="1"/>
    <col min="9991" max="10240" width="9.140625" style="162"/>
    <col min="10241" max="10241" width="75.28515625" style="162" customWidth="1"/>
    <col min="10242" max="10242" width="21.28515625" style="162" customWidth="1"/>
    <col min="10243" max="10243" width="39.5703125" style="162" customWidth="1"/>
    <col min="10244" max="10244" width="26.7109375" style="162" customWidth="1"/>
    <col min="10245" max="10245" width="13.28515625" style="162" bestFit="1" customWidth="1"/>
    <col min="10246" max="10246" width="9.5703125" style="162" bestFit="1" customWidth="1"/>
    <col min="10247" max="10496" width="9.140625" style="162"/>
    <col min="10497" max="10497" width="75.28515625" style="162" customWidth="1"/>
    <col min="10498" max="10498" width="21.28515625" style="162" customWidth="1"/>
    <col min="10499" max="10499" width="39.5703125" style="162" customWidth="1"/>
    <col min="10500" max="10500" width="26.7109375" style="162" customWidth="1"/>
    <col min="10501" max="10501" width="13.28515625" style="162" bestFit="1" customWidth="1"/>
    <col min="10502" max="10502" width="9.5703125" style="162" bestFit="1" customWidth="1"/>
    <col min="10503" max="10752" width="9.140625" style="162"/>
    <col min="10753" max="10753" width="75.28515625" style="162" customWidth="1"/>
    <col min="10754" max="10754" width="21.28515625" style="162" customWidth="1"/>
    <col min="10755" max="10755" width="39.5703125" style="162" customWidth="1"/>
    <col min="10756" max="10756" width="26.7109375" style="162" customWidth="1"/>
    <col min="10757" max="10757" width="13.28515625" style="162" bestFit="1" customWidth="1"/>
    <col min="10758" max="10758" width="9.5703125" style="162" bestFit="1" customWidth="1"/>
    <col min="10759" max="11008" width="9.140625" style="162"/>
    <col min="11009" max="11009" width="75.28515625" style="162" customWidth="1"/>
    <col min="11010" max="11010" width="21.28515625" style="162" customWidth="1"/>
    <col min="11011" max="11011" width="39.5703125" style="162" customWidth="1"/>
    <col min="11012" max="11012" width="26.7109375" style="162" customWidth="1"/>
    <col min="11013" max="11013" width="13.28515625" style="162" bestFit="1" customWidth="1"/>
    <col min="11014" max="11014" width="9.5703125" style="162" bestFit="1" customWidth="1"/>
    <col min="11015" max="11264" width="9.140625" style="162"/>
    <col min="11265" max="11265" width="75.28515625" style="162" customWidth="1"/>
    <col min="11266" max="11266" width="21.28515625" style="162" customWidth="1"/>
    <col min="11267" max="11267" width="39.5703125" style="162" customWidth="1"/>
    <col min="11268" max="11268" width="26.7109375" style="162" customWidth="1"/>
    <col min="11269" max="11269" width="13.28515625" style="162" bestFit="1" customWidth="1"/>
    <col min="11270" max="11270" width="9.5703125" style="162" bestFit="1" customWidth="1"/>
    <col min="11271" max="11520" width="9.140625" style="162"/>
    <col min="11521" max="11521" width="75.28515625" style="162" customWidth="1"/>
    <col min="11522" max="11522" width="21.28515625" style="162" customWidth="1"/>
    <col min="11523" max="11523" width="39.5703125" style="162" customWidth="1"/>
    <col min="11524" max="11524" width="26.7109375" style="162" customWidth="1"/>
    <col min="11525" max="11525" width="13.28515625" style="162" bestFit="1" customWidth="1"/>
    <col min="11526" max="11526" width="9.5703125" style="162" bestFit="1" customWidth="1"/>
    <col min="11527" max="11776" width="9.140625" style="162"/>
    <col min="11777" max="11777" width="75.28515625" style="162" customWidth="1"/>
    <col min="11778" max="11778" width="21.28515625" style="162" customWidth="1"/>
    <col min="11779" max="11779" width="39.5703125" style="162" customWidth="1"/>
    <col min="11780" max="11780" width="26.7109375" style="162" customWidth="1"/>
    <col min="11781" max="11781" width="13.28515625" style="162" bestFit="1" customWidth="1"/>
    <col min="11782" max="11782" width="9.5703125" style="162" bestFit="1" customWidth="1"/>
    <col min="11783" max="12032" width="9.140625" style="162"/>
    <col min="12033" max="12033" width="75.28515625" style="162" customWidth="1"/>
    <col min="12034" max="12034" width="21.28515625" style="162" customWidth="1"/>
    <col min="12035" max="12035" width="39.5703125" style="162" customWidth="1"/>
    <col min="12036" max="12036" width="26.7109375" style="162" customWidth="1"/>
    <col min="12037" max="12037" width="13.28515625" style="162" bestFit="1" customWidth="1"/>
    <col min="12038" max="12038" width="9.5703125" style="162" bestFit="1" customWidth="1"/>
    <col min="12039" max="12288" width="9.140625" style="162"/>
    <col min="12289" max="12289" width="75.28515625" style="162" customWidth="1"/>
    <col min="12290" max="12290" width="21.28515625" style="162" customWidth="1"/>
    <col min="12291" max="12291" width="39.5703125" style="162" customWidth="1"/>
    <col min="12292" max="12292" width="26.7109375" style="162" customWidth="1"/>
    <col min="12293" max="12293" width="13.28515625" style="162" bestFit="1" customWidth="1"/>
    <col min="12294" max="12294" width="9.5703125" style="162" bestFit="1" customWidth="1"/>
    <col min="12295" max="12544" width="9.140625" style="162"/>
    <col min="12545" max="12545" width="75.28515625" style="162" customWidth="1"/>
    <col min="12546" max="12546" width="21.28515625" style="162" customWidth="1"/>
    <col min="12547" max="12547" width="39.5703125" style="162" customWidth="1"/>
    <col min="12548" max="12548" width="26.7109375" style="162" customWidth="1"/>
    <col min="12549" max="12549" width="13.28515625" style="162" bestFit="1" customWidth="1"/>
    <col min="12550" max="12550" width="9.5703125" style="162" bestFit="1" customWidth="1"/>
    <col min="12551" max="12800" width="9.140625" style="162"/>
    <col min="12801" max="12801" width="75.28515625" style="162" customWidth="1"/>
    <col min="12802" max="12802" width="21.28515625" style="162" customWidth="1"/>
    <col min="12803" max="12803" width="39.5703125" style="162" customWidth="1"/>
    <col min="12804" max="12804" width="26.7109375" style="162" customWidth="1"/>
    <col min="12805" max="12805" width="13.28515625" style="162" bestFit="1" customWidth="1"/>
    <col min="12806" max="12806" width="9.5703125" style="162" bestFit="1" customWidth="1"/>
    <col min="12807" max="13056" width="9.140625" style="162"/>
    <col min="13057" max="13057" width="75.28515625" style="162" customWidth="1"/>
    <col min="13058" max="13058" width="21.28515625" style="162" customWidth="1"/>
    <col min="13059" max="13059" width="39.5703125" style="162" customWidth="1"/>
    <col min="13060" max="13060" width="26.7109375" style="162" customWidth="1"/>
    <col min="13061" max="13061" width="13.28515625" style="162" bestFit="1" customWidth="1"/>
    <col min="13062" max="13062" width="9.5703125" style="162" bestFit="1" customWidth="1"/>
    <col min="13063" max="13312" width="9.140625" style="162"/>
    <col min="13313" max="13313" width="75.28515625" style="162" customWidth="1"/>
    <col min="13314" max="13314" width="21.28515625" style="162" customWidth="1"/>
    <col min="13315" max="13315" width="39.5703125" style="162" customWidth="1"/>
    <col min="13316" max="13316" width="26.7109375" style="162" customWidth="1"/>
    <col min="13317" max="13317" width="13.28515625" style="162" bestFit="1" customWidth="1"/>
    <col min="13318" max="13318" width="9.5703125" style="162" bestFit="1" customWidth="1"/>
    <col min="13319" max="13568" width="9.140625" style="162"/>
    <col min="13569" max="13569" width="75.28515625" style="162" customWidth="1"/>
    <col min="13570" max="13570" width="21.28515625" style="162" customWidth="1"/>
    <col min="13571" max="13571" width="39.5703125" style="162" customWidth="1"/>
    <col min="13572" max="13572" width="26.7109375" style="162" customWidth="1"/>
    <col min="13573" max="13573" width="13.28515625" style="162" bestFit="1" customWidth="1"/>
    <col min="13574" max="13574" width="9.5703125" style="162" bestFit="1" customWidth="1"/>
    <col min="13575" max="13824" width="9.140625" style="162"/>
    <col min="13825" max="13825" width="75.28515625" style="162" customWidth="1"/>
    <col min="13826" max="13826" width="21.28515625" style="162" customWidth="1"/>
    <col min="13827" max="13827" width="39.5703125" style="162" customWidth="1"/>
    <col min="13828" max="13828" width="26.7109375" style="162" customWidth="1"/>
    <col min="13829" max="13829" width="13.28515625" style="162" bestFit="1" customWidth="1"/>
    <col min="13830" max="13830" width="9.5703125" style="162" bestFit="1" customWidth="1"/>
    <col min="13831" max="14080" width="9.140625" style="162"/>
    <col min="14081" max="14081" width="75.28515625" style="162" customWidth="1"/>
    <col min="14082" max="14082" width="21.28515625" style="162" customWidth="1"/>
    <col min="14083" max="14083" width="39.5703125" style="162" customWidth="1"/>
    <col min="14084" max="14084" width="26.7109375" style="162" customWidth="1"/>
    <col min="14085" max="14085" width="13.28515625" style="162" bestFit="1" customWidth="1"/>
    <col min="14086" max="14086" width="9.5703125" style="162" bestFit="1" customWidth="1"/>
    <col min="14087" max="14336" width="9.140625" style="162"/>
    <col min="14337" max="14337" width="75.28515625" style="162" customWidth="1"/>
    <col min="14338" max="14338" width="21.28515625" style="162" customWidth="1"/>
    <col min="14339" max="14339" width="39.5703125" style="162" customWidth="1"/>
    <col min="14340" max="14340" width="26.7109375" style="162" customWidth="1"/>
    <col min="14341" max="14341" width="13.28515625" style="162" bestFit="1" customWidth="1"/>
    <col min="14342" max="14342" width="9.5703125" style="162" bestFit="1" customWidth="1"/>
    <col min="14343" max="14592" width="9.140625" style="162"/>
    <col min="14593" max="14593" width="75.28515625" style="162" customWidth="1"/>
    <col min="14594" max="14594" width="21.28515625" style="162" customWidth="1"/>
    <col min="14595" max="14595" width="39.5703125" style="162" customWidth="1"/>
    <col min="14596" max="14596" width="26.7109375" style="162" customWidth="1"/>
    <col min="14597" max="14597" width="13.28515625" style="162" bestFit="1" customWidth="1"/>
    <col min="14598" max="14598" width="9.5703125" style="162" bestFit="1" customWidth="1"/>
    <col min="14599" max="14848" width="9.140625" style="162"/>
    <col min="14849" max="14849" width="75.28515625" style="162" customWidth="1"/>
    <col min="14850" max="14850" width="21.28515625" style="162" customWidth="1"/>
    <col min="14851" max="14851" width="39.5703125" style="162" customWidth="1"/>
    <col min="14852" max="14852" width="26.7109375" style="162" customWidth="1"/>
    <col min="14853" max="14853" width="13.28515625" style="162" bestFit="1" customWidth="1"/>
    <col min="14854" max="14854" width="9.5703125" style="162" bestFit="1" customWidth="1"/>
    <col min="14855" max="15104" width="9.140625" style="162"/>
    <col min="15105" max="15105" width="75.28515625" style="162" customWidth="1"/>
    <col min="15106" max="15106" width="21.28515625" style="162" customWidth="1"/>
    <col min="15107" max="15107" width="39.5703125" style="162" customWidth="1"/>
    <col min="15108" max="15108" width="26.7109375" style="162" customWidth="1"/>
    <col min="15109" max="15109" width="13.28515625" style="162" bestFit="1" customWidth="1"/>
    <col min="15110" max="15110" width="9.5703125" style="162" bestFit="1" customWidth="1"/>
    <col min="15111" max="15360" width="9.140625" style="162"/>
    <col min="15361" max="15361" width="75.28515625" style="162" customWidth="1"/>
    <col min="15362" max="15362" width="21.28515625" style="162" customWidth="1"/>
    <col min="15363" max="15363" width="39.5703125" style="162" customWidth="1"/>
    <col min="15364" max="15364" width="26.7109375" style="162" customWidth="1"/>
    <col min="15365" max="15365" width="13.28515625" style="162" bestFit="1" customWidth="1"/>
    <col min="15366" max="15366" width="9.5703125" style="162" bestFit="1" customWidth="1"/>
    <col min="15367" max="15616" width="9.140625" style="162"/>
    <col min="15617" max="15617" width="75.28515625" style="162" customWidth="1"/>
    <col min="15618" max="15618" width="21.28515625" style="162" customWidth="1"/>
    <col min="15619" max="15619" width="39.5703125" style="162" customWidth="1"/>
    <col min="15620" max="15620" width="26.7109375" style="162" customWidth="1"/>
    <col min="15621" max="15621" width="13.28515625" style="162" bestFit="1" customWidth="1"/>
    <col min="15622" max="15622" width="9.5703125" style="162" bestFit="1" customWidth="1"/>
    <col min="15623" max="15872" width="9.140625" style="162"/>
    <col min="15873" max="15873" width="75.28515625" style="162" customWidth="1"/>
    <col min="15874" max="15874" width="21.28515625" style="162" customWidth="1"/>
    <col min="15875" max="15875" width="39.5703125" style="162" customWidth="1"/>
    <col min="15876" max="15876" width="26.7109375" style="162" customWidth="1"/>
    <col min="15877" max="15877" width="13.28515625" style="162" bestFit="1" customWidth="1"/>
    <col min="15878" max="15878" width="9.5703125" style="162" bestFit="1" customWidth="1"/>
    <col min="15879" max="16128" width="9.140625" style="162"/>
    <col min="16129" max="16129" width="75.28515625" style="162" customWidth="1"/>
    <col min="16130" max="16130" width="21.28515625" style="162" customWidth="1"/>
    <col min="16131" max="16131" width="39.5703125" style="162" customWidth="1"/>
    <col min="16132" max="16132" width="26.7109375" style="162" customWidth="1"/>
    <col min="16133" max="16133" width="13.28515625" style="162" bestFit="1" customWidth="1"/>
    <col min="16134" max="16134" width="9.5703125" style="162" bestFit="1" customWidth="1"/>
    <col min="16135" max="16384" width="9.140625" style="162"/>
  </cols>
  <sheetData>
    <row r="1" spans="1:5" x14ac:dyDescent="0.2">
      <c r="A1" s="200" t="s">
        <v>451</v>
      </c>
      <c r="B1" s="201"/>
      <c r="C1" s="201"/>
    </row>
    <row r="2" spans="1:5" x14ac:dyDescent="0.2">
      <c r="A2" s="202" t="s">
        <v>452</v>
      </c>
      <c r="B2" s="201"/>
      <c r="C2" s="201"/>
    </row>
    <row r="3" spans="1:5" x14ac:dyDescent="0.2">
      <c r="A3" s="202" t="s">
        <v>453</v>
      </c>
      <c r="B3" s="201"/>
      <c r="C3" s="201"/>
    </row>
    <row r="4" spans="1:5" x14ac:dyDescent="0.2">
      <c r="A4" s="202" t="s">
        <v>454</v>
      </c>
      <c r="B4" s="201"/>
      <c r="C4" s="201"/>
    </row>
    <row r="5" spans="1:5" x14ac:dyDescent="0.2">
      <c r="A5" s="202"/>
      <c r="B5" s="201"/>
      <c r="C5" s="201"/>
    </row>
    <row r="6" spans="1:5" x14ac:dyDescent="0.2">
      <c r="A6" s="202" t="s">
        <v>455</v>
      </c>
      <c r="B6" s="201"/>
      <c r="C6" s="201"/>
    </row>
    <row r="7" spans="1:5" x14ac:dyDescent="0.2">
      <c r="A7" s="202"/>
      <c r="B7" s="201"/>
      <c r="C7" s="201"/>
    </row>
    <row r="8" spans="1:5" x14ac:dyDescent="0.2">
      <c r="A8" s="203" t="s">
        <v>482</v>
      </c>
      <c r="B8" s="201"/>
      <c r="C8" s="201"/>
    </row>
    <row r="9" spans="1:5" x14ac:dyDescent="0.2">
      <c r="A9" s="202"/>
      <c r="B9" s="201"/>
      <c r="C9" s="201"/>
    </row>
    <row r="10" spans="1:5" ht="25.5" customHeight="1" x14ac:dyDescent="0.2">
      <c r="A10" s="811" t="s">
        <v>483</v>
      </c>
      <c r="B10" s="811"/>
      <c r="C10" s="811"/>
      <c r="D10" s="204"/>
    </row>
    <row r="11" spans="1:5" x14ac:dyDescent="0.2">
      <c r="A11" s="205"/>
      <c r="B11" s="201"/>
      <c r="C11" s="201"/>
    </row>
    <row r="12" spans="1:5" x14ac:dyDescent="0.2">
      <c r="A12" s="812" t="s">
        <v>456</v>
      </c>
      <c r="B12" s="812"/>
      <c r="C12" s="812"/>
      <c r="D12" s="206"/>
    </row>
    <row r="13" spans="1:5" ht="36" customHeight="1" x14ac:dyDescent="0.2">
      <c r="A13" s="207" t="s">
        <v>457</v>
      </c>
      <c r="B13" s="208" t="s">
        <v>458</v>
      </c>
      <c r="C13" s="209" t="s">
        <v>459</v>
      </c>
      <c r="D13" s="210"/>
    </row>
    <row r="14" spans="1:5" ht="15" x14ac:dyDescent="0.25">
      <c r="A14" s="211" t="s">
        <v>433</v>
      </c>
      <c r="B14" s="212">
        <v>5340</v>
      </c>
      <c r="C14" s="213">
        <f t="shared" ref="C14:C22" si="0">B14/$D$14</f>
        <v>4.3099273607748187E-3</v>
      </c>
      <c r="D14" s="214">
        <v>1239000</v>
      </c>
      <c r="E14" s="193"/>
    </row>
    <row r="15" spans="1:5" ht="15" x14ac:dyDescent="0.25">
      <c r="A15" s="211" t="s">
        <v>434</v>
      </c>
      <c r="B15" s="212">
        <v>600</v>
      </c>
      <c r="C15" s="213">
        <f t="shared" si="0"/>
        <v>4.8426150121065375E-4</v>
      </c>
      <c r="D15" s="210"/>
      <c r="E15" s="193"/>
    </row>
    <row r="16" spans="1:5" ht="15" x14ac:dyDescent="0.25">
      <c r="A16" s="211" t="s">
        <v>435</v>
      </c>
      <c r="B16" s="212">
        <v>257</v>
      </c>
      <c r="C16" s="213">
        <f t="shared" si="0"/>
        <v>2.0742534301856336E-4</v>
      </c>
      <c r="D16" s="210"/>
      <c r="E16" s="193"/>
    </row>
    <row r="17" spans="1:5" ht="15" x14ac:dyDescent="0.25">
      <c r="A17" s="211" t="s">
        <v>436</v>
      </c>
      <c r="B17" s="212">
        <v>800</v>
      </c>
      <c r="C17" s="213">
        <f t="shared" si="0"/>
        <v>6.4568200161420504E-4</v>
      </c>
      <c r="D17" s="210"/>
      <c r="E17" s="193"/>
    </row>
    <row r="18" spans="1:5" ht="15" x14ac:dyDescent="0.25">
      <c r="A18" s="211" t="s">
        <v>437</v>
      </c>
      <c r="B18" s="212">
        <v>75</v>
      </c>
      <c r="C18" s="213">
        <f t="shared" si="0"/>
        <v>6.0532687651331719E-5</v>
      </c>
      <c r="D18" s="210"/>
      <c r="E18" s="193"/>
    </row>
    <row r="19" spans="1:5" ht="15" x14ac:dyDescent="0.25">
      <c r="A19" s="211" t="s">
        <v>438</v>
      </c>
      <c r="B19" s="212">
        <v>1000</v>
      </c>
      <c r="C19" s="213">
        <f t="shared" si="0"/>
        <v>8.0710250201775622E-4</v>
      </c>
      <c r="D19" s="210"/>
      <c r="E19" s="193"/>
    </row>
    <row r="20" spans="1:5" ht="15" x14ac:dyDescent="0.25">
      <c r="A20" s="211" t="s">
        <v>439</v>
      </c>
      <c r="B20" s="212">
        <v>350</v>
      </c>
      <c r="C20" s="213">
        <f t="shared" si="0"/>
        <v>2.824858757062147E-4</v>
      </c>
      <c r="D20" s="210"/>
      <c r="E20" s="193"/>
    </row>
    <row r="21" spans="1:5" ht="15" x14ac:dyDescent="0.25">
      <c r="A21" s="211" t="s">
        <v>440</v>
      </c>
      <c r="B21" s="212">
        <v>2500</v>
      </c>
      <c r="C21" s="213">
        <f t="shared" si="0"/>
        <v>2.0177562550443904E-3</v>
      </c>
      <c r="D21" s="210"/>
      <c r="E21" s="193"/>
    </row>
    <row r="22" spans="1:5" ht="15" x14ac:dyDescent="0.25">
      <c r="A22" s="211" t="s">
        <v>441</v>
      </c>
      <c r="B22" s="212">
        <v>1500</v>
      </c>
      <c r="C22" s="213">
        <f t="shared" si="0"/>
        <v>1.2106537530266344E-3</v>
      </c>
      <c r="D22" s="210"/>
      <c r="E22" s="193"/>
    </row>
    <row r="23" spans="1:5" ht="15" x14ac:dyDescent="0.25">
      <c r="A23" s="215" t="s">
        <v>460</v>
      </c>
      <c r="B23" s="216">
        <f>SUM(B14:B22)</f>
        <v>12422</v>
      </c>
      <c r="C23" s="217">
        <f>SUM(C14:C22)</f>
        <v>1.0025827280064568E-2</v>
      </c>
      <c r="D23" s="218"/>
      <c r="E23" s="193"/>
    </row>
    <row r="24" spans="1:5" ht="15" x14ac:dyDescent="0.25">
      <c r="A24" s="219" t="s">
        <v>481</v>
      </c>
      <c r="B24" s="220"/>
      <c r="C24" s="221"/>
      <c r="E24" s="193"/>
    </row>
    <row r="25" spans="1:5" ht="15" x14ac:dyDescent="0.25">
      <c r="A25" s="219"/>
      <c r="B25" s="222"/>
      <c r="C25" s="223"/>
      <c r="E25" s="193"/>
    </row>
    <row r="26" spans="1:5" ht="15" x14ac:dyDescent="0.25">
      <c r="A26" s="219"/>
      <c r="B26" s="220"/>
      <c r="C26" s="201"/>
      <c r="E26" s="193"/>
    </row>
    <row r="27" spans="1:5" ht="15" x14ac:dyDescent="0.25">
      <c r="A27" s="224" t="s">
        <v>132</v>
      </c>
      <c r="B27" s="224"/>
      <c r="C27" s="224"/>
      <c r="D27" s="225"/>
      <c r="E27" s="193"/>
    </row>
    <row r="28" spans="1:5" x14ac:dyDescent="0.2">
      <c r="A28" s="226" t="s">
        <v>461</v>
      </c>
      <c r="B28" s="226"/>
      <c r="C28" s="227">
        <v>232533.33</v>
      </c>
      <c r="D28" s="240"/>
    </row>
    <row r="29" spans="1:5" x14ac:dyDescent="0.2">
      <c r="A29" s="211" t="s">
        <v>462</v>
      </c>
      <c r="B29" s="212">
        <v>51.03</v>
      </c>
      <c r="C29" s="213">
        <v>2.0000000000000001E-4</v>
      </c>
    </row>
    <row r="30" spans="1:5" x14ac:dyDescent="0.2">
      <c r="A30" s="211" t="s">
        <v>463</v>
      </c>
      <c r="B30" s="212">
        <v>1116.1600000000001</v>
      </c>
      <c r="C30" s="213">
        <v>4.7999999999999996E-3</v>
      </c>
      <c r="E30" s="210"/>
    </row>
    <row r="31" spans="1:5" x14ac:dyDescent="0.2">
      <c r="A31" s="211"/>
      <c r="B31" s="211"/>
      <c r="C31" s="211"/>
    </row>
    <row r="32" spans="1:5" x14ac:dyDescent="0.2">
      <c r="A32" s="215" t="s">
        <v>450</v>
      </c>
      <c r="B32" s="215"/>
      <c r="C32" s="228">
        <f>SUM(C29:C31)</f>
        <v>4.9999999999999992E-3</v>
      </c>
    </row>
    <row r="33" spans="1:3" x14ac:dyDescent="0.2">
      <c r="A33" s="229" t="s">
        <v>464</v>
      </c>
      <c r="B33" s="201"/>
      <c r="C33" s="201"/>
    </row>
    <row r="34" spans="1:3" x14ac:dyDescent="0.2">
      <c r="B34" s="196"/>
    </row>
    <row r="35" spans="1:3" x14ac:dyDescent="0.2">
      <c r="A35" s="230" t="s">
        <v>465</v>
      </c>
    </row>
    <row r="38" spans="1:3" x14ac:dyDescent="0.2">
      <c r="A38" s="813" t="s">
        <v>484</v>
      </c>
      <c r="B38" s="814"/>
    </row>
    <row r="39" spans="1:3" x14ac:dyDescent="0.2">
      <c r="A39" s="231"/>
    </row>
    <row r="40" spans="1:3" x14ac:dyDescent="0.2">
      <c r="A40" s="231"/>
    </row>
    <row r="41" spans="1:3" x14ac:dyDescent="0.2">
      <c r="A41" s="815" t="s">
        <v>153</v>
      </c>
      <c r="B41" s="815"/>
    </row>
    <row r="42" spans="1:3" x14ac:dyDescent="0.2">
      <c r="A42" s="810" t="s">
        <v>154</v>
      </c>
      <c r="B42" s="810"/>
    </row>
    <row r="43" spans="1:3" x14ac:dyDescent="0.2">
      <c r="A43" s="810" t="s">
        <v>155</v>
      </c>
      <c r="B43" s="810"/>
    </row>
  </sheetData>
  <mergeCells count="6">
    <mergeCell ref="A43:B43"/>
    <mergeCell ref="A10:C10"/>
    <mergeCell ref="A12:C12"/>
    <mergeCell ref="A38:B38"/>
    <mergeCell ref="A41:B41"/>
    <mergeCell ref="A42:B42"/>
  </mergeCells>
  <pageMargins left="0.511811024" right="0.511811024" top="1.3474015750000001" bottom="0.78740157499999996" header="0.31496062000000002" footer="0.31496062000000002"/>
  <pageSetup paperSize="9" scale="66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F156"/>
  <sheetViews>
    <sheetView showGridLines="0" view="pageBreakPreview" topLeftCell="A124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9" customWidth="1"/>
    <col min="7" max="252" width="9.140625" style="2"/>
    <col min="253" max="253" width="4.42578125" style="2" customWidth="1"/>
    <col min="254" max="254" width="60.140625" style="2" customWidth="1"/>
    <col min="255" max="255" width="11.5703125" style="2" customWidth="1"/>
    <col min="256" max="256" width="22.85546875" style="2" customWidth="1"/>
    <col min="257" max="257" width="14.7109375" style="2" customWidth="1"/>
    <col min="258" max="258" width="51.85546875" style="2" customWidth="1"/>
    <col min="259" max="259" width="9.7109375" style="2" bestFit="1" customWidth="1"/>
    <col min="260" max="508" width="9.140625" style="2"/>
    <col min="509" max="509" width="4.42578125" style="2" customWidth="1"/>
    <col min="510" max="510" width="60.140625" style="2" customWidth="1"/>
    <col min="511" max="511" width="11.5703125" style="2" customWidth="1"/>
    <col min="512" max="512" width="22.85546875" style="2" customWidth="1"/>
    <col min="513" max="513" width="14.7109375" style="2" customWidth="1"/>
    <col min="514" max="514" width="51.85546875" style="2" customWidth="1"/>
    <col min="515" max="515" width="9.7109375" style="2" bestFit="1" customWidth="1"/>
    <col min="516" max="764" width="9.140625" style="2"/>
    <col min="765" max="765" width="4.42578125" style="2" customWidth="1"/>
    <col min="766" max="766" width="60.140625" style="2" customWidth="1"/>
    <col min="767" max="767" width="11.5703125" style="2" customWidth="1"/>
    <col min="768" max="768" width="22.85546875" style="2" customWidth="1"/>
    <col min="769" max="769" width="14.7109375" style="2" customWidth="1"/>
    <col min="770" max="770" width="51.85546875" style="2" customWidth="1"/>
    <col min="771" max="771" width="9.7109375" style="2" bestFit="1" customWidth="1"/>
    <col min="772" max="1020" width="9.140625" style="2"/>
    <col min="1021" max="1021" width="4.42578125" style="2" customWidth="1"/>
    <col min="1022" max="1022" width="60.140625" style="2" customWidth="1"/>
    <col min="1023" max="1023" width="11.5703125" style="2" customWidth="1"/>
    <col min="1024" max="1024" width="22.85546875" style="2" customWidth="1"/>
    <col min="1025" max="1025" width="14.7109375" style="2" customWidth="1"/>
    <col min="1026" max="1026" width="51.85546875" style="2" customWidth="1"/>
    <col min="1027" max="1027" width="9.7109375" style="2" bestFit="1" customWidth="1"/>
    <col min="1028" max="1276" width="9.140625" style="2"/>
    <col min="1277" max="1277" width="4.42578125" style="2" customWidth="1"/>
    <col min="1278" max="1278" width="60.140625" style="2" customWidth="1"/>
    <col min="1279" max="1279" width="11.5703125" style="2" customWidth="1"/>
    <col min="1280" max="1280" width="22.85546875" style="2" customWidth="1"/>
    <col min="1281" max="1281" width="14.7109375" style="2" customWidth="1"/>
    <col min="1282" max="1282" width="51.85546875" style="2" customWidth="1"/>
    <col min="1283" max="1283" width="9.7109375" style="2" bestFit="1" customWidth="1"/>
    <col min="1284" max="1532" width="9.140625" style="2"/>
    <col min="1533" max="1533" width="4.42578125" style="2" customWidth="1"/>
    <col min="1534" max="1534" width="60.140625" style="2" customWidth="1"/>
    <col min="1535" max="1535" width="11.5703125" style="2" customWidth="1"/>
    <col min="1536" max="1536" width="22.85546875" style="2" customWidth="1"/>
    <col min="1537" max="1537" width="14.7109375" style="2" customWidth="1"/>
    <col min="1538" max="1538" width="51.85546875" style="2" customWidth="1"/>
    <col min="1539" max="1539" width="9.7109375" style="2" bestFit="1" customWidth="1"/>
    <col min="1540" max="1788" width="9.140625" style="2"/>
    <col min="1789" max="1789" width="4.42578125" style="2" customWidth="1"/>
    <col min="1790" max="1790" width="60.140625" style="2" customWidth="1"/>
    <col min="1791" max="1791" width="11.5703125" style="2" customWidth="1"/>
    <col min="1792" max="1792" width="22.85546875" style="2" customWidth="1"/>
    <col min="1793" max="1793" width="14.7109375" style="2" customWidth="1"/>
    <col min="1794" max="1794" width="51.85546875" style="2" customWidth="1"/>
    <col min="1795" max="1795" width="9.7109375" style="2" bestFit="1" customWidth="1"/>
    <col min="1796" max="2044" width="9.140625" style="2"/>
    <col min="2045" max="2045" width="4.42578125" style="2" customWidth="1"/>
    <col min="2046" max="2046" width="60.140625" style="2" customWidth="1"/>
    <col min="2047" max="2047" width="11.5703125" style="2" customWidth="1"/>
    <col min="2048" max="2048" width="22.85546875" style="2" customWidth="1"/>
    <col min="2049" max="2049" width="14.7109375" style="2" customWidth="1"/>
    <col min="2050" max="2050" width="51.85546875" style="2" customWidth="1"/>
    <col min="2051" max="2051" width="9.7109375" style="2" bestFit="1" customWidth="1"/>
    <col min="2052" max="2300" width="9.140625" style="2"/>
    <col min="2301" max="2301" width="4.42578125" style="2" customWidth="1"/>
    <col min="2302" max="2302" width="60.140625" style="2" customWidth="1"/>
    <col min="2303" max="2303" width="11.5703125" style="2" customWidth="1"/>
    <col min="2304" max="2304" width="22.85546875" style="2" customWidth="1"/>
    <col min="2305" max="2305" width="14.7109375" style="2" customWidth="1"/>
    <col min="2306" max="2306" width="51.85546875" style="2" customWidth="1"/>
    <col min="2307" max="2307" width="9.7109375" style="2" bestFit="1" customWidth="1"/>
    <col min="2308" max="2556" width="9.140625" style="2"/>
    <col min="2557" max="2557" width="4.42578125" style="2" customWidth="1"/>
    <col min="2558" max="2558" width="60.140625" style="2" customWidth="1"/>
    <col min="2559" max="2559" width="11.5703125" style="2" customWidth="1"/>
    <col min="2560" max="2560" width="22.85546875" style="2" customWidth="1"/>
    <col min="2561" max="2561" width="14.7109375" style="2" customWidth="1"/>
    <col min="2562" max="2562" width="51.85546875" style="2" customWidth="1"/>
    <col min="2563" max="2563" width="9.7109375" style="2" bestFit="1" customWidth="1"/>
    <col min="2564" max="2812" width="9.140625" style="2"/>
    <col min="2813" max="2813" width="4.42578125" style="2" customWidth="1"/>
    <col min="2814" max="2814" width="60.140625" style="2" customWidth="1"/>
    <col min="2815" max="2815" width="11.5703125" style="2" customWidth="1"/>
    <col min="2816" max="2816" width="22.85546875" style="2" customWidth="1"/>
    <col min="2817" max="2817" width="14.7109375" style="2" customWidth="1"/>
    <col min="2818" max="2818" width="51.85546875" style="2" customWidth="1"/>
    <col min="2819" max="2819" width="9.7109375" style="2" bestFit="1" customWidth="1"/>
    <col min="2820" max="3068" width="9.140625" style="2"/>
    <col min="3069" max="3069" width="4.42578125" style="2" customWidth="1"/>
    <col min="3070" max="3070" width="60.140625" style="2" customWidth="1"/>
    <col min="3071" max="3071" width="11.5703125" style="2" customWidth="1"/>
    <col min="3072" max="3072" width="22.85546875" style="2" customWidth="1"/>
    <col min="3073" max="3073" width="14.7109375" style="2" customWidth="1"/>
    <col min="3074" max="3074" width="51.85546875" style="2" customWidth="1"/>
    <col min="3075" max="3075" width="9.7109375" style="2" bestFit="1" customWidth="1"/>
    <col min="3076" max="3324" width="9.140625" style="2"/>
    <col min="3325" max="3325" width="4.42578125" style="2" customWidth="1"/>
    <col min="3326" max="3326" width="60.140625" style="2" customWidth="1"/>
    <col min="3327" max="3327" width="11.5703125" style="2" customWidth="1"/>
    <col min="3328" max="3328" width="22.85546875" style="2" customWidth="1"/>
    <col min="3329" max="3329" width="14.7109375" style="2" customWidth="1"/>
    <col min="3330" max="3330" width="51.85546875" style="2" customWidth="1"/>
    <col min="3331" max="3331" width="9.7109375" style="2" bestFit="1" customWidth="1"/>
    <col min="3332" max="3580" width="9.140625" style="2"/>
    <col min="3581" max="3581" width="4.42578125" style="2" customWidth="1"/>
    <col min="3582" max="3582" width="60.140625" style="2" customWidth="1"/>
    <col min="3583" max="3583" width="11.5703125" style="2" customWidth="1"/>
    <col min="3584" max="3584" width="22.85546875" style="2" customWidth="1"/>
    <col min="3585" max="3585" width="14.7109375" style="2" customWidth="1"/>
    <col min="3586" max="3586" width="51.85546875" style="2" customWidth="1"/>
    <col min="3587" max="3587" width="9.7109375" style="2" bestFit="1" customWidth="1"/>
    <col min="3588" max="3836" width="9.140625" style="2"/>
    <col min="3837" max="3837" width="4.42578125" style="2" customWidth="1"/>
    <col min="3838" max="3838" width="60.140625" style="2" customWidth="1"/>
    <col min="3839" max="3839" width="11.5703125" style="2" customWidth="1"/>
    <col min="3840" max="3840" width="22.85546875" style="2" customWidth="1"/>
    <col min="3841" max="3841" width="14.7109375" style="2" customWidth="1"/>
    <col min="3842" max="3842" width="51.85546875" style="2" customWidth="1"/>
    <col min="3843" max="3843" width="9.7109375" style="2" bestFit="1" customWidth="1"/>
    <col min="3844" max="4092" width="9.140625" style="2"/>
    <col min="4093" max="4093" width="4.42578125" style="2" customWidth="1"/>
    <col min="4094" max="4094" width="60.140625" style="2" customWidth="1"/>
    <col min="4095" max="4095" width="11.5703125" style="2" customWidth="1"/>
    <col min="4096" max="4096" width="22.85546875" style="2" customWidth="1"/>
    <col min="4097" max="4097" width="14.7109375" style="2" customWidth="1"/>
    <col min="4098" max="4098" width="51.85546875" style="2" customWidth="1"/>
    <col min="4099" max="4099" width="9.7109375" style="2" bestFit="1" customWidth="1"/>
    <col min="4100" max="4348" width="9.140625" style="2"/>
    <col min="4349" max="4349" width="4.42578125" style="2" customWidth="1"/>
    <col min="4350" max="4350" width="60.140625" style="2" customWidth="1"/>
    <col min="4351" max="4351" width="11.5703125" style="2" customWidth="1"/>
    <col min="4352" max="4352" width="22.85546875" style="2" customWidth="1"/>
    <col min="4353" max="4353" width="14.7109375" style="2" customWidth="1"/>
    <col min="4354" max="4354" width="51.85546875" style="2" customWidth="1"/>
    <col min="4355" max="4355" width="9.7109375" style="2" bestFit="1" customWidth="1"/>
    <col min="4356" max="4604" width="9.140625" style="2"/>
    <col min="4605" max="4605" width="4.42578125" style="2" customWidth="1"/>
    <col min="4606" max="4606" width="60.140625" style="2" customWidth="1"/>
    <col min="4607" max="4607" width="11.5703125" style="2" customWidth="1"/>
    <col min="4608" max="4608" width="22.85546875" style="2" customWidth="1"/>
    <col min="4609" max="4609" width="14.7109375" style="2" customWidth="1"/>
    <col min="4610" max="4610" width="51.85546875" style="2" customWidth="1"/>
    <col min="4611" max="4611" width="9.7109375" style="2" bestFit="1" customWidth="1"/>
    <col min="4612" max="4860" width="9.140625" style="2"/>
    <col min="4861" max="4861" width="4.42578125" style="2" customWidth="1"/>
    <col min="4862" max="4862" width="60.140625" style="2" customWidth="1"/>
    <col min="4863" max="4863" width="11.5703125" style="2" customWidth="1"/>
    <col min="4864" max="4864" width="22.85546875" style="2" customWidth="1"/>
    <col min="4865" max="4865" width="14.7109375" style="2" customWidth="1"/>
    <col min="4866" max="4866" width="51.85546875" style="2" customWidth="1"/>
    <col min="4867" max="4867" width="9.7109375" style="2" bestFit="1" customWidth="1"/>
    <col min="4868" max="5116" width="9.140625" style="2"/>
    <col min="5117" max="5117" width="4.42578125" style="2" customWidth="1"/>
    <col min="5118" max="5118" width="60.140625" style="2" customWidth="1"/>
    <col min="5119" max="5119" width="11.5703125" style="2" customWidth="1"/>
    <col min="5120" max="5120" width="22.85546875" style="2" customWidth="1"/>
    <col min="5121" max="5121" width="14.7109375" style="2" customWidth="1"/>
    <col min="5122" max="5122" width="51.85546875" style="2" customWidth="1"/>
    <col min="5123" max="5123" width="9.7109375" style="2" bestFit="1" customWidth="1"/>
    <col min="5124" max="5372" width="9.140625" style="2"/>
    <col min="5373" max="5373" width="4.42578125" style="2" customWidth="1"/>
    <col min="5374" max="5374" width="60.140625" style="2" customWidth="1"/>
    <col min="5375" max="5375" width="11.5703125" style="2" customWidth="1"/>
    <col min="5376" max="5376" width="22.85546875" style="2" customWidth="1"/>
    <col min="5377" max="5377" width="14.7109375" style="2" customWidth="1"/>
    <col min="5378" max="5378" width="51.85546875" style="2" customWidth="1"/>
    <col min="5379" max="5379" width="9.7109375" style="2" bestFit="1" customWidth="1"/>
    <col min="5380" max="5628" width="9.140625" style="2"/>
    <col min="5629" max="5629" width="4.42578125" style="2" customWidth="1"/>
    <col min="5630" max="5630" width="60.140625" style="2" customWidth="1"/>
    <col min="5631" max="5631" width="11.5703125" style="2" customWidth="1"/>
    <col min="5632" max="5632" width="22.85546875" style="2" customWidth="1"/>
    <col min="5633" max="5633" width="14.7109375" style="2" customWidth="1"/>
    <col min="5634" max="5634" width="51.85546875" style="2" customWidth="1"/>
    <col min="5635" max="5635" width="9.7109375" style="2" bestFit="1" customWidth="1"/>
    <col min="5636" max="5884" width="9.140625" style="2"/>
    <col min="5885" max="5885" width="4.42578125" style="2" customWidth="1"/>
    <col min="5886" max="5886" width="60.140625" style="2" customWidth="1"/>
    <col min="5887" max="5887" width="11.5703125" style="2" customWidth="1"/>
    <col min="5888" max="5888" width="22.85546875" style="2" customWidth="1"/>
    <col min="5889" max="5889" width="14.7109375" style="2" customWidth="1"/>
    <col min="5890" max="5890" width="51.85546875" style="2" customWidth="1"/>
    <col min="5891" max="5891" width="9.7109375" style="2" bestFit="1" customWidth="1"/>
    <col min="5892" max="6140" width="9.140625" style="2"/>
    <col min="6141" max="6141" width="4.42578125" style="2" customWidth="1"/>
    <col min="6142" max="6142" width="60.140625" style="2" customWidth="1"/>
    <col min="6143" max="6143" width="11.5703125" style="2" customWidth="1"/>
    <col min="6144" max="6144" width="22.85546875" style="2" customWidth="1"/>
    <col min="6145" max="6145" width="14.7109375" style="2" customWidth="1"/>
    <col min="6146" max="6146" width="51.85546875" style="2" customWidth="1"/>
    <col min="6147" max="6147" width="9.7109375" style="2" bestFit="1" customWidth="1"/>
    <col min="6148" max="6396" width="9.140625" style="2"/>
    <col min="6397" max="6397" width="4.42578125" style="2" customWidth="1"/>
    <col min="6398" max="6398" width="60.140625" style="2" customWidth="1"/>
    <col min="6399" max="6399" width="11.5703125" style="2" customWidth="1"/>
    <col min="6400" max="6400" width="22.85546875" style="2" customWidth="1"/>
    <col min="6401" max="6401" width="14.7109375" style="2" customWidth="1"/>
    <col min="6402" max="6402" width="51.85546875" style="2" customWidth="1"/>
    <col min="6403" max="6403" width="9.7109375" style="2" bestFit="1" customWidth="1"/>
    <col min="6404" max="6652" width="9.140625" style="2"/>
    <col min="6653" max="6653" width="4.42578125" style="2" customWidth="1"/>
    <col min="6654" max="6654" width="60.140625" style="2" customWidth="1"/>
    <col min="6655" max="6655" width="11.5703125" style="2" customWidth="1"/>
    <col min="6656" max="6656" width="22.85546875" style="2" customWidth="1"/>
    <col min="6657" max="6657" width="14.7109375" style="2" customWidth="1"/>
    <col min="6658" max="6658" width="51.85546875" style="2" customWidth="1"/>
    <col min="6659" max="6659" width="9.7109375" style="2" bestFit="1" customWidth="1"/>
    <col min="6660" max="6908" width="9.140625" style="2"/>
    <col min="6909" max="6909" width="4.42578125" style="2" customWidth="1"/>
    <col min="6910" max="6910" width="60.140625" style="2" customWidth="1"/>
    <col min="6911" max="6911" width="11.5703125" style="2" customWidth="1"/>
    <col min="6912" max="6912" width="22.85546875" style="2" customWidth="1"/>
    <col min="6913" max="6913" width="14.7109375" style="2" customWidth="1"/>
    <col min="6914" max="6914" width="51.85546875" style="2" customWidth="1"/>
    <col min="6915" max="6915" width="9.7109375" style="2" bestFit="1" customWidth="1"/>
    <col min="6916" max="7164" width="9.140625" style="2"/>
    <col min="7165" max="7165" width="4.42578125" style="2" customWidth="1"/>
    <col min="7166" max="7166" width="60.140625" style="2" customWidth="1"/>
    <col min="7167" max="7167" width="11.5703125" style="2" customWidth="1"/>
    <col min="7168" max="7168" width="22.85546875" style="2" customWidth="1"/>
    <col min="7169" max="7169" width="14.7109375" style="2" customWidth="1"/>
    <col min="7170" max="7170" width="51.85546875" style="2" customWidth="1"/>
    <col min="7171" max="7171" width="9.7109375" style="2" bestFit="1" customWidth="1"/>
    <col min="7172" max="7420" width="9.140625" style="2"/>
    <col min="7421" max="7421" width="4.42578125" style="2" customWidth="1"/>
    <col min="7422" max="7422" width="60.140625" style="2" customWidth="1"/>
    <col min="7423" max="7423" width="11.5703125" style="2" customWidth="1"/>
    <col min="7424" max="7424" width="22.85546875" style="2" customWidth="1"/>
    <col min="7425" max="7425" width="14.7109375" style="2" customWidth="1"/>
    <col min="7426" max="7426" width="51.85546875" style="2" customWidth="1"/>
    <col min="7427" max="7427" width="9.7109375" style="2" bestFit="1" customWidth="1"/>
    <col min="7428" max="7676" width="9.140625" style="2"/>
    <col min="7677" max="7677" width="4.42578125" style="2" customWidth="1"/>
    <col min="7678" max="7678" width="60.140625" style="2" customWidth="1"/>
    <col min="7679" max="7679" width="11.5703125" style="2" customWidth="1"/>
    <col min="7680" max="7680" width="22.85546875" style="2" customWidth="1"/>
    <col min="7681" max="7681" width="14.7109375" style="2" customWidth="1"/>
    <col min="7682" max="7682" width="51.85546875" style="2" customWidth="1"/>
    <col min="7683" max="7683" width="9.7109375" style="2" bestFit="1" customWidth="1"/>
    <col min="7684" max="7932" width="9.140625" style="2"/>
    <col min="7933" max="7933" width="4.42578125" style="2" customWidth="1"/>
    <col min="7934" max="7934" width="60.140625" style="2" customWidth="1"/>
    <col min="7935" max="7935" width="11.5703125" style="2" customWidth="1"/>
    <col min="7936" max="7936" width="22.85546875" style="2" customWidth="1"/>
    <col min="7937" max="7937" width="14.7109375" style="2" customWidth="1"/>
    <col min="7938" max="7938" width="51.85546875" style="2" customWidth="1"/>
    <col min="7939" max="7939" width="9.7109375" style="2" bestFit="1" customWidth="1"/>
    <col min="7940" max="8188" width="9.140625" style="2"/>
    <col min="8189" max="8189" width="4.42578125" style="2" customWidth="1"/>
    <col min="8190" max="8190" width="60.140625" style="2" customWidth="1"/>
    <col min="8191" max="8191" width="11.5703125" style="2" customWidth="1"/>
    <col min="8192" max="8192" width="22.85546875" style="2" customWidth="1"/>
    <col min="8193" max="8193" width="14.7109375" style="2" customWidth="1"/>
    <col min="8194" max="8194" width="51.85546875" style="2" customWidth="1"/>
    <col min="8195" max="8195" width="9.7109375" style="2" bestFit="1" customWidth="1"/>
    <col min="8196" max="8444" width="9.140625" style="2"/>
    <col min="8445" max="8445" width="4.42578125" style="2" customWidth="1"/>
    <col min="8446" max="8446" width="60.140625" style="2" customWidth="1"/>
    <col min="8447" max="8447" width="11.5703125" style="2" customWidth="1"/>
    <col min="8448" max="8448" width="22.85546875" style="2" customWidth="1"/>
    <col min="8449" max="8449" width="14.7109375" style="2" customWidth="1"/>
    <col min="8450" max="8450" width="51.85546875" style="2" customWidth="1"/>
    <col min="8451" max="8451" width="9.7109375" style="2" bestFit="1" customWidth="1"/>
    <col min="8452" max="8700" width="9.140625" style="2"/>
    <col min="8701" max="8701" width="4.42578125" style="2" customWidth="1"/>
    <col min="8702" max="8702" width="60.140625" style="2" customWidth="1"/>
    <col min="8703" max="8703" width="11.5703125" style="2" customWidth="1"/>
    <col min="8704" max="8704" width="22.85546875" style="2" customWidth="1"/>
    <col min="8705" max="8705" width="14.7109375" style="2" customWidth="1"/>
    <col min="8706" max="8706" width="51.85546875" style="2" customWidth="1"/>
    <col min="8707" max="8707" width="9.7109375" style="2" bestFit="1" customWidth="1"/>
    <col min="8708" max="8956" width="9.140625" style="2"/>
    <col min="8957" max="8957" width="4.42578125" style="2" customWidth="1"/>
    <col min="8958" max="8958" width="60.140625" style="2" customWidth="1"/>
    <col min="8959" max="8959" width="11.5703125" style="2" customWidth="1"/>
    <col min="8960" max="8960" width="22.85546875" style="2" customWidth="1"/>
    <col min="8961" max="8961" width="14.7109375" style="2" customWidth="1"/>
    <col min="8962" max="8962" width="51.85546875" style="2" customWidth="1"/>
    <col min="8963" max="8963" width="9.7109375" style="2" bestFit="1" customWidth="1"/>
    <col min="8964" max="9212" width="9.140625" style="2"/>
    <col min="9213" max="9213" width="4.42578125" style="2" customWidth="1"/>
    <col min="9214" max="9214" width="60.140625" style="2" customWidth="1"/>
    <col min="9215" max="9215" width="11.5703125" style="2" customWidth="1"/>
    <col min="9216" max="9216" width="22.85546875" style="2" customWidth="1"/>
    <col min="9217" max="9217" width="14.7109375" style="2" customWidth="1"/>
    <col min="9218" max="9218" width="51.85546875" style="2" customWidth="1"/>
    <col min="9219" max="9219" width="9.7109375" style="2" bestFit="1" customWidth="1"/>
    <col min="9220" max="9468" width="9.140625" style="2"/>
    <col min="9469" max="9469" width="4.42578125" style="2" customWidth="1"/>
    <col min="9470" max="9470" width="60.140625" style="2" customWidth="1"/>
    <col min="9471" max="9471" width="11.5703125" style="2" customWidth="1"/>
    <col min="9472" max="9472" width="22.85546875" style="2" customWidth="1"/>
    <col min="9473" max="9473" width="14.7109375" style="2" customWidth="1"/>
    <col min="9474" max="9474" width="51.85546875" style="2" customWidth="1"/>
    <col min="9475" max="9475" width="9.7109375" style="2" bestFit="1" customWidth="1"/>
    <col min="9476" max="9724" width="9.140625" style="2"/>
    <col min="9725" max="9725" width="4.42578125" style="2" customWidth="1"/>
    <col min="9726" max="9726" width="60.140625" style="2" customWidth="1"/>
    <col min="9727" max="9727" width="11.5703125" style="2" customWidth="1"/>
    <col min="9728" max="9728" width="22.85546875" style="2" customWidth="1"/>
    <col min="9729" max="9729" width="14.7109375" style="2" customWidth="1"/>
    <col min="9730" max="9730" width="51.85546875" style="2" customWidth="1"/>
    <col min="9731" max="9731" width="9.7109375" style="2" bestFit="1" customWidth="1"/>
    <col min="9732" max="9980" width="9.140625" style="2"/>
    <col min="9981" max="9981" width="4.42578125" style="2" customWidth="1"/>
    <col min="9982" max="9982" width="60.140625" style="2" customWidth="1"/>
    <col min="9983" max="9983" width="11.5703125" style="2" customWidth="1"/>
    <col min="9984" max="9984" width="22.85546875" style="2" customWidth="1"/>
    <col min="9985" max="9985" width="14.7109375" style="2" customWidth="1"/>
    <col min="9986" max="9986" width="51.85546875" style="2" customWidth="1"/>
    <col min="9987" max="9987" width="9.7109375" style="2" bestFit="1" customWidth="1"/>
    <col min="9988" max="10236" width="9.140625" style="2"/>
    <col min="10237" max="10237" width="4.42578125" style="2" customWidth="1"/>
    <col min="10238" max="10238" width="60.140625" style="2" customWidth="1"/>
    <col min="10239" max="10239" width="11.5703125" style="2" customWidth="1"/>
    <col min="10240" max="10240" width="22.85546875" style="2" customWidth="1"/>
    <col min="10241" max="10241" width="14.7109375" style="2" customWidth="1"/>
    <col min="10242" max="10242" width="51.85546875" style="2" customWidth="1"/>
    <col min="10243" max="10243" width="9.7109375" style="2" bestFit="1" customWidth="1"/>
    <col min="10244" max="10492" width="9.140625" style="2"/>
    <col min="10493" max="10493" width="4.42578125" style="2" customWidth="1"/>
    <col min="10494" max="10494" width="60.140625" style="2" customWidth="1"/>
    <col min="10495" max="10495" width="11.5703125" style="2" customWidth="1"/>
    <col min="10496" max="10496" width="22.85546875" style="2" customWidth="1"/>
    <col min="10497" max="10497" width="14.7109375" style="2" customWidth="1"/>
    <col min="10498" max="10498" width="51.85546875" style="2" customWidth="1"/>
    <col min="10499" max="10499" width="9.7109375" style="2" bestFit="1" customWidth="1"/>
    <col min="10500" max="10748" width="9.140625" style="2"/>
    <col min="10749" max="10749" width="4.42578125" style="2" customWidth="1"/>
    <col min="10750" max="10750" width="60.140625" style="2" customWidth="1"/>
    <col min="10751" max="10751" width="11.5703125" style="2" customWidth="1"/>
    <col min="10752" max="10752" width="22.85546875" style="2" customWidth="1"/>
    <col min="10753" max="10753" width="14.7109375" style="2" customWidth="1"/>
    <col min="10754" max="10754" width="51.85546875" style="2" customWidth="1"/>
    <col min="10755" max="10755" width="9.7109375" style="2" bestFit="1" customWidth="1"/>
    <col min="10756" max="11004" width="9.140625" style="2"/>
    <col min="11005" max="11005" width="4.42578125" style="2" customWidth="1"/>
    <col min="11006" max="11006" width="60.140625" style="2" customWidth="1"/>
    <col min="11007" max="11007" width="11.5703125" style="2" customWidth="1"/>
    <col min="11008" max="11008" width="22.85546875" style="2" customWidth="1"/>
    <col min="11009" max="11009" width="14.7109375" style="2" customWidth="1"/>
    <col min="11010" max="11010" width="51.85546875" style="2" customWidth="1"/>
    <col min="11011" max="11011" width="9.7109375" style="2" bestFit="1" customWidth="1"/>
    <col min="11012" max="11260" width="9.140625" style="2"/>
    <col min="11261" max="11261" width="4.42578125" style="2" customWidth="1"/>
    <col min="11262" max="11262" width="60.140625" style="2" customWidth="1"/>
    <col min="11263" max="11263" width="11.5703125" style="2" customWidth="1"/>
    <col min="11264" max="11264" width="22.85546875" style="2" customWidth="1"/>
    <col min="11265" max="11265" width="14.7109375" style="2" customWidth="1"/>
    <col min="11266" max="11266" width="51.85546875" style="2" customWidth="1"/>
    <col min="11267" max="11267" width="9.7109375" style="2" bestFit="1" customWidth="1"/>
    <col min="11268" max="11516" width="9.140625" style="2"/>
    <col min="11517" max="11517" width="4.42578125" style="2" customWidth="1"/>
    <col min="11518" max="11518" width="60.140625" style="2" customWidth="1"/>
    <col min="11519" max="11519" width="11.5703125" style="2" customWidth="1"/>
    <col min="11520" max="11520" width="22.85546875" style="2" customWidth="1"/>
    <col min="11521" max="11521" width="14.7109375" style="2" customWidth="1"/>
    <col min="11522" max="11522" width="51.85546875" style="2" customWidth="1"/>
    <col min="11523" max="11523" width="9.7109375" style="2" bestFit="1" customWidth="1"/>
    <col min="11524" max="11772" width="9.140625" style="2"/>
    <col min="11773" max="11773" width="4.42578125" style="2" customWidth="1"/>
    <col min="11774" max="11774" width="60.140625" style="2" customWidth="1"/>
    <col min="11775" max="11775" width="11.5703125" style="2" customWidth="1"/>
    <col min="11776" max="11776" width="22.85546875" style="2" customWidth="1"/>
    <col min="11777" max="11777" width="14.7109375" style="2" customWidth="1"/>
    <col min="11778" max="11778" width="51.85546875" style="2" customWidth="1"/>
    <col min="11779" max="11779" width="9.7109375" style="2" bestFit="1" customWidth="1"/>
    <col min="11780" max="12028" width="9.140625" style="2"/>
    <col min="12029" max="12029" width="4.42578125" style="2" customWidth="1"/>
    <col min="12030" max="12030" width="60.140625" style="2" customWidth="1"/>
    <col min="12031" max="12031" width="11.5703125" style="2" customWidth="1"/>
    <col min="12032" max="12032" width="22.85546875" style="2" customWidth="1"/>
    <col min="12033" max="12033" width="14.7109375" style="2" customWidth="1"/>
    <col min="12034" max="12034" width="51.85546875" style="2" customWidth="1"/>
    <col min="12035" max="12035" width="9.7109375" style="2" bestFit="1" customWidth="1"/>
    <col min="12036" max="12284" width="9.140625" style="2"/>
    <col min="12285" max="12285" width="4.42578125" style="2" customWidth="1"/>
    <col min="12286" max="12286" width="60.140625" style="2" customWidth="1"/>
    <col min="12287" max="12287" width="11.5703125" style="2" customWidth="1"/>
    <col min="12288" max="12288" width="22.85546875" style="2" customWidth="1"/>
    <col min="12289" max="12289" width="14.7109375" style="2" customWidth="1"/>
    <col min="12290" max="12290" width="51.85546875" style="2" customWidth="1"/>
    <col min="12291" max="12291" width="9.7109375" style="2" bestFit="1" customWidth="1"/>
    <col min="12292" max="12540" width="9.140625" style="2"/>
    <col min="12541" max="12541" width="4.42578125" style="2" customWidth="1"/>
    <col min="12542" max="12542" width="60.140625" style="2" customWidth="1"/>
    <col min="12543" max="12543" width="11.5703125" style="2" customWidth="1"/>
    <col min="12544" max="12544" width="22.85546875" style="2" customWidth="1"/>
    <col min="12545" max="12545" width="14.7109375" style="2" customWidth="1"/>
    <col min="12546" max="12546" width="51.85546875" style="2" customWidth="1"/>
    <col min="12547" max="12547" width="9.7109375" style="2" bestFit="1" customWidth="1"/>
    <col min="12548" max="12796" width="9.140625" style="2"/>
    <col min="12797" max="12797" width="4.42578125" style="2" customWidth="1"/>
    <col min="12798" max="12798" width="60.140625" style="2" customWidth="1"/>
    <col min="12799" max="12799" width="11.5703125" style="2" customWidth="1"/>
    <col min="12800" max="12800" width="22.85546875" style="2" customWidth="1"/>
    <col min="12801" max="12801" width="14.7109375" style="2" customWidth="1"/>
    <col min="12802" max="12802" width="51.85546875" style="2" customWidth="1"/>
    <col min="12803" max="12803" width="9.7109375" style="2" bestFit="1" customWidth="1"/>
    <col min="12804" max="13052" width="9.140625" style="2"/>
    <col min="13053" max="13053" width="4.42578125" style="2" customWidth="1"/>
    <col min="13054" max="13054" width="60.140625" style="2" customWidth="1"/>
    <col min="13055" max="13055" width="11.5703125" style="2" customWidth="1"/>
    <col min="13056" max="13056" width="22.85546875" style="2" customWidth="1"/>
    <col min="13057" max="13057" width="14.7109375" style="2" customWidth="1"/>
    <col min="13058" max="13058" width="51.85546875" style="2" customWidth="1"/>
    <col min="13059" max="13059" width="9.7109375" style="2" bestFit="1" customWidth="1"/>
    <col min="13060" max="13308" width="9.140625" style="2"/>
    <col min="13309" max="13309" width="4.42578125" style="2" customWidth="1"/>
    <col min="13310" max="13310" width="60.140625" style="2" customWidth="1"/>
    <col min="13311" max="13311" width="11.5703125" style="2" customWidth="1"/>
    <col min="13312" max="13312" width="22.85546875" style="2" customWidth="1"/>
    <col min="13313" max="13313" width="14.7109375" style="2" customWidth="1"/>
    <col min="13314" max="13314" width="51.85546875" style="2" customWidth="1"/>
    <col min="13315" max="13315" width="9.7109375" style="2" bestFit="1" customWidth="1"/>
    <col min="13316" max="13564" width="9.140625" style="2"/>
    <col min="13565" max="13565" width="4.42578125" style="2" customWidth="1"/>
    <col min="13566" max="13566" width="60.140625" style="2" customWidth="1"/>
    <col min="13567" max="13567" width="11.5703125" style="2" customWidth="1"/>
    <col min="13568" max="13568" width="22.85546875" style="2" customWidth="1"/>
    <col min="13569" max="13569" width="14.7109375" style="2" customWidth="1"/>
    <col min="13570" max="13570" width="51.85546875" style="2" customWidth="1"/>
    <col min="13571" max="13571" width="9.7109375" style="2" bestFit="1" customWidth="1"/>
    <col min="13572" max="13820" width="9.140625" style="2"/>
    <col min="13821" max="13821" width="4.42578125" style="2" customWidth="1"/>
    <col min="13822" max="13822" width="60.140625" style="2" customWidth="1"/>
    <col min="13823" max="13823" width="11.5703125" style="2" customWidth="1"/>
    <col min="13824" max="13824" width="22.85546875" style="2" customWidth="1"/>
    <col min="13825" max="13825" width="14.7109375" style="2" customWidth="1"/>
    <col min="13826" max="13826" width="51.85546875" style="2" customWidth="1"/>
    <col min="13827" max="13827" width="9.7109375" style="2" bestFit="1" customWidth="1"/>
    <col min="13828" max="14076" width="9.140625" style="2"/>
    <col min="14077" max="14077" width="4.42578125" style="2" customWidth="1"/>
    <col min="14078" max="14078" width="60.140625" style="2" customWidth="1"/>
    <col min="14079" max="14079" width="11.5703125" style="2" customWidth="1"/>
    <col min="14080" max="14080" width="22.85546875" style="2" customWidth="1"/>
    <col min="14081" max="14081" width="14.7109375" style="2" customWidth="1"/>
    <col min="14082" max="14082" width="51.85546875" style="2" customWidth="1"/>
    <col min="14083" max="14083" width="9.7109375" style="2" bestFit="1" customWidth="1"/>
    <col min="14084" max="14332" width="9.140625" style="2"/>
    <col min="14333" max="14333" width="4.42578125" style="2" customWidth="1"/>
    <col min="14334" max="14334" width="60.140625" style="2" customWidth="1"/>
    <col min="14335" max="14335" width="11.5703125" style="2" customWidth="1"/>
    <col min="14336" max="14336" width="22.85546875" style="2" customWidth="1"/>
    <col min="14337" max="14337" width="14.7109375" style="2" customWidth="1"/>
    <col min="14338" max="14338" width="51.85546875" style="2" customWidth="1"/>
    <col min="14339" max="14339" width="9.7109375" style="2" bestFit="1" customWidth="1"/>
    <col min="14340" max="14588" width="9.140625" style="2"/>
    <col min="14589" max="14589" width="4.42578125" style="2" customWidth="1"/>
    <col min="14590" max="14590" width="60.140625" style="2" customWidth="1"/>
    <col min="14591" max="14591" width="11.5703125" style="2" customWidth="1"/>
    <col min="14592" max="14592" width="22.85546875" style="2" customWidth="1"/>
    <col min="14593" max="14593" width="14.7109375" style="2" customWidth="1"/>
    <col min="14594" max="14594" width="51.85546875" style="2" customWidth="1"/>
    <col min="14595" max="14595" width="9.7109375" style="2" bestFit="1" customWidth="1"/>
    <col min="14596" max="14844" width="9.140625" style="2"/>
    <col min="14845" max="14845" width="4.42578125" style="2" customWidth="1"/>
    <col min="14846" max="14846" width="60.140625" style="2" customWidth="1"/>
    <col min="14847" max="14847" width="11.5703125" style="2" customWidth="1"/>
    <col min="14848" max="14848" width="22.85546875" style="2" customWidth="1"/>
    <col min="14849" max="14849" width="14.7109375" style="2" customWidth="1"/>
    <col min="14850" max="14850" width="51.85546875" style="2" customWidth="1"/>
    <col min="14851" max="14851" width="9.7109375" style="2" bestFit="1" customWidth="1"/>
    <col min="14852" max="15100" width="9.140625" style="2"/>
    <col min="15101" max="15101" width="4.42578125" style="2" customWidth="1"/>
    <col min="15102" max="15102" width="60.140625" style="2" customWidth="1"/>
    <col min="15103" max="15103" width="11.5703125" style="2" customWidth="1"/>
    <col min="15104" max="15104" width="22.85546875" style="2" customWidth="1"/>
    <col min="15105" max="15105" width="14.7109375" style="2" customWidth="1"/>
    <col min="15106" max="15106" width="51.85546875" style="2" customWidth="1"/>
    <col min="15107" max="15107" width="9.7109375" style="2" bestFit="1" customWidth="1"/>
    <col min="15108" max="15356" width="9.140625" style="2"/>
    <col min="15357" max="15357" width="4.42578125" style="2" customWidth="1"/>
    <col min="15358" max="15358" width="60.140625" style="2" customWidth="1"/>
    <col min="15359" max="15359" width="11.5703125" style="2" customWidth="1"/>
    <col min="15360" max="15360" width="22.85546875" style="2" customWidth="1"/>
    <col min="15361" max="15361" width="14.7109375" style="2" customWidth="1"/>
    <col min="15362" max="15362" width="51.85546875" style="2" customWidth="1"/>
    <col min="15363" max="15363" width="9.7109375" style="2" bestFit="1" customWidth="1"/>
    <col min="15364" max="15612" width="9.140625" style="2"/>
    <col min="15613" max="15613" width="4.42578125" style="2" customWidth="1"/>
    <col min="15614" max="15614" width="60.140625" style="2" customWidth="1"/>
    <col min="15615" max="15615" width="11.5703125" style="2" customWidth="1"/>
    <col min="15616" max="15616" width="22.85546875" style="2" customWidth="1"/>
    <col min="15617" max="15617" width="14.7109375" style="2" customWidth="1"/>
    <col min="15618" max="15618" width="51.85546875" style="2" customWidth="1"/>
    <col min="15619" max="15619" width="9.7109375" style="2" bestFit="1" customWidth="1"/>
    <col min="15620" max="15868" width="9.140625" style="2"/>
    <col min="15869" max="15869" width="4.42578125" style="2" customWidth="1"/>
    <col min="15870" max="15870" width="60.140625" style="2" customWidth="1"/>
    <col min="15871" max="15871" width="11.5703125" style="2" customWidth="1"/>
    <col min="15872" max="15872" width="22.85546875" style="2" customWidth="1"/>
    <col min="15873" max="15873" width="14.7109375" style="2" customWidth="1"/>
    <col min="15874" max="15874" width="51.85546875" style="2" customWidth="1"/>
    <col min="15875" max="15875" width="9.7109375" style="2" bestFit="1" customWidth="1"/>
    <col min="15876" max="16124" width="9.140625" style="2"/>
    <col min="16125" max="16125" width="4.42578125" style="2" customWidth="1"/>
    <col min="16126" max="16126" width="60.140625" style="2" customWidth="1"/>
    <col min="16127" max="16127" width="11.5703125" style="2" customWidth="1"/>
    <col min="16128" max="16128" width="22.85546875" style="2" customWidth="1"/>
    <col min="16129" max="16129" width="14.7109375" style="2" customWidth="1"/>
    <col min="16130" max="16130" width="51.85546875" style="2" customWidth="1"/>
    <col min="16131" max="16131" width="9.7109375" style="2" bestFit="1" customWidth="1"/>
    <col min="16132" max="16384" width="9.140625" style="2"/>
  </cols>
  <sheetData>
    <row r="1" spans="1:6" ht="12.75" x14ac:dyDescent="0.2">
      <c r="A1" s="726" t="s">
        <v>9</v>
      </c>
      <c r="B1" s="726"/>
      <c r="C1" s="726"/>
      <c r="D1" s="726"/>
    </row>
    <row r="4" spans="1:6" x14ac:dyDescent="0.25">
      <c r="A4" s="1" t="s">
        <v>487</v>
      </c>
    </row>
    <row r="5" spans="1:6" x14ac:dyDescent="0.25">
      <c r="A5" s="1" t="s">
        <v>488</v>
      </c>
    </row>
    <row r="6" spans="1:6" x14ac:dyDescent="0.25">
      <c r="C6" s="5" t="s">
        <v>10</v>
      </c>
      <c r="D6" s="6" t="s">
        <v>11</v>
      </c>
    </row>
    <row r="7" spans="1:6" ht="12.75" x14ac:dyDescent="0.2">
      <c r="A7" s="727" t="s">
        <v>12</v>
      </c>
      <c r="B7" s="727"/>
      <c r="C7" s="727"/>
      <c r="D7" s="727"/>
      <c r="F7" s="9" t="s">
        <v>637</v>
      </c>
    </row>
    <row r="8" spans="1:6" ht="12.75" x14ac:dyDescent="0.2">
      <c r="A8" s="7" t="s">
        <v>13</v>
      </c>
      <c r="B8" s="8" t="s">
        <v>14</v>
      </c>
      <c r="C8" s="728">
        <v>41094</v>
      </c>
      <c r="D8" s="725"/>
    </row>
    <row r="9" spans="1:6" ht="12.75" x14ac:dyDescent="0.2">
      <c r="A9" s="7" t="s">
        <v>15</v>
      </c>
      <c r="B9" s="8" t="s">
        <v>16</v>
      </c>
      <c r="C9" s="729" t="s">
        <v>17</v>
      </c>
      <c r="D9" s="729"/>
    </row>
    <row r="10" spans="1:6" ht="12.75" x14ac:dyDescent="0.2">
      <c r="A10" s="7" t="s">
        <v>18</v>
      </c>
      <c r="B10" s="8" t="s">
        <v>19</v>
      </c>
      <c r="C10" s="730" t="s">
        <v>490</v>
      </c>
      <c r="D10" s="725"/>
    </row>
    <row r="11" spans="1:6" ht="12.75" x14ac:dyDescent="0.2">
      <c r="A11" s="7" t="s">
        <v>20</v>
      </c>
      <c r="B11" s="8" t="s">
        <v>21</v>
      </c>
      <c r="C11" s="724" t="s">
        <v>0</v>
      </c>
      <c r="D11" s="725"/>
    </row>
    <row r="13" spans="1:6" ht="12.75" x14ac:dyDescent="0.2">
      <c r="A13" s="727" t="s">
        <v>22</v>
      </c>
      <c r="B13" s="727"/>
      <c r="C13" s="727"/>
      <c r="D13" s="727"/>
    </row>
    <row r="14" spans="1:6" ht="12.75" x14ac:dyDescent="0.2">
      <c r="A14" s="731" t="s">
        <v>23</v>
      </c>
      <c r="B14" s="731"/>
      <c r="C14" s="724" t="s">
        <v>485</v>
      </c>
      <c r="D14" s="725"/>
    </row>
    <row r="15" spans="1:6" ht="12.75" x14ac:dyDescent="0.2">
      <c r="A15" s="731" t="s">
        <v>24</v>
      </c>
      <c r="B15" s="731"/>
      <c r="C15" s="724" t="s">
        <v>25</v>
      </c>
      <c r="D15" s="725"/>
    </row>
    <row r="16" spans="1:6" ht="12.75" x14ac:dyDescent="0.2">
      <c r="A16" s="731" t="s">
        <v>26</v>
      </c>
      <c r="B16" s="731"/>
      <c r="C16" s="725">
        <v>1</v>
      </c>
      <c r="D16" s="725"/>
    </row>
    <row r="17" spans="1:6" ht="12.75" x14ac:dyDescent="0.2">
      <c r="A17" s="732" t="s">
        <v>27</v>
      </c>
      <c r="B17" s="733"/>
      <c r="C17" s="734" t="s">
        <v>635</v>
      </c>
      <c r="D17" s="735"/>
    </row>
    <row r="18" spans="1:6" x14ac:dyDescent="0.25">
      <c r="A18" s="10"/>
    </row>
    <row r="19" spans="1:6" ht="12.75" x14ac:dyDescent="0.2">
      <c r="A19" s="726" t="s">
        <v>29</v>
      </c>
      <c r="B19" s="726"/>
      <c r="C19" s="726"/>
      <c r="D19" s="726"/>
    </row>
    <row r="20" spans="1:6" ht="12.75" x14ac:dyDescent="0.2">
      <c r="A20" s="736" t="s">
        <v>30</v>
      </c>
      <c r="B20" s="736"/>
      <c r="C20" s="736"/>
      <c r="D20" s="736"/>
    </row>
    <row r="21" spans="1:6" ht="12.75" x14ac:dyDescent="0.2">
      <c r="A21" s="737" t="s">
        <v>31</v>
      </c>
      <c r="B21" s="738"/>
      <c r="C21" s="738"/>
      <c r="D21" s="739"/>
    </row>
    <row r="22" spans="1:6" ht="12.75" x14ac:dyDescent="0.2">
      <c r="A22" s="7">
        <v>1</v>
      </c>
      <c r="B22" s="8" t="s">
        <v>32</v>
      </c>
      <c r="C22" s="724" t="s">
        <v>489</v>
      </c>
      <c r="D22" s="725"/>
    </row>
    <row r="23" spans="1:6" x14ac:dyDescent="0.25">
      <c r="A23" s="7">
        <v>2</v>
      </c>
      <c r="B23" s="8" t="s">
        <v>33</v>
      </c>
      <c r="C23" s="741">
        <f>'REPACTUAÇÃO SIEMACO 2013'!J3</f>
        <v>1988.12</v>
      </c>
      <c r="D23" s="741"/>
      <c r="F23" s="573"/>
    </row>
    <row r="24" spans="1:6" ht="12.75" x14ac:dyDescent="0.2">
      <c r="A24" s="7">
        <v>3</v>
      </c>
      <c r="B24" s="8" t="s">
        <v>34</v>
      </c>
      <c r="C24" s="724" t="s">
        <v>35</v>
      </c>
      <c r="D24" s="725"/>
    </row>
    <row r="25" spans="1:6" ht="12.75" x14ac:dyDescent="0.2">
      <c r="A25" s="7">
        <v>4</v>
      </c>
      <c r="B25" s="8" t="s">
        <v>36</v>
      </c>
      <c r="C25" s="742">
        <v>41306</v>
      </c>
      <c r="D25" s="735"/>
    </row>
    <row r="26" spans="1:6" ht="12.75" x14ac:dyDescent="0.2">
      <c r="A26" s="11"/>
      <c r="B26" s="12"/>
      <c r="C26" s="743"/>
      <c r="D26" s="743"/>
    </row>
    <row r="27" spans="1:6" ht="12.75" x14ac:dyDescent="0.2">
      <c r="A27" s="736" t="s">
        <v>37</v>
      </c>
      <c r="B27" s="736"/>
      <c r="C27" s="736"/>
      <c r="D27" s="736"/>
    </row>
    <row r="28" spans="1:6" ht="12.75" x14ac:dyDescent="0.2">
      <c r="A28" s="13">
        <v>1</v>
      </c>
      <c r="B28" s="14" t="s">
        <v>38</v>
      </c>
      <c r="C28" s="15" t="s">
        <v>39</v>
      </c>
      <c r="D28" s="16" t="s">
        <v>40</v>
      </c>
    </row>
    <row r="29" spans="1:6" x14ac:dyDescent="0.25">
      <c r="A29" s="7" t="s">
        <v>13</v>
      </c>
      <c r="B29" s="8" t="s">
        <v>41</v>
      </c>
      <c r="C29" s="355">
        <v>1</v>
      </c>
      <c r="D29" s="354">
        <f>C23</f>
        <v>1988.12</v>
      </c>
      <c r="E29" s="354">
        <f>7.63*200</f>
        <v>1526</v>
      </c>
    </row>
    <row r="30" spans="1:6" x14ac:dyDescent="0.25">
      <c r="A30" s="7" t="s">
        <v>15</v>
      </c>
      <c r="B30" s="8" t="s">
        <v>42</v>
      </c>
      <c r="C30" s="20"/>
      <c r="D30" s="18"/>
    </row>
    <row r="31" spans="1:6" x14ac:dyDescent="0.25">
      <c r="A31" s="7" t="s">
        <v>18</v>
      </c>
      <c r="B31" s="8" t="s">
        <v>43</v>
      </c>
      <c r="C31" s="20"/>
      <c r="D31" s="18"/>
      <c r="E31" s="21"/>
    </row>
    <row r="32" spans="1:6" x14ac:dyDescent="0.25">
      <c r="A32" s="7" t="s">
        <v>20</v>
      </c>
      <c r="B32" s="8" t="s">
        <v>44</v>
      </c>
      <c r="C32" s="22"/>
      <c r="D32" s="18"/>
      <c r="E32" s="19"/>
    </row>
    <row r="33" spans="1:5" x14ac:dyDescent="0.25">
      <c r="A33" s="7" t="s">
        <v>45</v>
      </c>
      <c r="B33" s="8" t="s">
        <v>46</v>
      </c>
      <c r="C33" s="22"/>
      <c r="D33" s="18"/>
      <c r="E33" s="19"/>
    </row>
    <row r="34" spans="1:5" x14ac:dyDescent="0.25">
      <c r="A34" s="7" t="s">
        <v>47</v>
      </c>
      <c r="B34" s="8" t="s">
        <v>48</v>
      </c>
      <c r="C34" s="17"/>
      <c r="D34" s="18">
        <v>0</v>
      </c>
      <c r="E34" s="21"/>
    </row>
    <row r="35" spans="1:5" x14ac:dyDescent="0.25">
      <c r="A35" s="7" t="s">
        <v>49</v>
      </c>
      <c r="B35" s="8" t="s">
        <v>50</v>
      </c>
      <c r="C35" s="22"/>
      <c r="D35" s="18"/>
      <c r="E35" s="19"/>
    </row>
    <row r="36" spans="1:5" x14ac:dyDescent="0.25">
      <c r="A36" s="7" t="s">
        <v>51</v>
      </c>
      <c r="B36" s="8" t="s">
        <v>52</v>
      </c>
      <c r="C36" s="17"/>
      <c r="D36" s="18">
        <v>0</v>
      </c>
    </row>
    <row r="37" spans="1:5" x14ac:dyDescent="0.25">
      <c r="A37" s="7" t="s">
        <v>53</v>
      </c>
      <c r="B37" s="8" t="s">
        <v>54</v>
      </c>
      <c r="C37" s="17"/>
      <c r="D37" s="18">
        <f>ROUND(SUM(D32:D35)/23*7,2)</f>
        <v>0</v>
      </c>
    </row>
    <row r="38" spans="1:5" x14ac:dyDescent="0.25">
      <c r="A38" s="425" t="s">
        <v>632</v>
      </c>
      <c r="B38" s="32" t="s">
        <v>633</v>
      </c>
      <c r="C38" s="355"/>
      <c r="D38" s="354">
        <f>D29*3.63%</f>
        <v>72.168755999999988</v>
      </c>
      <c r="E38" s="432" t="s">
        <v>634</v>
      </c>
    </row>
    <row r="39" spans="1:5" x14ac:dyDescent="0.25">
      <c r="A39" s="744" t="s">
        <v>55</v>
      </c>
      <c r="B39" s="745"/>
      <c r="C39" s="17"/>
      <c r="D39" s="23">
        <f>ROUND(SUM(D29:D38),2)</f>
        <v>2060.29</v>
      </c>
    </row>
    <row r="41" spans="1:5" ht="12.75" x14ac:dyDescent="0.2">
      <c r="A41" s="746" t="s">
        <v>56</v>
      </c>
      <c r="B41" s="747"/>
      <c r="C41" s="747"/>
      <c r="D41" s="748"/>
    </row>
    <row r="42" spans="1:5" ht="12.75" x14ac:dyDescent="0.2">
      <c r="A42" s="13">
        <v>2</v>
      </c>
      <c r="B42" s="24" t="s">
        <v>57</v>
      </c>
      <c r="C42" s="15" t="s">
        <v>58</v>
      </c>
      <c r="D42" s="16" t="s">
        <v>40</v>
      </c>
    </row>
    <row r="43" spans="1:5" ht="13.5" customHeight="1" x14ac:dyDescent="0.25">
      <c r="A43" s="7" t="s">
        <v>13</v>
      </c>
      <c r="B43" s="25" t="s">
        <v>59</v>
      </c>
      <c r="C43" s="18">
        <v>3.3</v>
      </c>
      <c r="D43" s="18">
        <f>ROUND((C43*44)-(D29*6%),2)</f>
        <v>25.91</v>
      </c>
      <c r="E43" s="26"/>
    </row>
    <row r="44" spans="1:5" ht="13.5" customHeight="1" x14ac:dyDescent="0.25">
      <c r="A44" s="7" t="s">
        <v>15</v>
      </c>
      <c r="B44" s="27" t="s">
        <v>60</v>
      </c>
      <c r="C44" s="354"/>
      <c r="D44" s="354">
        <f>'Recepção 2'!D44</f>
        <v>224</v>
      </c>
      <c r="E44" s="356" t="s">
        <v>630</v>
      </c>
    </row>
    <row r="45" spans="1:5" ht="13.5" customHeight="1" x14ac:dyDescent="0.25">
      <c r="A45" s="7" t="s">
        <v>18</v>
      </c>
      <c r="B45" s="27" t="s">
        <v>157</v>
      </c>
      <c r="C45" s="354">
        <v>0</v>
      </c>
      <c r="D45" s="354"/>
      <c r="E45" s="28"/>
    </row>
    <row r="46" spans="1:5" ht="13.5" customHeight="1" x14ac:dyDescent="0.25">
      <c r="A46" s="7" t="s">
        <v>20</v>
      </c>
      <c r="B46" s="27" t="s">
        <v>169</v>
      </c>
      <c r="C46" s="354"/>
      <c r="D46" s="354">
        <f>'Recepção 2'!D45</f>
        <v>45</v>
      </c>
      <c r="E46" s="28"/>
    </row>
    <row r="47" spans="1:5" ht="13.5" customHeight="1" x14ac:dyDescent="0.25">
      <c r="A47" s="7" t="s">
        <v>45</v>
      </c>
      <c r="B47" s="27" t="s">
        <v>631</v>
      </c>
      <c r="C47" s="354">
        <v>0</v>
      </c>
      <c r="D47" s="354">
        <f>'Recepção 2'!D47</f>
        <v>14.5</v>
      </c>
    </row>
    <row r="48" spans="1:5" ht="13.5" customHeight="1" x14ac:dyDescent="0.25">
      <c r="A48" s="7" t="s">
        <v>47</v>
      </c>
      <c r="B48" s="27" t="s">
        <v>64</v>
      </c>
      <c r="C48" s="354">
        <v>0</v>
      </c>
      <c r="D48" s="354">
        <f>'Recepção 2'!D48</f>
        <v>14.5</v>
      </c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323.91000000000003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7" t="s">
        <v>13</v>
      </c>
      <c r="B53" s="8" t="s">
        <v>69</v>
      </c>
      <c r="C53" s="91">
        <f>'Uniforme 1'!D23</f>
        <v>51.875</v>
      </c>
      <c r="D53" s="18">
        <f>ROUND(C53*$C$29,2)</f>
        <v>51.88</v>
      </c>
    </row>
    <row r="54" spans="1:5" x14ac:dyDescent="0.25">
      <c r="A54" s="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7" t="s">
        <v>20</v>
      </c>
      <c r="B56" s="32" t="s">
        <v>72</v>
      </c>
      <c r="C56" s="18">
        <v>0</v>
      </c>
      <c r="D56" s="18">
        <f>C56</f>
        <v>0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412.06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30.9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20.6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4.12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51.51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164.82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61.81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12.36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758.18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E71" s="1" t="s">
        <v>86</v>
      </c>
      <c r="F71" s="35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171.62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57.21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228.83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84.21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313.04000000000002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2.06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0.16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16.48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39.97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14.71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91.06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164.44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171.62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4.9400000000000004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0.41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2.88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0.82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0.41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181.1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66.64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247.74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313.04000000000002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758.19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164.45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247.74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1483.42</v>
      </c>
    </row>
    <row r="106" spans="1:5" x14ac:dyDescent="0.25">
      <c r="D106" s="19">
        <f>ROUND(D105+D57+D49+D39,2)</f>
        <v>3919.5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39.200000000000003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73.97</v>
      </c>
    </row>
    <row r="113" spans="1:6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340.69</v>
      </c>
      <c r="F113" s="44">
        <f>SUM(C110:C114)</f>
        <v>0.1125</v>
      </c>
    </row>
    <row r="114" spans="1:6" x14ac:dyDescent="0.25">
      <c r="A114" s="43" t="s">
        <v>130</v>
      </c>
      <c r="B114" s="8" t="s">
        <v>131</v>
      </c>
      <c r="C114" s="45">
        <v>0.02</v>
      </c>
      <c r="D114" s="18">
        <f>ROUND($F$115*C114,2)</f>
        <v>89.66</v>
      </c>
      <c r="F114" s="46">
        <f>ROUND(D115+D108+D106,2)</f>
        <v>3978.49</v>
      </c>
    </row>
    <row r="115" spans="1:6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19.79</v>
      </c>
      <c r="F115" s="47">
        <f>ROUND(F114/(1-F113),2)</f>
        <v>4482.8100000000004</v>
      </c>
    </row>
    <row r="116" spans="1:6" ht="12.75" x14ac:dyDescent="0.2">
      <c r="A116" s="744" t="s">
        <v>91</v>
      </c>
      <c r="B116" s="749"/>
      <c r="C116" s="745"/>
      <c r="D116" s="23">
        <f>ROUND(SUM(D108:D115),2)</f>
        <v>563.30999999999995</v>
      </c>
    </row>
    <row r="117" spans="1:6" x14ac:dyDescent="0.25">
      <c r="D117" s="42"/>
    </row>
    <row r="118" spans="1:6" ht="12.75" x14ac:dyDescent="0.2">
      <c r="A118" s="736" t="s">
        <v>133</v>
      </c>
      <c r="B118" s="736"/>
      <c r="C118" s="736"/>
      <c r="D118" s="736"/>
    </row>
    <row r="119" spans="1:6" ht="12.75" x14ac:dyDescent="0.2">
      <c r="A119" s="729" t="s">
        <v>134</v>
      </c>
      <c r="B119" s="729"/>
      <c r="C119" s="729"/>
      <c r="D119" s="729"/>
    </row>
    <row r="120" spans="1:6" x14ac:dyDescent="0.25">
      <c r="A120" s="7" t="s">
        <v>13</v>
      </c>
      <c r="B120" s="731" t="s">
        <v>135</v>
      </c>
      <c r="C120" s="731"/>
      <c r="D120" s="18">
        <f>D39</f>
        <v>2060.29</v>
      </c>
    </row>
    <row r="121" spans="1:6" x14ac:dyDescent="0.25">
      <c r="A121" s="7" t="s">
        <v>15</v>
      </c>
      <c r="B121" s="731" t="s">
        <v>136</v>
      </c>
      <c r="C121" s="731"/>
      <c r="D121" s="18">
        <f>D49</f>
        <v>323.91000000000003</v>
      </c>
    </row>
    <row r="122" spans="1:6" x14ac:dyDescent="0.25">
      <c r="A122" s="7" t="s">
        <v>18</v>
      </c>
      <c r="B122" s="731" t="s">
        <v>137</v>
      </c>
      <c r="C122" s="731"/>
      <c r="D122" s="18">
        <f>D57</f>
        <v>51.88</v>
      </c>
    </row>
    <row r="123" spans="1:6" x14ac:dyDescent="0.25">
      <c r="A123" s="7" t="s">
        <v>20</v>
      </c>
      <c r="B123" s="731" t="s">
        <v>138</v>
      </c>
      <c r="C123" s="731"/>
      <c r="D123" s="18">
        <f>D105</f>
        <v>1483.42</v>
      </c>
    </row>
    <row r="124" spans="1:6" ht="12.75" x14ac:dyDescent="0.2">
      <c r="A124" s="729" t="s">
        <v>89</v>
      </c>
      <c r="B124" s="729"/>
      <c r="C124" s="729"/>
      <c r="D124" s="23">
        <f>ROUND(SUM(D120:D123),2)</f>
        <v>3919.5</v>
      </c>
    </row>
    <row r="125" spans="1:6" ht="18.75" x14ac:dyDescent="0.3">
      <c r="A125" s="7" t="s">
        <v>45</v>
      </c>
      <c r="B125" s="751" t="s">
        <v>139</v>
      </c>
      <c r="C125" s="751"/>
      <c r="D125" s="18">
        <f>D116</f>
        <v>563.30999999999995</v>
      </c>
      <c r="F125" s="48"/>
    </row>
    <row r="126" spans="1:6" ht="18.75" x14ac:dyDescent="0.3">
      <c r="A126" s="729" t="s">
        <v>140</v>
      </c>
      <c r="B126" s="729"/>
      <c r="C126" s="729"/>
      <c r="D126" s="23">
        <f>ROUND(D125+D124,2)</f>
        <v>4482.8100000000004</v>
      </c>
      <c r="F126" s="48"/>
    </row>
    <row r="127" spans="1:6" ht="18.75" x14ac:dyDescent="0.3">
      <c r="F127" s="48"/>
    </row>
    <row r="128" spans="1:6" ht="18.75" x14ac:dyDescent="0.3">
      <c r="A128" s="727" t="s">
        <v>141</v>
      </c>
      <c r="B128" s="727"/>
      <c r="C128" s="727"/>
      <c r="D128" s="727"/>
      <c r="F128" s="48"/>
    </row>
    <row r="129" spans="1:6" ht="18.75" x14ac:dyDescent="0.3">
      <c r="A129" s="731" t="s">
        <v>142</v>
      </c>
      <c r="B129" s="731"/>
      <c r="C129" s="731"/>
      <c r="D129" s="18"/>
      <c r="F129" s="48"/>
    </row>
    <row r="130" spans="1:6" ht="18.75" x14ac:dyDescent="0.3">
      <c r="A130" s="731" t="s">
        <v>143</v>
      </c>
      <c r="B130" s="731"/>
      <c r="C130" s="731"/>
      <c r="D130" s="18">
        <f>D126</f>
        <v>4482.8100000000004</v>
      </c>
      <c r="E130" s="49"/>
      <c r="F130" s="48"/>
    </row>
    <row r="131" spans="1:6" ht="18.75" x14ac:dyDescent="0.3">
      <c r="A131" s="731" t="s">
        <v>144</v>
      </c>
      <c r="B131" s="731"/>
      <c r="C131" s="731"/>
      <c r="D131" s="18">
        <v>1</v>
      </c>
      <c r="E131" s="49"/>
      <c r="F131" s="48"/>
    </row>
    <row r="132" spans="1:6" ht="18.75" x14ac:dyDescent="0.3">
      <c r="A132" s="731" t="s">
        <v>145</v>
      </c>
      <c r="B132" s="731"/>
      <c r="C132" s="731"/>
      <c r="D132" s="18">
        <f>ROUND(D131*D130,2)</f>
        <v>4482.8100000000004</v>
      </c>
      <c r="E132" s="49"/>
      <c r="F132" s="48"/>
    </row>
    <row r="133" spans="1:6" ht="18.75" x14ac:dyDescent="0.3">
      <c r="A133" s="731" t="s">
        <v>146</v>
      </c>
      <c r="B133" s="731"/>
      <c r="C133" s="731"/>
      <c r="D133" s="18">
        <v>1</v>
      </c>
      <c r="E133" s="49"/>
      <c r="F133" s="48"/>
    </row>
    <row r="134" spans="1:6" ht="18.75" x14ac:dyDescent="0.3">
      <c r="A134" s="740" t="s">
        <v>147</v>
      </c>
      <c r="B134" s="740"/>
      <c r="C134" s="740"/>
      <c r="D134" s="23">
        <f>ROUND(D133*D132,2)</f>
        <v>4482.8100000000004</v>
      </c>
      <c r="E134" s="49"/>
      <c r="F134" s="48"/>
    </row>
    <row r="135" spans="1:6" ht="18.75" x14ac:dyDescent="0.3">
      <c r="E135" s="49"/>
      <c r="F135" s="48"/>
    </row>
    <row r="136" spans="1:6" ht="18.75" x14ac:dyDescent="0.3">
      <c r="A136" s="727" t="s">
        <v>148</v>
      </c>
      <c r="B136" s="727"/>
      <c r="C136" s="727"/>
      <c r="D136" s="727"/>
      <c r="F136" s="48"/>
    </row>
    <row r="137" spans="1:6" x14ac:dyDescent="0.25">
      <c r="A137" s="7" t="s">
        <v>13</v>
      </c>
      <c r="B137" s="731" t="s">
        <v>149</v>
      </c>
      <c r="C137" s="731"/>
      <c r="D137" s="18">
        <f>D130</f>
        <v>4482.8100000000004</v>
      </c>
    </row>
    <row r="138" spans="1:6" x14ac:dyDescent="0.25">
      <c r="A138" s="7" t="s">
        <v>15</v>
      </c>
      <c r="B138" s="731" t="s">
        <v>150</v>
      </c>
      <c r="C138" s="731"/>
      <c r="D138" s="18">
        <f>D134</f>
        <v>4482.8100000000004</v>
      </c>
    </row>
    <row r="139" spans="1:6" ht="12.75" x14ac:dyDescent="0.2">
      <c r="A139" s="13" t="s">
        <v>18</v>
      </c>
      <c r="B139" s="740" t="s">
        <v>151</v>
      </c>
      <c r="C139" s="740"/>
      <c r="D139" s="23">
        <f>ROUND(D138*12,2)</f>
        <v>53793.72</v>
      </c>
    </row>
    <row r="140" spans="1:6" x14ac:dyDescent="0.25">
      <c r="A140" s="30"/>
    </row>
    <row r="141" spans="1:6" x14ac:dyDescent="0.25">
      <c r="A141" s="30"/>
    </row>
    <row r="142" spans="1:6" x14ac:dyDescent="0.25">
      <c r="A142" s="753" t="s">
        <v>484</v>
      </c>
      <c r="B142" s="754"/>
    </row>
    <row r="143" spans="1:6" x14ac:dyDescent="0.25">
      <c r="A143" s="30"/>
    </row>
    <row r="144" spans="1:6" x14ac:dyDescent="0.25">
      <c r="A144" s="30"/>
    </row>
    <row r="145" spans="1:6" x14ac:dyDescent="0.25">
      <c r="A145" s="755" t="s">
        <v>153</v>
      </c>
      <c r="B145" s="755"/>
    </row>
    <row r="146" spans="1:6" x14ac:dyDescent="0.25">
      <c r="A146" s="756" t="s">
        <v>154</v>
      </c>
      <c r="B146" s="756"/>
    </row>
    <row r="147" spans="1:6" x14ac:dyDescent="0.25">
      <c r="A147" s="752" t="s">
        <v>155</v>
      </c>
      <c r="B147" s="752"/>
    </row>
    <row r="148" spans="1:6" x14ac:dyDescent="0.25">
      <c r="F148" s="52"/>
    </row>
    <row r="156" spans="1:6" x14ac:dyDescent="0.25">
      <c r="F156" s="52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U26:IV26 SQ26:SR26 ACM26:ACN26 AMI26:AMJ26 AWE26:AWF26 BGA26:BGB26 BPW26:BPX26 BZS26:BZT26 CJO26:CJP26 CTK26:CTL26 DDG26:DDH26 DNC26:DND26 DWY26:DWZ26 EGU26:EGV26 EQQ26:EQR26 FAM26:FAN26 FKI26:FKJ26 FUE26:FUF26 GEA26:GEB26 GNW26:GNX26 GXS26:GXT26 HHO26:HHP26 HRK26:HRL26 IBG26:IBH26 ILC26:ILD26 IUY26:IUZ26 JEU26:JEV26 JOQ26:JOR26 JYM26:JYN26 KII26:KIJ26 KSE26:KSF26 LCA26:LCB26 LLW26:LLX26 LVS26:LVT26 MFO26:MFP26 MPK26:MPL26 MZG26:MZH26 NJC26:NJD26 NSY26:NSZ26 OCU26:OCV26 OMQ26:OMR26 OWM26:OWN26 PGI26:PGJ26 PQE26:PQF26 QAA26:QAB26 QJW26:QJX26 QTS26:QTT26 RDO26:RDP26 RNK26:RNL26 RXG26:RXH26 SHC26:SHD26 SQY26:SQZ26 TAU26:TAV26 TKQ26:TKR26 TUM26:TUN26 UEI26:UEJ26 UOE26:UOF26 UYA26:UYB26 VHW26:VHX26 VRS26:VRT26 WBO26:WBP26 WLK26:WLL26 WVG26:WVH26 C65563:D65563 IU65563:IV65563 SQ65563:SR65563 ACM65563:ACN65563 AMI65563:AMJ65563 AWE65563:AWF65563 BGA65563:BGB65563 BPW65563:BPX65563 BZS65563:BZT65563 CJO65563:CJP65563 CTK65563:CTL65563 DDG65563:DDH65563 DNC65563:DND65563 DWY65563:DWZ65563 EGU65563:EGV65563 EQQ65563:EQR65563 FAM65563:FAN65563 FKI65563:FKJ65563 FUE65563:FUF65563 GEA65563:GEB65563 GNW65563:GNX65563 GXS65563:GXT65563 HHO65563:HHP65563 HRK65563:HRL65563 IBG65563:IBH65563 ILC65563:ILD65563 IUY65563:IUZ65563 JEU65563:JEV65563 JOQ65563:JOR65563 JYM65563:JYN65563 KII65563:KIJ65563 KSE65563:KSF65563 LCA65563:LCB65563 LLW65563:LLX65563 LVS65563:LVT65563 MFO65563:MFP65563 MPK65563:MPL65563 MZG65563:MZH65563 NJC65563:NJD65563 NSY65563:NSZ65563 OCU65563:OCV65563 OMQ65563:OMR65563 OWM65563:OWN65563 PGI65563:PGJ65563 PQE65563:PQF65563 QAA65563:QAB65563 QJW65563:QJX65563 QTS65563:QTT65563 RDO65563:RDP65563 RNK65563:RNL65563 RXG65563:RXH65563 SHC65563:SHD65563 SQY65563:SQZ65563 TAU65563:TAV65563 TKQ65563:TKR65563 TUM65563:TUN65563 UEI65563:UEJ65563 UOE65563:UOF65563 UYA65563:UYB65563 VHW65563:VHX65563 VRS65563:VRT65563 WBO65563:WBP65563 WLK65563:WLL65563 WVG65563:WVH65563 C131099:D131099 IU131099:IV131099 SQ131099:SR131099 ACM131099:ACN131099 AMI131099:AMJ131099 AWE131099:AWF131099 BGA131099:BGB131099 BPW131099:BPX131099 BZS131099:BZT131099 CJO131099:CJP131099 CTK131099:CTL131099 DDG131099:DDH131099 DNC131099:DND131099 DWY131099:DWZ131099 EGU131099:EGV131099 EQQ131099:EQR131099 FAM131099:FAN131099 FKI131099:FKJ131099 FUE131099:FUF131099 GEA131099:GEB131099 GNW131099:GNX131099 GXS131099:GXT131099 HHO131099:HHP131099 HRK131099:HRL131099 IBG131099:IBH131099 ILC131099:ILD131099 IUY131099:IUZ131099 JEU131099:JEV131099 JOQ131099:JOR131099 JYM131099:JYN131099 KII131099:KIJ131099 KSE131099:KSF131099 LCA131099:LCB131099 LLW131099:LLX131099 LVS131099:LVT131099 MFO131099:MFP131099 MPK131099:MPL131099 MZG131099:MZH131099 NJC131099:NJD131099 NSY131099:NSZ131099 OCU131099:OCV131099 OMQ131099:OMR131099 OWM131099:OWN131099 PGI131099:PGJ131099 PQE131099:PQF131099 QAA131099:QAB131099 QJW131099:QJX131099 QTS131099:QTT131099 RDO131099:RDP131099 RNK131099:RNL131099 RXG131099:RXH131099 SHC131099:SHD131099 SQY131099:SQZ131099 TAU131099:TAV131099 TKQ131099:TKR131099 TUM131099:TUN131099 UEI131099:UEJ131099 UOE131099:UOF131099 UYA131099:UYB131099 VHW131099:VHX131099 VRS131099:VRT131099 WBO131099:WBP131099 WLK131099:WLL131099 WVG131099:WVH131099 C196635:D196635 IU196635:IV196635 SQ196635:SR196635 ACM196635:ACN196635 AMI196635:AMJ196635 AWE196635:AWF196635 BGA196635:BGB196635 BPW196635:BPX196635 BZS196635:BZT196635 CJO196635:CJP196635 CTK196635:CTL196635 DDG196635:DDH196635 DNC196635:DND196635 DWY196635:DWZ196635 EGU196635:EGV196635 EQQ196635:EQR196635 FAM196635:FAN196635 FKI196635:FKJ196635 FUE196635:FUF196635 GEA196635:GEB196635 GNW196635:GNX196635 GXS196635:GXT196635 HHO196635:HHP196635 HRK196635:HRL196635 IBG196635:IBH196635 ILC196635:ILD196635 IUY196635:IUZ196635 JEU196635:JEV196635 JOQ196635:JOR196635 JYM196635:JYN196635 KII196635:KIJ196635 KSE196635:KSF196635 LCA196635:LCB196635 LLW196635:LLX196635 LVS196635:LVT196635 MFO196635:MFP196635 MPK196635:MPL196635 MZG196635:MZH196635 NJC196635:NJD196635 NSY196635:NSZ196635 OCU196635:OCV196635 OMQ196635:OMR196635 OWM196635:OWN196635 PGI196635:PGJ196635 PQE196635:PQF196635 QAA196635:QAB196635 QJW196635:QJX196635 QTS196635:QTT196635 RDO196635:RDP196635 RNK196635:RNL196635 RXG196635:RXH196635 SHC196635:SHD196635 SQY196635:SQZ196635 TAU196635:TAV196635 TKQ196635:TKR196635 TUM196635:TUN196635 UEI196635:UEJ196635 UOE196635:UOF196635 UYA196635:UYB196635 VHW196635:VHX196635 VRS196635:VRT196635 WBO196635:WBP196635 WLK196635:WLL196635 WVG196635:WVH196635 C262171:D262171 IU262171:IV262171 SQ262171:SR262171 ACM262171:ACN262171 AMI262171:AMJ262171 AWE262171:AWF262171 BGA262171:BGB262171 BPW262171:BPX262171 BZS262171:BZT262171 CJO262171:CJP262171 CTK262171:CTL262171 DDG262171:DDH262171 DNC262171:DND262171 DWY262171:DWZ262171 EGU262171:EGV262171 EQQ262171:EQR262171 FAM262171:FAN262171 FKI262171:FKJ262171 FUE262171:FUF262171 GEA262171:GEB262171 GNW262171:GNX262171 GXS262171:GXT262171 HHO262171:HHP262171 HRK262171:HRL262171 IBG262171:IBH262171 ILC262171:ILD262171 IUY262171:IUZ262171 JEU262171:JEV262171 JOQ262171:JOR262171 JYM262171:JYN262171 KII262171:KIJ262171 KSE262171:KSF262171 LCA262171:LCB262171 LLW262171:LLX262171 LVS262171:LVT262171 MFO262171:MFP262171 MPK262171:MPL262171 MZG262171:MZH262171 NJC262171:NJD262171 NSY262171:NSZ262171 OCU262171:OCV262171 OMQ262171:OMR262171 OWM262171:OWN262171 PGI262171:PGJ262171 PQE262171:PQF262171 QAA262171:QAB262171 QJW262171:QJX262171 QTS262171:QTT262171 RDO262171:RDP262171 RNK262171:RNL262171 RXG262171:RXH262171 SHC262171:SHD262171 SQY262171:SQZ262171 TAU262171:TAV262171 TKQ262171:TKR262171 TUM262171:TUN262171 UEI262171:UEJ262171 UOE262171:UOF262171 UYA262171:UYB262171 VHW262171:VHX262171 VRS262171:VRT262171 WBO262171:WBP262171 WLK262171:WLL262171 WVG262171:WVH262171 C327707:D327707 IU327707:IV327707 SQ327707:SR327707 ACM327707:ACN327707 AMI327707:AMJ327707 AWE327707:AWF327707 BGA327707:BGB327707 BPW327707:BPX327707 BZS327707:BZT327707 CJO327707:CJP327707 CTK327707:CTL327707 DDG327707:DDH327707 DNC327707:DND327707 DWY327707:DWZ327707 EGU327707:EGV327707 EQQ327707:EQR327707 FAM327707:FAN327707 FKI327707:FKJ327707 FUE327707:FUF327707 GEA327707:GEB327707 GNW327707:GNX327707 GXS327707:GXT327707 HHO327707:HHP327707 HRK327707:HRL327707 IBG327707:IBH327707 ILC327707:ILD327707 IUY327707:IUZ327707 JEU327707:JEV327707 JOQ327707:JOR327707 JYM327707:JYN327707 KII327707:KIJ327707 KSE327707:KSF327707 LCA327707:LCB327707 LLW327707:LLX327707 LVS327707:LVT327707 MFO327707:MFP327707 MPK327707:MPL327707 MZG327707:MZH327707 NJC327707:NJD327707 NSY327707:NSZ327707 OCU327707:OCV327707 OMQ327707:OMR327707 OWM327707:OWN327707 PGI327707:PGJ327707 PQE327707:PQF327707 QAA327707:QAB327707 QJW327707:QJX327707 QTS327707:QTT327707 RDO327707:RDP327707 RNK327707:RNL327707 RXG327707:RXH327707 SHC327707:SHD327707 SQY327707:SQZ327707 TAU327707:TAV327707 TKQ327707:TKR327707 TUM327707:TUN327707 UEI327707:UEJ327707 UOE327707:UOF327707 UYA327707:UYB327707 VHW327707:VHX327707 VRS327707:VRT327707 WBO327707:WBP327707 WLK327707:WLL327707 WVG327707:WVH327707 C393243:D393243 IU393243:IV393243 SQ393243:SR393243 ACM393243:ACN393243 AMI393243:AMJ393243 AWE393243:AWF393243 BGA393243:BGB393243 BPW393243:BPX393243 BZS393243:BZT393243 CJO393243:CJP393243 CTK393243:CTL393243 DDG393243:DDH393243 DNC393243:DND393243 DWY393243:DWZ393243 EGU393243:EGV393243 EQQ393243:EQR393243 FAM393243:FAN393243 FKI393243:FKJ393243 FUE393243:FUF393243 GEA393243:GEB393243 GNW393243:GNX393243 GXS393243:GXT393243 HHO393243:HHP393243 HRK393243:HRL393243 IBG393243:IBH393243 ILC393243:ILD393243 IUY393243:IUZ393243 JEU393243:JEV393243 JOQ393243:JOR393243 JYM393243:JYN393243 KII393243:KIJ393243 KSE393243:KSF393243 LCA393243:LCB393243 LLW393243:LLX393243 LVS393243:LVT393243 MFO393243:MFP393243 MPK393243:MPL393243 MZG393243:MZH393243 NJC393243:NJD393243 NSY393243:NSZ393243 OCU393243:OCV393243 OMQ393243:OMR393243 OWM393243:OWN393243 PGI393243:PGJ393243 PQE393243:PQF393243 QAA393243:QAB393243 QJW393243:QJX393243 QTS393243:QTT393243 RDO393243:RDP393243 RNK393243:RNL393243 RXG393243:RXH393243 SHC393243:SHD393243 SQY393243:SQZ393243 TAU393243:TAV393243 TKQ393243:TKR393243 TUM393243:TUN393243 UEI393243:UEJ393243 UOE393243:UOF393243 UYA393243:UYB393243 VHW393243:VHX393243 VRS393243:VRT393243 WBO393243:WBP393243 WLK393243:WLL393243 WVG393243:WVH393243 C458779:D458779 IU458779:IV458779 SQ458779:SR458779 ACM458779:ACN458779 AMI458779:AMJ458779 AWE458779:AWF458779 BGA458779:BGB458779 BPW458779:BPX458779 BZS458779:BZT458779 CJO458779:CJP458779 CTK458779:CTL458779 DDG458779:DDH458779 DNC458779:DND458779 DWY458779:DWZ458779 EGU458779:EGV458779 EQQ458779:EQR458779 FAM458779:FAN458779 FKI458779:FKJ458779 FUE458779:FUF458779 GEA458779:GEB458779 GNW458779:GNX458779 GXS458779:GXT458779 HHO458779:HHP458779 HRK458779:HRL458779 IBG458779:IBH458779 ILC458779:ILD458779 IUY458779:IUZ458779 JEU458779:JEV458779 JOQ458779:JOR458779 JYM458779:JYN458779 KII458779:KIJ458779 KSE458779:KSF458779 LCA458779:LCB458779 LLW458779:LLX458779 LVS458779:LVT458779 MFO458779:MFP458779 MPK458779:MPL458779 MZG458779:MZH458779 NJC458779:NJD458779 NSY458779:NSZ458779 OCU458779:OCV458779 OMQ458779:OMR458779 OWM458779:OWN458779 PGI458779:PGJ458779 PQE458779:PQF458779 QAA458779:QAB458779 QJW458779:QJX458779 QTS458779:QTT458779 RDO458779:RDP458779 RNK458779:RNL458779 RXG458779:RXH458779 SHC458779:SHD458779 SQY458779:SQZ458779 TAU458779:TAV458779 TKQ458779:TKR458779 TUM458779:TUN458779 UEI458779:UEJ458779 UOE458779:UOF458779 UYA458779:UYB458779 VHW458779:VHX458779 VRS458779:VRT458779 WBO458779:WBP458779 WLK458779:WLL458779 WVG458779:WVH458779 C524315:D524315 IU524315:IV524315 SQ524315:SR524315 ACM524315:ACN524315 AMI524315:AMJ524315 AWE524315:AWF524315 BGA524315:BGB524315 BPW524315:BPX524315 BZS524315:BZT524315 CJO524315:CJP524315 CTK524315:CTL524315 DDG524315:DDH524315 DNC524315:DND524315 DWY524315:DWZ524315 EGU524315:EGV524315 EQQ524315:EQR524315 FAM524315:FAN524315 FKI524315:FKJ524315 FUE524315:FUF524315 GEA524315:GEB524315 GNW524315:GNX524315 GXS524315:GXT524315 HHO524315:HHP524315 HRK524315:HRL524315 IBG524315:IBH524315 ILC524315:ILD524315 IUY524315:IUZ524315 JEU524315:JEV524315 JOQ524315:JOR524315 JYM524315:JYN524315 KII524315:KIJ524315 KSE524315:KSF524315 LCA524315:LCB524315 LLW524315:LLX524315 LVS524315:LVT524315 MFO524315:MFP524315 MPK524315:MPL524315 MZG524315:MZH524315 NJC524315:NJD524315 NSY524315:NSZ524315 OCU524315:OCV524315 OMQ524315:OMR524315 OWM524315:OWN524315 PGI524315:PGJ524315 PQE524315:PQF524315 QAA524315:QAB524315 QJW524315:QJX524315 QTS524315:QTT524315 RDO524315:RDP524315 RNK524315:RNL524315 RXG524315:RXH524315 SHC524315:SHD524315 SQY524315:SQZ524315 TAU524315:TAV524315 TKQ524315:TKR524315 TUM524315:TUN524315 UEI524315:UEJ524315 UOE524315:UOF524315 UYA524315:UYB524315 VHW524315:VHX524315 VRS524315:VRT524315 WBO524315:WBP524315 WLK524315:WLL524315 WVG524315:WVH524315 C589851:D589851 IU589851:IV589851 SQ589851:SR589851 ACM589851:ACN589851 AMI589851:AMJ589851 AWE589851:AWF589851 BGA589851:BGB589851 BPW589851:BPX589851 BZS589851:BZT589851 CJO589851:CJP589851 CTK589851:CTL589851 DDG589851:DDH589851 DNC589851:DND589851 DWY589851:DWZ589851 EGU589851:EGV589851 EQQ589851:EQR589851 FAM589851:FAN589851 FKI589851:FKJ589851 FUE589851:FUF589851 GEA589851:GEB589851 GNW589851:GNX589851 GXS589851:GXT589851 HHO589851:HHP589851 HRK589851:HRL589851 IBG589851:IBH589851 ILC589851:ILD589851 IUY589851:IUZ589851 JEU589851:JEV589851 JOQ589851:JOR589851 JYM589851:JYN589851 KII589851:KIJ589851 KSE589851:KSF589851 LCA589851:LCB589851 LLW589851:LLX589851 LVS589851:LVT589851 MFO589851:MFP589851 MPK589851:MPL589851 MZG589851:MZH589851 NJC589851:NJD589851 NSY589851:NSZ589851 OCU589851:OCV589851 OMQ589851:OMR589851 OWM589851:OWN589851 PGI589851:PGJ589851 PQE589851:PQF589851 QAA589851:QAB589851 QJW589851:QJX589851 QTS589851:QTT589851 RDO589851:RDP589851 RNK589851:RNL589851 RXG589851:RXH589851 SHC589851:SHD589851 SQY589851:SQZ589851 TAU589851:TAV589851 TKQ589851:TKR589851 TUM589851:TUN589851 UEI589851:UEJ589851 UOE589851:UOF589851 UYA589851:UYB589851 VHW589851:VHX589851 VRS589851:VRT589851 WBO589851:WBP589851 WLK589851:WLL589851 WVG589851:WVH589851 C655387:D655387 IU655387:IV655387 SQ655387:SR655387 ACM655387:ACN655387 AMI655387:AMJ655387 AWE655387:AWF655387 BGA655387:BGB655387 BPW655387:BPX655387 BZS655387:BZT655387 CJO655387:CJP655387 CTK655387:CTL655387 DDG655387:DDH655387 DNC655387:DND655387 DWY655387:DWZ655387 EGU655387:EGV655387 EQQ655387:EQR655387 FAM655387:FAN655387 FKI655387:FKJ655387 FUE655387:FUF655387 GEA655387:GEB655387 GNW655387:GNX655387 GXS655387:GXT655387 HHO655387:HHP655387 HRK655387:HRL655387 IBG655387:IBH655387 ILC655387:ILD655387 IUY655387:IUZ655387 JEU655387:JEV655387 JOQ655387:JOR655387 JYM655387:JYN655387 KII655387:KIJ655387 KSE655387:KSF655387 LCA655387:LCB655387 LLW655387:LLX655387 LVS655387:LVT655387 MFO655387:MFP655387 MPK655387:MPL655387 MZG655387:MZH655387 NJC655387:NJD655387 NSY655387:NSZ655387 OCU655387:OCV655387 OMQ655387:OMR655387 OWM655387:OWN655387 PGI655387:PGJ655387 PQE655387:PQF655387 QAA655387:QAB655387 QJW655387:QJX655387 QTS655387:QTT655387 RDO655387:RDP655387 RNK655387:RNL655387 RXG655387:RXH655387 SHC655387:SHD655387 SQY655387:SQZ655387 TAU655387:TAV655387 TKQ655387:TKR655387 TUM655387:TUN655387 UEI655387:UEJ655387 UOE655387:UOF655387 UYA655387:UYB655387 VHW655387:VHX655387 VRS655387:VRT655387 WBO655387:WBP655387 WLK655387:WLL655387 WVG655387:WVH655387 C720923:D720923 IU720923:IV720923 SQ720923:SR720923 ACM720923:ACN720923 AMI720923:AMJ720923 AWE720923:AWF720923 BGA720923:BGB720923 BPW720923:BPX720923 BZS720923:BZT720923 CJO720923:CJP720923 CTK720923:CTL720923 DDG720923:DDH720923 DNC720923:DND720923 DWY720923:DWZ720923 EGU720923:EGV720923 EQQ720923:EQR720923 FAM720923:FAN720923 FKI720923:FKJ720923 FUE720923:FUF720923 GEA720923:GEB720923 GNW720923:GNX720923 GXS720923:GXT720923 HHO720923:HHP720923 HRK720923:HRL720923 IBG720923:IBH720923 ILC720923:ILD720923 IUY720923:IUZ720923 JEU720923:JEV720923 JOQ720923:JOR720923 JYM720923:JYN720923 KII720923:KIJ720923 KSE720923:KSF720923 LCA720923:LCB720923 LLW720923:LLX720923 LVS720923:LVT720923 MFO720923:MFP720923 MPK720923:MPL720923 MZG720923:MZH720923 NJC720923:NJD720923 NSY720923:NSZ720923 OCU720923:OCV720923 OMQ720923:OMR720923 OWM720923:OWN720923 PGI720923:PGJ720923 PQE720923:PQF720923 QAA720923:QAB720923 QJW720923:QJX720923 QTS720923:QTT720923 RDO720923:RDP720923 RNK720923:RNL720923 RXG720923:RXH720923 SHC720923:SHD720923 SQY720923:SQZ720923 TAU720923:TAV720923 TKQ720923:TKR720923 TUM720923:TUN720923 UEI720923:UEJ720923 UOE720923:UOF720923 UYA720923:UYB720923 VHW720923:VHX720923 VRS720923:VRT720923 WBO720923:WBP720923 WLK720923:WLL720923 WVG720923:WVH720923 C786459:D786459 IU786459:IV786459 SQ786459:SR786459 ACM786459:ACN786459 AMI786459:AMJ786459 AWE786459:AWF786459 BGA786459:BGB786459 BPW786459:BPX786459 BZS786459:BZT786459 CJO786459:CJP786459 CTK786459:CTL786459 DDG786459:DDH786459 DNC786459:DND786459 DWY786459:DWZ786459 EGU786459:EGV786459 EQQ786459:EQR786459 FAM786459:FAN786459 FKI786459:FKJ786459 FUE786459:FUF786459 GEA786459:GEB786459 GNW786459:GNX786459 GXS786459:GXT786459 HHO786459:HHP786459 HRK786459:HRL786459 IBG786459:IBH786459 ILC786459:ILD786459 IUY786459:IUZ786459 JEU786459:JEV786459 JOQ786459:JOR786459 JYM786459:JYN786459 KII786459:KIJ786459 KSE786459:KSF786459 LCA786459:LCB786459 LLW786459:LLX786459 LVS786459:LVT786459 MFO786459:MFP786459 MPK786459:MPL786459 MZG786459:MZH786459 NJC786459:NJD786459 NSY786459:NSZ786459 OCU786459:OCV786459 OMQ786459:OMR786459 OWM786459:OWN786459 PGI786459:PGJ786459 PQE786459:PQF786459 QAA786459:QAB786459 QJW786459:QJX786459 QTS786459:QTT786459 RDO786459:RDP786459 RNK786459:RNL786459 RXG786459:RXH786459 SHC786459:SHD786459 SQY786459:SQZ786459 TAU786459:TAV786459 TKQ786459:TKR786459 TUM786459:TUN786459 UEI786459:UEJ786459 UOE786459:UOF786459 UYA786459:UYB786459 VHW786459:VHX786459 VRS786459:VRT786459 WBO786459:WBP786459 WLK786459:WLL786459 WVG786459:WVH786459 C851995:D851995 IU851995:IV851995 SQ851995:SR851995 ACM851995:ACN851995 AMI851995:AMJ851995 AWE851995:AWF851995 BGA851995:BGB851995 BPW851995:BPX851995 BZS851995:BZT851995 CJO851995:CJP851995 CTK851995:CTL851995 DDG851995:DDH851995 DNC851995:DND851995 DWY851995:DWZ851995 EGU851995:EGV851995 EQQ851995:EQR851995 FAM851995:FAN851995 FKI851995:FKJ851995 FUE851995:FUF851995 GEA851995:GEB851995 GNW851995:GNX851995 GXS851995:GXT851995 HHO851995:HHP851995 HRK851995:HRL851995 IBG851995:IBH851995 ILC851995:ILD851995 IUY851995:IUZ851995 JEU851995:JEV851995 JOQ851995:JOR851995 JYM851995:JYN851995 KII851995:KIJ851995 KSE851995:KSF851995 LCA851995:LCB851995 LLW851995:LLX851995 LVS851995:LVT851995 MFO851995:MFP851995 MPK851995:MPL851995 MZG851995:MZH851995 NJC851995:NJD851995 NSY851995:NSZ851995 OCU851995:OCV851995 OMQ851995:OMR851995 OWM851995:OWN851995 PGI851995:PGJ851995 PQE851995:PQF851995 QAA851995:QAB851995 QJW851995:QJX851995 QTS851995:QTT851995 RDO851995:RDP851995 RNK851995:RNL851995 RXG851995:RXH851995 SHC851995:SHD851995 SQY851995:SQZ851995 TAU851995:TAV851995 TKQ851995:TKR851995 TUM851995:TUN851995 UEI851995:UEJ851995 UOE851995:UOF851995 UYA851995:UYB851995 VHW851995:VHX851995 VRS851995:VRT851995 WBO851995:WBP851995 WLK851995:WLL851995 WVG851995:WVH851995 C917531:D917531 IU917531:IV917531 SQ917531:SR917531 ACM917531:ACN917531 AMI917531:AMJ917531 AWE917531:AWF917531 BGA917531:BGB917531 BPW917531:BPX917531 BZS917531:BZT917531 CJO917531:CJP917531 CTK917531:CTL917531 DDG917531:DDH917531 DNC917531:DND917531 DWY917531:DWZ917531 EGU917531:EGV917531 EQQ917531:EQR917531 FAM917531:FAN917531 FKI917531:FKJ917531 FUE917531:FUF917531 GEA917531:GEB917531 GNW917531:GNX917531 GXS917531:GXT917531 HHO917531:HHP917531 HRK917531:HRL917531 IBG917531:IBH917531 ILC917531:ILD917531 IUY917531:IUZ917531 JEU917531:JEV917531 JOQ917531:JOR917531 JYM917531:JYN917531 KII917531:KIJ917531 KSE917531:KSF917531 LCA917531:LCB917531 LLW917531:LLX917531 LVS917531:LVT917531 MFO917531:MFP917531 MPK917531:MPL917531 MZG917531:MZH917531 NJC917531:NJD917531 NSY917531:NSZ917531 OCU917531:OCV917531 OMQ917531:OMR917531 OWM917531:OWN917531 PGI917531:PGJ917531 PQE917531:PQF917531 QAA917531:QAB917531 QJW917531:QJX917531 QTS917531:QTT917531 RDO917531:RDP917531 RNK917531:RNL917531 RXG917531:RXH917531 SHC917531:SHD917531 SQY917531:SQZ917531 TAU917531:TAV917531 TKQ917531:TKR917531 TUM917531:TUN917531 UEI917531:UEJ917531 UOE917531:UOF917531 UYA917531:UYB917531 VHW917531:VHX917531 VRS917531:VRT917531 WBO917531:WBP917531 WLK917531:WLL917531 WVG917531:WVH917531 C983067:D983067 IU983067:IV983067 SQ983067:SR983067 ACM983067:ACN983067 AMI983067:AMJ983067 AWE983067:AWF983067 BGA983067:BGB983067 BPW983067:BPX983067 BZS983067:BZT983067 CJO983067:CJP983067 CTK983067:CTL983067 DDG983067:DDH983067 DNC983067:DND983067 DWY983067:DWZ983067 EGU983067:EGV983067 EQQ983067:EQR983067 FAM983067:FAN983067 FKI983067:FKJ983067 FUE983067:FUF983067 GEA983067:GEB983067 GNW983067:GNX983067 GXS983067:GXT983067 HHO983067:HHP983067 HRK983067:HRL983067 IBG983067:IBH983067 ILC983067:ILD983067 IUY983067:IUZ983067 JEU983067:JEV983067 JOQ983067:JOR983067 JYM983067:JYN983067 KII983067:KIJ983067 KSE983067:KSF983067 LCA983067:LCB983067 LLW983067:LLX983067 LVS983067:LVT983067 MFO983067:MFP983067 MPK983067:MPL983067 MZG983067:MZH983067 NJC983067:NJD983067 NSY983067:NSZ983067 OCU983067:OCV983067 OMQ983067:OMR983067 OWM983067:OWN983067 PGI983067:PGJ983067 PQE983067:PQF983067 QAA983067:QAB983067 QJW983067:QJX983067 QTS983067:QTT983067 RDO983067:RDP983067 RNK983067:RNL983067 RXG983067:RXH983067 SHC983067:SHD983067 SQY983067:SQZ983067 TAU983067:TAV983067 TKQ983067:TKR983067 TUM983067:TUN983067 UEI983067:UEJ983067 UOE983067:UOF983067 UYA983067:UYB983067 VHW983067:VHX983067 VRS983067:VRT983067 WBO983067:WBP983067 WLK983067:WLL983067 WVG983067:WVH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68" fitToWidth="2" fitToHeight="2" orientation="portrait" r:id="rId1"/>
  <headerFooter alignWithMargins="0"/>
  <rowBreaks count="1" manualBreakCount="1">
    <brk id="139" max="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5" zoomScaleNormal="85" zoomScaleSheetLayoutView="100" workbookViewId="0">
      <selection activeCell="C44" sqref="C44"/>
    </sheetView>
  </sheetViews>
  <sheetFormatPr defaultRowHeight="15" x14ac:dyDescent="0.25"/>
  <cols>
    <col min="1" max="1" width="4.42578125" style="543" customWidth="1"/>
    <col min="2" max="2" width="60.140625" style="543" customWidth="1"/>
    <col min="3" max="3" width="11.5703125" style="544" customWidth="1"/>
    <col min="4" max="4" width="22.85546875" style="545" customWidth="1"/>
    <col min="5" max="5" width="14.7109375" style="527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4" ht="12.75" x14ac:dyDescent="0.2">
      <c r="A1" s="759" t="s">
        <v>9</v>
      </c>
      <c r="B1" s="759"/>
      <c r="C1" s="759"/>
      <c r="D1" s="759"/>
    </row>
    <row r="4" spans="1:4" x14ac:dyDescent="0.25">
      <c r="A4" s="527" t="s">
        <v>487</v>
      </c>
    </row>
    <row r="5" spans="1:4" x14ac:dyDescent="0.25">
      <c r="A5" s="527" t="s">
        <v>488</v>
      </c>
    </row>
    <row r="6" spans="1:4" x14ac:dyDescent="0.25">
      <c r="C6" s="558" t="s">
        <v>10</v>
      </c>
      <c r="D6" s="559" t="s">
        <v>11</v>
      </c>
    </row>
    <row r="7" spans="1:4" ht="12.75" x14ac:dyDescent="0.2">
      <c r="A7" s="760" t="s">
        <v>12</v>
      </c>
      <c r="B7" s="760"/>
      <c r="C7" s="760"/>
      <c r="D7" s="760"/>
    </row>
    <row r="8" spans="1:4" ht="12.75" x14ac:dyDescent="0.2">
      <c r="A8" s="43" t="s">
        <v>13</v>
      </c>
      <c r="B8" s="526" t="s">
        <v>14</v>
      </c>
      <c r="C8" s="761">
        <v>41094</v>
      </c>
      <c r="D8" s="758"/>
    </row>
    <row r="9" spans="1:4" ht="12.75" x14ac:dyDescent="0.2">
      <c r="A9" s="43" t="s">
        <v>15</v>
      </c>
      <c r="B9" s="526" t="s">
        <v>16</v>
      </c>
      <c r="C9" s="760" t="s">
        <v>17</v>
      </c>
      <c r="D9" s="760"/>
    </row>
    <row r="10" spans="1:4" ht="12.75" x14ac:dyDescent="0.2">
      <c r="A10" s="43" t="s">
        <v>18</v>
      </c>
      <c r="B10" s="526" t="s">
        <v>19</v>
      </c>
      <c r="C10" s="761">
        <v>40909</v>
      </c>
      <c r="D10" s="758"/>
    </row>
    <row r="11" spans="1:4" ht="12.75" x14ac:dyDescent="0.2">
      <c r="A11" s="43" t="s">
        <v>20</v>
      </c>
      <c r="B11" s="526" t="s">
        <v>21</v>
      </c>
      <c r="C11" s="757" t="s">
        <v>0</v>
      </c>
      <c r="D11" s="758"/>
    </row>
    <row r="13" spans="1:4" ht="12.75" x14ac:dyDescent="0.2">
      <c r="A13" s="760" t="s">
        <v>22</v>
      </c>
      <c r="B13" s="760"/>
      <c r="C13" s="760"/>
      <c r="D13" s="760"/>
    </row>
    <row r="14" spans="1:4" ht="12.75" x14ac:dyDescent="0.2">
      <c r="A14" s="762" t="s">
        <v>23</v>
      </c>
      <c r="B14" s="762"/>
      <c r="C14" s="757" t="s">
        <v>491</v>
      </c>
      <c r="D14" s="758"/>
    </row>
    <row r="15" spans="1:4" ht="12.75" x14ac:dyDescent="0.2">
      <c r="A15" s="762" t="s">
        <v>24</v>
      </c>
      <c r="B15" s="762"/>
      <c r="C15" s="757" t="s">
        <v>25</v>
      </c>
      <c r="D15" s="758"/>
    </row>
    <row r="16" spans="1:4" ht="12.75" x14ac:dyDescent="0.2">
      <c r="A16" s="762" t="s">
        <v>26</v>
      </c>
      <c r="B16" s="762"/>
      <c r="C16" s="758">
        <v>1</v>
      </c>
      <c r="D16" s="758"/>
    </row>
    <row r="17" spans="1:6" ht="12.75" x14ac:dyDescent="0.2">
      <c r="A17" s="763" t="s">
        <v>27</v>
      </c>
      <c r="B17" s="764"/>
      <c r="C17" s="758" t="s">
        <v>28</v>
      </c>
      <c r="D17" s="758"/>
    </row>
    <row r="18" spans="1:6" x14ac:dyDescent="0.25">
      <c r="A18" s="560"/>
    </row>
    <row r="19" spans="1:6" ht="12.75" x14ac:dyDescent="0.2">
      <c r="A19" s="759" t="s">
        <v>29</v>
      </c>
      <c r="B19" s="759"/>
      <c r="C19" s="759"/>
      <c r="D19" s="759"/>
    </row>
    <row r="20" spans="1:6" ht="12.75" x14ac:dyDescent="0.2">
      <c r="A20" s="759" t="s">
        <v>30</v>
      </c>
      <c r="B20" s="759"/>
      <c r="C20" s="759"/>
      <c r="D20" s="759"/>
    </row>
    <row r="21" spans="1:6" ht="12.75" x14ac:dyDescent="0.2">
      <c r="A21" s="765" t="s">
        <v>31</v>
      </c>
      <c r="B21" s="766"/>
      <c r="C21" s="766"/>
      <c r="D21" s="767"/>
    </row>
    <row r="22" spans="1:6" ht="12.75" x14ac:dyDescent="0.2">
      <c r="A22" s="43">
        <v>1</v>
      </c>
      <c r="B22" s="526" t="s">
        <v>32</v>
      </c>
      <c r="C22" s="757" t="s">
        <v>489</v>
      </c>
      <c r="D22" s="758"/>
    </row>
    <row r="23" spans="1:6" x14ac:dyDescent="0.25">
      <c r="A23" s="43">
        <v>2</v>
      </c>
      <c r="B23" s="526" t="s">
        <v>33</v>
      </c>
      <c r="C23" s="769">
        <f>'REPACTUAÇÃO SIEMACO 2013'!J4</f>
        <v>1022.3</v>
      </c>
      <c r="D23" s="769"/>
    </row>
    <row r="24" spans="1:6" ht="12.75" x14ac:dyDescent="0.2">
      <c r="A24" s="43">
        <v>3</v>
      </c>
      <c r="B24" s="526" t="s">
        <v>34</v>
      </c>
      <c r="C24" s="757" t="s">
        <v>35</v>
      </c>
      <c r="D24" s="758"/>
    </row>
    <row r="25" spans="1:6" ht="12.75" x14ac:dyDescent="0.2">
      <c r="A25" s="43">
        <v>4</v>
      </c>
      <c r="B25" s="526" t="s">
        <v>36</v>
      </c>
      <c r="C25" s="761">
        <v>41306</v>
      </c>
      <c r="D25" s="758"/>
    </row>
    <row r="26" spans="1:6" ht="12.75" x14ac:dyDescent="0.2">
      <c r="A26" s="528"/>
      <c r="B26" s="529"/>
      <c r="C26" s="770"/>
      <c r="D26" s="770"/>
    </row>
    <row r="27" spans="1:6" ht="12.75" x14ac:dyDescent="0.2">
      <c r="A27" s="759" t="s">
        <v>37</v>
      </c>
      <c r="B27" s="759"/>
      <c r="C27" s="759"/>
      <c r="D27" s="759"/>
    </row>
    <row r="28" spans="1:6" ht="12.75" x14ac:dyDescent="0.2">
      <c r="A28" s="530">
        <v>1</v>
      </c>
      <c r="B28" s="531" t="s">
        <v>38</v>
      </c>
      <c r="C28" s="532" t="s">
        <v>39</v>
      </c>
      <c r="D28" s="533" t="s">
        <v>40</v>
      </c>
    </row>
    <row r="29" spans="1:6" x14ac:dyDescent="0.25">
      <c r="A29" s="43" t="s">
        <v>13</v>
      </c>
      <c r="B29" s="526" t="s">
        <v>41</v>
      </c>
      <c r="C29" s="534">
        <v>1</v>
      </c>
      <c r="D29" s="535">
        <f>'REPACTUAÇÃO SIEMACO 2013'!J4</f>
        <v>1022.3</v>
      </c>
      <c r="E29" s="536"/>
    </row>
    <row r="30" spans="1:6" x14ac:dyDescent="0.25">
      <c r="A30" s="43" t="s">
        <v>15</v>
      </c>
      <c r="B30" s="526" t="s">
        <v>42</v>
      </c>
      <c r="C30" s="537"/>
      <c r="D30" s="535"/>
    </row>
    <row r="31" spans="1:6" x14ac:dyDescent="0.25">
      <c r="A31" s="43" t="s">
        <v>18</v>
      </c>
      <c r="B31" s="526" t="s">
        <v>43</v>
      </c>
      <c r="C31" s="537"/>
      <c r="D31" s="535"/>
      <c r="E31" s="538"/>
    </row>
    <row r="32" spans="1:6" x14ac:dyDescent="0.25">
      <c r="A32" s="43" t="s">
        <v>20</v>
      </c>
      <c r="B32" s="526" t="s">
        <v>44</v>
      </c>
      <c r="C32" s="539"/>
      <c r="D32" s="535"/>
      <c r="E32" s="536"/>
      <c r="F32" s="9"/>
    </row>
    <row r="33" spans="1:6" x14ac:dyDescent="0.25">
      <c r="A33" s="43" t="s">
        <v>45</v>
      </c>
      <c r="B33" s="526" t="s">
        <v>46</v>
      </c>
      <c r="C33" s="539"/>
      <c r="D33" s="535"/>
      <c r="E33" s="536"/>
      <c r="F33" s="9"/>
    </row>
    <row r="34" spans="1:6" x14ac:dyDescent="0.25">
      <c r="A34" s="43" t="s">
        <v>47</v>
      </c>
      <c r="B34" s="526" t="s">
        <v>48</v>
      </c>
      <c r="C34" s="534"/>
      <c r="D34" s="535"/>
      <c r="E34" s="538"/>
    </row>
    <row r="35" spans="1:6" x14ac:dyDescent="0.25">
      <c r="A35" s="43" t="s">
        <v>49</v>
      </c>
      <c r="B35" s="526" t="s">
        <v>50</v>
      </c>
      <c r="C35" s="539"/>
      <c r="D35" s="535"/>
      <c r="E35" s="536"/>
    </row>
    <row r="36" spans="1:6" x14ac:dyDescent="0.25">
      <c r="A36" s="43" t="s">
        <v>51</v>
      </c>
      <c r="B36" s="526" t="s">
        <v>52</v>
      </c>
      <c r="C36" s="534"/>
      <c r="D36" s="535">
        <f>'REPACTUAÇÃO SIEMACO 2013'!J33</f>
        <v>21.36</v>
      </c>
    </row>
    <row r="37" spans="1:6" x14ac:dyDescent="0.25">
      <c r="A37" s="43" t="s">
        <v>53</v>
      </c>
      <c r="B37" s="526" t="s">
        <v>54</v>
      </c>
      <c r="C37" s="534"/>
      <c r="D37" s="535">
        <f>ROUND(SUM(D32:D35)/23*7,2)</f>
        <v>0</v>
      </c>
    </row>
    <row r="38" spans="1:6" x14ac:dyDescent="0.25">
      <c r="A38" s="540" t="s">
        <v>632</v>
      </c>
      <c r="B38" s="541" t="s">
        <v>633</v>
      </c>
      <c r="C38" s="534"/>
      <c r="D38" s="535">
        <f>D29*3.63%</f>
        <v>37.109489999999994</v>
      </c>
    </row>
    <row r="39" spans="1:6" x14ac:dyDescent="0.25">
      <c r="A39" s="771" t="s">
        <v>55</v>
      </c>
      <c r="B39" s="772"/>
      <c r="C39" s="534"/>
      <c r="D39" s="542">
        <f>ROUND(SUM(D29:D38),2)</f>
        <v>1080.77</v>
      </c>
    </row>
    <row r="41" spans="1:6" ht="12.75" x14ac:dyDescent="0.2">
      <c r="A41" s="773" t="s">
        <v>56</v>
      </c>
      <c r="B41" s="774"/>
      <c r="C41" s="774"/>
      <c r="D41" s="775"/>
    </row>
    <row r="42" spans="1:6" ht="12.75" x14ac:dyDescent="0.2">
      <c r="A42" s="530">
        <v>2</v>
      </c>
      <c r="B42" s="546" t="s">
        <v>57</v>
      </c>
      <c r="C42" s="532" t="s">
        <v>58</v>
      </c>
      <c r="D42" s="533" t="s">
        <v>40</v>
      </c>
    </row>
    <row r="43" spans="1:6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83.86</v>
      </c>
      <c r="E43" s="548"/>
    </row>
    <row r="44" spans="1:6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6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6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</row>
    <row r="47" spans="1:6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</row>
    <row r="48" spans="1:6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</row>
    <row r="49" spans="1:5" ht="13.5" customHeight="1" x14ac:dyDescent="0.25">
      <c r="A49" s="771" t="s">
        <v>65</v>
      </c>
      <c r="B49" s="772"/>
      <c r="C49" s="551"/>
      <c r="D49" s="542">
        <f>ROUND(SUM(D43:D48),2)</f>
        <v>381.86</v>
      </c>
    </row>
    <row r="50" spans="1:5" ht="13.5" customHeight="1" x14ac:dyDescent="0.25">
      <c r="A50" s="552"/>
    </row>
    <row r="51" spans="1:5" ht="13.5" customHeight="1" x14ac:dyDescent="0.2">
      <c r="A51" s="773" t="s">
        <v>66</v>
      </c>
      <c r="B51" s="774"/>
      <c r="C51" s="774"/>
      <c r="D51" s="775"/>
    </row>
    <row r="52" spans="1:5" ht="13.5" customHeight="1" x14ac:dyDescent="0.2">
      <c r="A52" s="530">
        <v>3</v>
      </c>
      <c r="B52" s="546" t="s">
        <v>67</v>
      </c>
      <c r="C52" s="532" t="s">
        <v>68</v>
      </c>
      <c r="D52" s="533" t="s">
        <v>40</v>
      </c>
    </row>
    <row r="53" spans="1:5" x14ac:dyDescent="0.25">
      <c r="A53" s="43" t="s">
        <v>13</v>
      </c>
      <c r="B53" s="526" t="s">
        <v>69</v>
      </c>
      <c r="C53" s="561">
        <f>'Uniforme 1'!D23</f>
        <v>51.875</v>
      </c>
      <c r="D53" s="535">
        <f>ROUND(C53*$C$29,2)</f>
        <v>51.88</v>
      </c>
    </row>
    <row r="54" spans="1:5" x14ac:dyDescent="0.25">
      <c r="A54" s="43" t="s">
        <v>15</v>
      </c>
      <c r="B54" s="541" t="s">
        <v>70</v>
      </c>
      <c r="C54" s="562">
        <v>0</v>
      </c>
      <c r="D54" s="535">
        <f>ROUND(C54*$C$29,2)</f>
        <v>0</v>
      </c>
      <c r="E54" s="550"/>
    </row>
    <row r="55" spans="1:5" x14ac:dyDescent="0.25">
      <c r="A55" s="43" t="s">
        <v>18</v>
      </c>
      <c r="B55" s="526" t="s">
        <v>71</v>
      </c>
      <c r="C55" s="562">
        <v>0</v>
      </c>
      <c r="D55" s="535">
        <f>ROUND(C55*$C$29,2)</f>
        <v>0</v>
      </c>
    </row>
    <row r="56" spans="1:5" x14ac:dyDescent="0.25">
      <c r="A56" s="43" t="s">
        <v>20</v>
      </c>
      <c r="B56" s="541" t="s">
        <v>72</v>
      </c>
      <c r="C56" s="535">
        <v>0</v>
      </c>
      <c r="D56" s="535">
        <f>C56</f>
        <v>0</v>
      </c>
      <c r="E56" s="550"/>
    </row>
    <row r="57" spans="1:5" x14ac:dyDescent="0.25">
      <c r="A57" s="771" t="s">
        <v>73</v>
      </c>
      <c r="B57" s="772"/>
      <c r="C57" s="551"/>
      <c r="D57" s="542">
        <f>ROUND(SUM(D53:D56),2)</f>
        <v>51.88</v>
      </c>
      <c r="E57" s="550"/>
    </row>
    <row r="59" spans="1:5" ht="12.75" x14ac:dyDescent="0.2">
      <c r="A59" s="773" t="s">
        <v>74</v>
      </c>
      <c r="B59" s="774"/>
      <c r="C59" s="774"/>
      <c r="D59" s="775"/>
    </row>
    <row r="60" spans="1:5" ht="12.75" x14ac:dyDescent="0.2">
      <c r="A60" s="768" t="s">
        <v>75</v>
      </c>
      <c r="B60" s="768"/>
      <c r="C60" s="532" t="s">
        <v>68</v>
      </c>
      <c r="D60" s="533" t="s">
        <v>40</v>
      </c>
    </row>
    <row r="61" spans="1:5" x14ac:dyDescent="0.25">
      <c r="A61" s="540" t="s">
        <v>13</v>
      </c>
      <c r="B61" s="541" t="s">
        <v>76</v>
      </c>
      <c r="C61" s="551">
        <v>0.2</v>
      </c>
      <c r="D61" s="535">
        <f>ROUND($D$39*C61,2)</f>
        <v>216.15</v>
      </c>
    </row>
    <row r="62" spans="1:5" x14ac:dyDescent="0.25">
      <c r="A62" s="540" t="s">
        <v>15</v>
      </c>
      <c r="B62" s="541" t="s">
        <v>77</v>
      </c>
      <c r="C62" s="551">
        <v>1.4999999999999999E-2</v>
      </c>
      <c r="D62" s="535">
        <f>ROUND($D$39*C62,2)</f>
        <v>16.21</v>
      </c>
    </row>
    <row r="63" spans="1:5" x14ac:dyDescent="0.25">
      <c r="A63" s="540" t="s">
        <v>18</v>
      </c>
      <c r="B63" s="541" t="s">
        <v>78</v>
      </c>
      <c r="C63" s="551">
        <v>0.01</v>
      </c>
      <c r="D63" s="535">
        <f t="shared" ref="D63:D68" si="0">ROUND($D$39*C63,2)</f>
        <v>10.81</v>
      </c>
    </row>
    <row r="64" spans="1:5" x14ac:dyDescent="0.25">
      <c r="A64" s="540" t="s">
        <v>20</v>
      </c>
      <c r="B64" s="541" t="s">
        <v>79</v>
      </c>
      <c r="C64" s="551">
        <v>2E-3</v>
      </c>
      <c r="D64" s="535">
        <f t="shared" si="0"/>
        <v>2.16</v>
      </c>
    </row>
    <row r="65" spans="1:6" x14ac:dyDescent="0.25">
      <c r="A65" s="540" t="s">
        <v>45</v>
      </c>
      <c r="B65" s="541" t="s">
        <v>80</v>
      </c>
      <c r="C65" s="551">
        <v>2.5000000000000001E-2</v>
      </c>
      <c r="D65" s="535">
        <f t="shared" si="0"/>
        <v>27.02</v>
      </c>
    </row>
    <row r="66" spans="1:6" x14ac:dyDescent="0.25">
      <c r="A66" s="540" t="s">
        <v>47</v>
      </c>
      <c r="B66" s="541" t="s">
        <v>81</v>
      </c>
      <c r="C66" s="551">
        <v>0.08</v>
      </c>
      <c r="D66" s="535">
        <f t="shared" si="0"/>
        <v>86.46</v>
      </c>
    </row>
    <row r="67" spans="1:6" x14ac:dyDescent="0.25">
      <c r="A67" s="540" t="s">
        <v>49</v>
      </c>
      <c r="B67" s="541" t="s">
        <v>82</v>
      </c>
      <c r="C67" s="551">
        <f>2%*F71</f>
        <v>0.03</v>
      </c>
      <c r="D67" s="535">
        <f t="shared" si="0"/>
        <v>32.42</v>
      </c>
    </row>
    <row r="68" spans="1:6" x14ac:dyDescent="0.25">
      <c r="A68" s="540" t="s">
        <v>51</v>
      </c>
      <c r="B68" s="541" t="s">
        <v>83</v>
      </c>
      <c r="C68" s="551">
        <v>6.0000000000000001E-3</v>
      </c>
      <c r="D68" s="535">
        <f t="shared" si="0"/>
        <v>6.48</v>
      </c>
    </row>
    <row r="69" spans="1:6" ht="12.75" x14ac:dyDescent="0.2">
      <c r="A69" s="771" t="s">
        <v>84</v>
      </c>
      <c r="B69" s="777"/>
      <c r="C69" s="563">
        <f>SUM(C61:C68)</f>
        <v>0.3680000000000001</v>
      </c>
      <c r="D69" s="542">
        <f>ROUND(SUM(D61:D68),2)</f>
        <v>397.71</v>
      </c>
    </row>
    <row r="70" spans="1:6" x14ac:dyDescent="0.25">
      <c r="A70" s="527"/>
      <c r="B70" s="527"/>
    </row>
    <row r="71" spans="1:6" ht="12.75" x14ac:dyDescent="0.2">
      <c r="A71" s="768" t="s">
        <v>85</v>
      </c>
      <c r="B71" s="768"/>
      <c r="C71" s="532" t="s">
        <v>68</v>
      </c>
      <c r="D71" s="533" t="s">
        <v>40</v>
      </c>
      <c r="F71" s="59">
        <v>1.5</v>
      </c>
    </row>
    <row r="72" spans="1:6" x14ac:dyDescent="0.25">
      <c r="A72" s="540" t="s">
        <v>13</v>
      </c>
      <c r="B72" s="541" t="s">
        <v>87</v>
      </c>
      <c r="C72" s="551">
        <v>8.3299999999999999E-2</v>
      </c>
      <c r="D72" s="535">
        <f>ROUND($D$39*C72,2)</f>
        <v>90.03</v>
      </c>
    </row>
    <row r="73" spans="1:6" x14ac:dyDescent="0.25">
      <c r="A73" s="540" t="s">
        <v>15</v>
      </c>
      <c r="B73" s="541" t="s">
        <v>88</v>
      </c>
      <c r="C73" s="551">
        <f>C88/3</f>
        <v>2.7766666666666665E-2</v>
      </c>
      <c r="D73" s="535">
        <f>ROUND($D$39*C73,2)</f>
        <v>30.01</v>
      </c>
    </row>
    <row r="74" spans="1:6" ht="12.75" x14ac:dyDescent="0.2">
      <c r="A74" s="760" t="s">
        <v>89</v>
      </c>
      <c r="B74" s="760"/>
      <c r="C74" s="563">
        <f>SUM(C72:C73)</f>
        <v>0.11106666666666666</v>
      </c>
      <c r="D74" s="542">
        <f>ROUND(SUM(D72:D73),2)</f>
        <v>120.04</v>
      </c>
    </row>
    <row r="75" spans="1:6" x14ac:dyDescent="0.25">
      <c r="A75" s="540" t="s">
        <v>18</v>
      </c>
      <c r="B75" s="541" t="s">
        <v>90</v>
      </c>
      <c r="C75" s="551">
        <f>C69*C74</f>
        <v>4.0872533333333343E-2</v>
      </c>
      <c r="D75" s="535">
        <f>ROUND($D$39*C75,2)</f>
        <v>44.17</v>
      </c>
    </row>
    <row r="76" spans="1:6" ht="12.75" x14ac:dyDescent="0.2">
      <c r="A76" s="760" t="s">
        <v>91</v>
      </c>
      <c r="B76" s="760"/>
      <c r="C76" s="563">
        <f>C75+C74</f>
        <v>0.1519392</v>
      </c>
      <c r="D76" s="542">
        <f>ROUND(D75+D74,2)</f>
        <v>164.21</v>
      </c>
    </row>
    <row r="77" spans="1:6" x14ac:dyDescent="0.25">
      <c r="A77" s="527"/>
      <c r="B77" s="527"/>
      <c r="E77" s="564"/>
    </row>
    <row r="78" spans="1:6" ht="12.75" x14ac:dyDescent="0.2">
      <c r="A78" s="765" t="s">
        <v>92</v>
      </c>
      <c r="B78" s="767"/>
      <c r="C78" s="532" t="s">
        <v>68</v>
      </c>
      <c r="D78" s="533" t="s">
        <v>40</v>
      </c>
    </row>
    <row r="79" spans="1:6" x14ac:dyDescent="0.25">
      <c r="A79" s="540" t="s">
        <v>13</v>
      </c>
      <c r="B79" s="541" t="s">
        <v>93</v>
      </c>
      <c r="C79" s="551">
        <v>1E-3</v>
      </c>
      <c r="D79" s="535">
        <f t="shared" ref="D79:D84" si="1">ROUND($D$39*C79,2)</f>
        <v>1.08</v>
      </c>
    </row>
    <row r="80" spans="1:6" x14ac:dyDescent="0.25">
      <c r="A80" s="540" t="s">
        <v>15</v>
      </c>
      <c r="B80" s="541" t="s">
        <v>94</v>
      </c>
      <c r="C80" s="551">
        <f>C66*C79</f>
        <v>8.0000000000000007E-5</v>
      </c>
      <c r="D80" s="535">
        <f t="shared" si="1"/>
        <v>0.09</v>
      </c>
    </row>
    <row r="81" spans="1:5" x14ac:dyDescent="0.25">
      <c r="A81" s="540" t="s">
        <v>18</v>
      </c>
      <c r="B81" s="541" t="s">
        <v>95</v>
      </c>
      <c r="C81" s="551">
        <f>C66*10%</f>
        <v>8.0000000000000002E-3</v>
      </c>
      <c r="D81" s="535">
        <f t="shared" si="1"/>
        <v>8.65</v>
      </c>
    </row>
    <row r="82" spans="1:5" x14ac:dyDescent="0.25">
      <c r="A82" s="43" t="s">
        <v>20</v>
      </c>
      <c r="B82" s="526" t="s">
        <v>96</v>
      </c>
      <c r="C82" s="551">
        <v>1.9400000000000001E-2</v>
      </c>
      <c r="D82" s="535">
        <f t="shared" si="1"/>
        <v>20.97</v>
      </c>
    </row>
    <row r="83" spans="1:5" x14ac:dyDescent="0.25">
      <c r="A83" s="43" t="s">
        <v>45</v>
      </c>
      <c r="B83" s="526" t="s">
        <v>97</v>
      </c>
      <c r="C83" s="551">
        <f>C69*C82</f>
        <v>7.1392000000000027E-3</v>
      </c>
      <c r="D83" s="535">
        <f t="shared" si="1"/>
        <v>7.72</v>
      </c>
    </row>
    <row r="84" spans="1:5" x14ac:dyDescent="0.25">
      <c r="A84" s="43" t="s">
        <v>47</v>
      </c>
      <c r="B84" s="526" t="s">
        <v>98</v>
      </c>
      <c r="C84" s="551">
        <v>4.4200000000000003E-2</v>
      </c>
      <c r="D84" s="535">
        <f t="shared" si="1"/>
        <v>47.77</v>
      </c>
    </row>
    <row r="85" spans="1:5" ht="12.75" x14ac:dyDescent="0.2">
      <c r="A85" s="760" t="s">
        <v>91</v>
      </c>
      <c r="B85" s="760"/>
      <c r="C85" s="563">
        <f>SUM(C79:C84)</f>
        <v>7.9819200000000007E-2</v>
      </c>
      <c r="D85" s="542">
        <f>ROUND(SUM(D79:D84),2)</f>
        <v>86.28</v>
      </c>
    </row>
    <row r="86" spans="1:5" x14ac:dyDescent="0.25">
      <c r="E86" s="564"/>
    </row>
    <row r="87" spans="1:5" ht="12.75" x14ac:dyDescent="0.2">
      <c r="A87" s="765" t="s">
        <v>99</v>
      </c>
      <c r="B87" s="767"/>
      <c r="C87" s="532" t="s">
        <v>68</v>
      </c>
      <c r="D87" s="533" t="s">
        <v>40</v>
      </c>
      <c r="E87" s="564"/>
    </row>
    <row r="88" spans="1:5" x14ac:dyDescent="0.25">
      <c r="A88" s="43" t="s">
        <v>13</v>
      </c>
      <c r="B88" s="526" t="s">
        <v>100</v>
      </c>
      <c r="C88" s="551">
        <v>8.3299999999999999E-2</v>
      </c>
      <c r="D88" s="535">
        <f t="shared" ref="D88:D95" si="2">ROUND($D$39*C88,2)</f>
        <v>90.03</v>
      </c>
      <c r="E88" s="564"/>
    </row>
    <row r="89" spans="1:5" x14ac:dyDescent="0.25">
      <c r="A89" s="43" t="s">
        <v>15</v>
      </c>
      <c r="B89" s="526" t="s">
        <v>101</v>
      </c>
      <c r="C89" s="551">
        <v>2.3999999999999998E-3</v>
      </c>
      <c r="D89" s="535">
        <f t="shared" si="2"/>
        <v>2.59</v>
      </c>
    </row>
    <row r="90" spans="1:5" x14ac:dyDescent="0.25">
      <c r="A90" s="43" t="s">
        <v>18</v>
      </c>
      <c r="B90" s="541" t="s">
        <v>102</v>
      </c>
      <c r="C90" s="551">
        <v>2.0000000000000001E-4</v>
      </c>
      <c r="D90" s="535">
        <f t="shared" si="2"/>
        <v>0.22</v>
      </c>
    </row>
    <row r="91" spans="1:5" x14ac:dyDescent="0.25">
      <c r="A91" s="43" t="s">
        <v>20</v>
      </c>
      <c r="B91" s="526" t="s">
        <v>103</v>
      </c>
      <c r="C91" s="551">
        <v>1.4E-3</v>
      </c>
      <c r="D91" s="535">
        <f t="shared" si="2"/>
        <v>1.51</v>
      </c>
    </row>
    <row r="92" spans="1:5" x14ac:dyDescent="0.25">
      <c r="A92" s="43" t="s">
        <v>45</v>
      </c>
      <c r="B92" s="526" t="s">
        <v>104</v>
      </c>
      <c r="C92" s="551">
        <v>4.0000000000000002E-4</v>
      </c>
      <c r="D92" s="535">
        <f t="shared" si="2"/>
        <v>0.43</v>
      </c>
    </row>
    <row r="93" spans="1:5" x14ac:dyDescent="0.25">
      <c r="A93" s="43" t="s">
        <v>47</v>
      </c>
      <c r="B93" s="541" t="s">
        <v>105</v>
      </c>
      <c r="C93" s="551">
        <v>2.0000000000000001E-4</v>
      </c>
      <c r="D93" s="535">
        <f t="shared" si="2"/>
        <v>0.22</v>
      </c>
    </row>
    <row r="94" spans="1:5" ht="12.75" x14ac:dyDescent="0.2">
      <c r="A94" s="760" t="s">
        <v>89</v>
      </c>
      <c r="B94" s="760"/>
      <c r="C94" s="563">
        <f>SUM(C88:C93)</f>
        <v>8.7900000000000006E-2</v>
      </c>
      <c r="D94" s="542">
        <f t="shared" si="2"/>
        <v>95</v>
      </c>
    </row>
    <row r="95" spans="1:5" x14ac:dyDescent="0.25">
      <c r="A95" s="43" t="s">
        <v>49</v>
      </c>
      <c r="B95" s="526" t="s">
        <v>106</v>
      </c>
      <c r="C95" s="551">
        <f>C69*C94</f>
        <v>3.2347200000000013E-2</v>
      </c>
      <c r="D95" s="535">
        <f t="shared" si="2"/>
        <v>34.96</v>
      </c>
    </row>
    <row r="96" spans="1:5" ht="12.75" x14ac:dyDescent="0.2">
      <c r="A96" s="760" t="s">
        <v>91</v>
      </c>
      <c r="B96" s="760"/>
      <c r="C96" s="563">
        <f>C95+C94</f>
        <v>0.12024720000000003</v>
      </c>
      <c r="D96" s="542">
        <f>ROUND(D95+D94,2)</f>
        <v>129.96</v>
      </c>
    </row>
    <row r="98" spans="1:5" ht="12.75" x14ac:dyDescent="0.2">
      <c r="A98" s="759" t="s">
        <v>107</v>
      </c>
      <c r="B98" s="759"/>
      <c r="C98" s="759"/>
      <c r="D98" s="759"/>
    </row>
    <row r="99" spans="1:5" ht="12.75" x14ac:dyDescent="0.2">
      <c r="A99" s="530">
        <v>4</v>
      </c>
      <c r="B99" s="768" t="s">
        <v>108</v>
      </c>
      <c r="C99" s="768"/>
      <c r="D99" s="533" t="s">
        <v>40</v>
      </c>
    </row>
    <row r="100" spans="1:5" x14ac:dyDescent="0.25">
      <c r="A100" s="43" t="s">
        <v>109</v>
      </c>
      <c r="B100" s="565" t="s">
        <v>110</v>
      </c>
      <c r="C100" s="566">
        <f>C76</f>
        <v>0.1519392</v>
      </c>
      <c r="D100" s="535">
        <f>ROUND($D$39*C100,2)</f>
        <v>164.21</v>
      </c>
      <c r="E100" s="564"/>
    </row>
    <row r="101" spans="1:5" x14ac:dyDescent="0.25">
      <c r="A101" s="43" t="s">
        <v>111</v>
      </c>
      <c r="B101" s="565" t="s">
        <v>112</v>
      </c>
      <c r="C101" s="566">
        <f>C69</f>
        <v>0.3680000000000001</v>
      </c>
      <c r="D101" s="535">
        <f>ROUND($D$39*C101,2)</f>
        <v>397.72</v>
      </c>
    </row>
    <row r="102" spans="1:5" x14ac:dyDescent="0.25">
      <c r="A102" s="540" t="s">
        <v>113</v>
      </c>
      <c r="B102" s="565" t="s">
        <v>114</v>
      </c>
      <c r="C102" s="566">
        <f>C85</f>
        <v>7.9819200000000007E-2</v>
      </c>
      <c r="D102" s="535">
        <f>ROUND($D$39*C102,2)</f>
        <v>86.27</v>
      </c>
    </row>
    <row r="103" spans="1:5" x14ac:dyDescent="0.25">
      <c r="A103" s="540" t="s">
        <v>115</v>
      </c>
      <c r="B103" s="565" t="s">
        <v>116</v>
      </c>
      <c r="C103" s="566">
        <f>C96</f>
        <v>0.12024720000000003</v>
      </c>
      <c r="D103" s="535">
        <f>ROUND($D$39*C103,2)</f>
        <v>129.96</v>
      </c>
    </row>
    <row r="104" spans="1:5" x14ac:dyDescent="0.25">
      <c r="A104" s="540" t="s">
        <v>117</v>
      </c>
      <c r="B104" s="565" t="s">
        <v>118</v>
      </c>
      <c r="C104" s="567"/>
      <c r="D104" s="535"/>
    </row>
    <row r="105" spans="1:5" ht="12.75" x14ac:dyDescent="0.2">
      <c r="A105" s="43"/>
      <c r="B105" s="568" t="s">
        <v>91</v>
      </c>
      <c r="C105" s="569">
        <f>SUM(C100:C104)</f>
        <v>0.72000560000000002</v>
      </c>
      <c r="D105" s="542">
        <f>ROUND($D$39*C105,2)</f>
        <v>778.16</v>
      </c>
    </row>
    <row r="106" spans="1:5" x14ac:dyDescent="0.25">
      <c r="D106" s="570">
        <f>ROUND(D105+D57+D49+D39,2)</f>
        <v>2292.67</v>
      </c>
    </row>
    <row r="107" spans="1:5" ht="12.75" x14ac:dyDescent="0.2">
      <c r="A107" s="530">
        <v>5</v>
      </c>
      <c r="B107" s="546" t="s">
        <v>119</v>
      </c>
      <c r="C107" s="532" t="s">
        <v>68</v>
      </c>
      <c r="D107" s="533" t="s">
        <v>40</v>
      </c>
      <c r="E107" s="564"/>
    </row>
    <row r="108" spans="1:5" x14ac:dyDescent="0.25">
      <c r="A108" s="43" t="s">
        <v>13</v>
      </c>
      <c r="B108" s="526" t="s">
        <v>120</v>
      </c>
      <c r="C108" s="551">
        <v>0.01</v>
      </c>
      <c r="D108" s="535">
        <f>ROUND($D$106*C108,2)</f>
        <v>22.93</v>
      </c>
    </row>
    <row r="109" spans="1:5" x14ac:dyDescent="0.25">
      <c r="A109" s="43" t="s">
        <v>15</v>
      </c>
      <c r="B109" s="526" t="s">
        <v>121</v>
      </c>
      <c r="C109" s="551"/>
      <c r="D109" s="535"/>
      <c r="E109" s="550"/>
    </row>
    <row r="110" spans="1:5" x14ac:dyDescent="0.25">
      <c r="A110" s="43" t="s">
        <v>122</v>
      </c>
      <c r="B110" s="526" t="s">
        <v>123</v>
      </c>
      <c r="C110" s="551">
        <v>0</v>
      </c>
      <c r="D110" s="535">
        <v>0</v>
      </c>
    </row>
    <row r="111" spans="1:5" x14ac:dyDescent="0.25">
      <c r="A111" s="43" t="s">
        <v>124</v>
      </c>
      <c r="B111" s="526" t="s">
        <v>125</v>
      </c>
      <c r="C111" s="551">
        <v>0</v>
      </c>
      <c r="D111" s="535">
        <v>0</v>
      </c>
    </row>
    <row r="112" spans="1:5" x14ac:dyDescent="0.25">
      <c r="A112" s="43" t="s">
        <v>126</v>
      </c>
      <c r="B112" s="526" t="s">
        <v>127</v>
      </c>
      <c r="C112" s="551">
        <v>1.6500000000000001E-2</v>
      </c>
      <c r="D112" s="535">
        <f>ROUND($F$115*C112,2)</f>
        <v>43.27</v>
      </c>
    </row>
    <row r="113" spans="1:9" x14ac:dyDescent="0.25">
      <c r="A113" s="43" t="s">
        <v>128</v>
      </c>
      <c r="B113" s="526" t="s">
        <v>129</v>
      </c>
      <c r="C113" s="551">
        <v>7.5999999999999998E-2</v>
      </c>
      <c r="D113" s="535">
        <f>ROUND($F$115*C113,2)</f>
        <v>199.28</v>
      </c>
      <c r="F113" s="61">
        <f>SUM(C110:C114)</f>
        <v>0.1125</v>
      </c>
    </row>
    <row r="114" spans="1:9" x14ac:dyDescent="0.25">
      <c r="A114" s="43" t="s">
        <v>130</v>
      </c>
      <c r="B114" s="526" t="s">
        <v>131</v>
      </c>
      <c r="C114" s="571">
        <v>0.02</v>
      </c>
      <c r="D114" s="535">
        <f>ROUND($F$115*C114,2)</f>
        <v>52.44</v>
      </c>
      <c r="F114" s="62">
        <f>ROUND(D115+D108+D106,2)</f>
        <v>2327.1799999999998</v>
      </c>
    </row>
    <row r="115" spans="1:9" x14ac:dyDescent="0.25">
      <c r="A115" s="43" t="s">
        <v>18</v>
      </c>
      <c r="B115" s="526" t="s">
        <v>132</v>
      </c>
      <c r="C115" s="551">
        <v>5.0000000000000001E-3</v>
      </c>
      <c r="D115" s="535">
        <f>ROUND(($D$106+D108)*C115,2)</f>
        <v>11.58</v>
      </c>
      <c r="F115" s="63">
        <f>ROUND(F114/(1-F113),2)</f>
        <v>2622.17</v>
      </c>
    </row>
    <row r="116" spans="1:9" ht="12.75" x14ac:dyDescent="0.2">
      <c r="A116" s="771" t="s">
        <v>91</v>
      </c>
      <c r="B116" s="776"/>
      <c r="C116" s="772"/>
      <c r="D116" s="542">
        <f>ROUND(SUM(D108:D115),2)</f>
        <v>329.5</v>
      </c>
    </row>
    <row r="117" spans="1:9" x14ac:dyDescent="0.25">
      <c r="D117" s="570"/>
    </row>
    <row r="118" spans="1:9" ht="12.75" x14ac:dyDescent="0.2">
      <c r="A118" s="759" t="s">
        <v>133</v>
      </c>
      <c r="B118" s="759"/>
      <c r="C118" s="759"/>
      <c r="D118" s="759"/>
    </row>
    <row r="119" spans="1:9" ht="12.75" x14ac:dyDescent="0.2">
      <c r="A119" s="760" t="s">
        <v>134</v>
      </c>
      <c r="B119" s="760"/>
      <c r="C119" s="760"/>
      <c r="D119" s="760"/>
    </row>
    <row r="120" spans="1:9" x14ac:dyDescent="0.25">
      <c r="A120" s="43" t="s">
        <v>13</v>
      </c>
      <c r="B120" s="762" t="s">
        <v>135</v>
      </c>
      <c r="C120" s="762"/>
      <c r="D120" s="535">
        <f>D39</f>
        <v>1080.77</v>
      </c>
    </row>
    <row r="121" spans="1:9" x14ac:dyDescent="0.25">
      <c r="A121" s="43" t="s">
        <v>15</v>
      </c>
      <c r="B121" s="762" t="s">
        <v>136</v>
      </c>
      <c r="C121" s="762"/>
      <c r="D121" s="535">
        <f>D49</f>
        <v>381.86</v>
      </c>
    </row>
    <row r="122" spans="1:9" x14ac:dyDescent="0.25">
      <c r="A122" s="43" t="s">
        <v>18</v>
      </c>
      <c r="B122" s="762" t="s">
        <v>137</v>
      </c>
      <c r="C122" s="762"/>
      <c r="D122" s="535">
        <f>D57</f>
        <v>51.88</v>
      </c>
    </row>
    <row r="123" spans="1:9" x14ac:dyDescent="0.25">
      <c r="A123" s="43" t="s">
        <v>20</v>
      </c>
      <c r="B123" s="762" t="s">
        <v>138</v>
      </c>
      <c r="C123" s="762"/>
      <c r="D123" s="535">
        <f>D105</f>
        <v>778.16</v>
      </c>
    </row>
    <row r="124" spans="1:9" ht="12.75" x14ac:dyDescent="0.2">
      <c r="A124" s="760" t="s">
        <v>89</v>
      </c>
      <c r="B124" s="760"/>
      <c r="C124" s="760"/>
      <c r="D124" s="542">
        <f>ROUND(SUM(D120:D123),2)</f>
        <v>2292.67</v>
      </c>
    </row>
    <row r="125" spans="1:9" ht="18.75" x14ac:dyDescent="0.3">
      <c r="A125" s="43" t="s">
        <v>45</v>
      </c>
      <c r="B125" s="778" t="s">
        <v>139</v>
      </c>
      <c r="C125" s="778"/>
      <c r="D125" s="535">
        <f>D116</f>
        <v>329.5</v>
      </c>
      <c r="F125" s="64"/>
      <c r="G125" s="1"/>
      <c r="H125" s="1"/>
    </row>
    <row r="126" spans="1:9" ht="18.75" x14ac:dyDescent="0.3">
      <c r="A126" s="760" t="s">
        <v>140</v>
      </c>
      <c r="B126" s="760"/>
      <c r="C126" s="760"/>
      <c r="D126" s="542">
        <f>ROUND(D125+D124,2)</f>
        <v>2622.17</v>
      </c>
      <c r="F126" s="64"/>
    </row>
    <row r="127" spans="1:9" ht="18.75" x14ac:dyDescent="0.3">
      <c r="F127" s="64"/>
    </row>
    <row r="128" spans="1:9" ht="18.75" x14ac:dyDescent="0.3">
      <c r="A128" s="760" t="s">
        <v>141</v>
      </c>
      <c r="B128" s="760"/>
      <c r="C128" s="760"/>
      <c r="D128" s="760"/>
      <c r="F128" s="64"/>
      <c r="I128" s="1"/>
    </row>
    <row r="129" spans="1:9" ht="18.75" x14ac:dyDescent="0.3">
      <c r="A129" s="762" t="s">
        <v>142</v>
      </c>
      <c r="B129" s="762"/>
      <c r="C129" s="762"/>
      <c r="D129" s="535"/>
      <c r="F129" s="64"/>
      <c r="I129" s="1"/>
    </row>
    <row r="130" spans="1:9" ht="18.75" x14ac:dyDescent="0.3">
      <c r="A130" s="762" t="s">
        <v>143</v>
      </c>
      <c r="B130" s="762"/>
      <c r="C130" s="762"/>
      <c r="D130" s="535">
        <f>D126</f>
        <v>2622.17</v>
      </c>
      <c r="E130" s="572"/>
      <c r="F130" s="64"/>
      <c r="I130" s="1"/>
    </row>
    <row r="131" spans="1:9" ht="18.75" x14ac:dyDescent="0.3">
      <c r="A131" s="762" t="s">
        <v>144</v>
      </c>
      <c r="B131" s="762"/>
      <c r="C131" s="762"/>
      <c r="D131" s="535">
        <v>1</v>
      </c>
      <c r="E131" s="572"/>
      <c r="F131" s="64"/>
      <c r="I131" s="1"/>
    </row>
    <row r="132" spans="1:9" ht="18.75" x14ac:dyDescent="0.3">
      <c r="A132" s="762" t="s">
        <v>145</v>
      </c>
      <c r="B132" s="762"/>
      <c r="C132" s="762"/>
      <c r="D132" s="535">
        <f>ROUND(D131*D130,2)</f>
        <v>2622.17</v>
      </c>
      <c r="E132" s="572"/>
      <c r="F132" s="64"/>
      <c r="I132" s="1"/>
    </row>
    <row r="133" spans="1:9" ht="18.75" x14ac:dyDescent="0.3">
      <c r="A133" s="762" t="s">
        <v>146</v>
      </c>
      <c r="B133" s="762"/>
      <c r="C133" s="762"/>
      <c r="D133" s="535">
        <v>1</v>
      </c>
      <c r="E133" s="572"/>
      <c r="F133" s="64"/>
      <c r="I133" s="1"/>
    </row>
    <row r="134" spans="1:9" ht="18.75" x14ac:dyDescent="0.3">
      <c r="A134" s="768" t="s">
        <v>147</v>
      </c>
      <c r="B134" s="768"/>
      <c r="C134" s="768"/>
      <c r="D134" s="542">
        <f>ROUND(D133*D132,2)</f>
        <v>2622.17</v>
      </c>
      <c r="E134" s="572"/>
      <c r="F134" s="64"/>
    </row>
    <row r="135" spans="1:9" ht="18.75" x14ac:dyDescent="0.3">
      <c r="E135" s="572"/>
      <c r="F135" s="64"/>
    </row>
    <row r="136" spans="1:9" ht="18.75" x14ac:dyDescent="0.3">
      <c r="A136" s="760" t="s">
        <v>148</v>
      </c>
      <c r="B136" s="760"/>
      <c r="C136" s="760"/>
      <c r="D136" s="760"/>
      <c r="F136" s="64"/>
    </row>
    <row r="137" spans="1:9" x14ac:dyDescent="0.25">
      <c r="A137" s="43" t="s">
        <v>13</v>
      </c>
      <c r="B137" s="762" t="s">
        <v>149</v>
      </c>
      <c r="C137" s="762"/>
      <c r="D137" s="535">
        <f>D130</f>
        <v>2622.17</v>
      </c>
    </row>
    <row r="138" spans="1:9" x14ac:dyDescent="0.25">
      <c r="A138" s="43" t="s">
        <v>15</v>
      </c>
      <c r="B138" s="762" t="s">
        <v>150</v>
      </c>
      <c r="C138" s="762"/>
      <c r="D138" s="535">
        <f>D134</f>
        <v>2622.17</v>
      </c>
    </row>
    <row r="139" spans="1:9" ht="12.75" x14ac:dyDescent="0.2">
      <c r="A139" s="530" t="s">
        <v>18</v>
      </c>
      <c r="B139" s="768" t="s">
        <v>151</v>
      </c>
      <c r="C139" s="768"/>
      <c r="D139" s="542">
        <f>ROUND(D138*12,2)</f>
        <v>31466.04</v>
      </c>
      <c r="F139" s="9"/>
    </row>
    <row r="140" spans="1:9" x14ac:dyDescent="0.25">
      <c r="A140" s="552"/>
      <c r="F140" s="9"/>
    </row>
    <row r="141" spans="1:9" x14ac:dyDescent="0.25">
      <c r="A141" s="552"/>
    </row>
    <row r="142" spans="1:9" x14ac:dyDescent="0.25">
      <c r="A142" s="779" t="s">
        <v>484</v>
      </c>
      <c r="B142" s="780"/>
    </row>
    <row r="143" spans="1:9" x14ac:dyDescent="0.25">
      <c r="A143" s="552"/>
      <c r="F143" s="9"/>
    </row>
    <row r="144" spans="1:9" x14ac:dyDescent="0.25">
      <c r="A144" s="552"/>
      <c r="F144" s="9"/>
      <c r="G144" s="50"/>
    </row>
    <row r="145" spans="1:8" x14ac:dyDescent="0.25">
      <c r="A145" s="781" t="s">
        <v>153</v>
      </c>
      <c r="B145" s="781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disablePrompts="1"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8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5" ht="12.75" x14ac:dyDescent="0.2">
      <c r="A1" s="759" t="s">
        <v>9</v>
      </c>
      <c r="B1" s="759"/>
      <c r="C1" s="759"/>
      <c r="D1" s="759"/>
      <c r="E1" s="554"/>
    </row>
    <row r="2" spans="1:5" x14ac:dyDescent="0.25">
      <c r="A2" s="543"/>
      <c r="B2" s="543"/>
      <c r="C2" s="544"/>
      <c r="D2" s="545"/>
      <c r="E2" s="554"/>
    </row>
    <row r="3" spans="1:5" x14ac:dyDescent="0.25">
      <c r="A3" s="543"/>
      <c r="B3" s="543"/>
      <c r="C3" s="544"/>
      <c r="D3" s="545"/>
      <c r="E3" s="554"/>
    </row>
    <row r="4" spans="1:5" x14ac:dyDescent="0.25">
      <c r="A4" s="527" t="s">
        <v>487</v>
      </c>
      <c r="B4" s="543"/>
      <c r="C4" s="544"/>
      <c r="D4" s="545"/>
      <c r="E4" s="554"/>
    </row>
    <row r="5" spans="1:5" x14ac:dyDescent="0.25">
      <c r="A5" s="527" t="s">
        <v>488</v>
      </c>
      <c r="B5" s="543"/>
      <c r="C5" s="544"/>
      <c r="D5" s="545"/>
      <c r="E5" s="554"/>
    </row>
    <row r="6" spans="1:5" x14ac:dyDescent="0.25">
      <c r="A6" s="543"/>
      <c r="B6" s="543"/>
      <c r="C6" s="558" t="s">
        <v>10</v>
      </c>
      <c r="D6" s="559" t="s">
        <v>11</v>
      </c>
      <c r="E6" s="554"/>
    </row>
    <row r="7" spans="1:5" ht="12.75" x14ac:dyDescent="0.2">
      <c r="A7" s="760" t="s">
        <v>12</v>
      </c>
      <c r="B7" s="760"/>
      <c r="C7" s="760"/>
      <c r="D7" s="760"/>
      <c r="E7" s="554"/>
    </row>
    <row r="8" spans="1:5" ht="12.75" x14ac:dyDescent="0.2">
      <c r="A8" s="43" t="s">
        <v>13</v>
      </c>
      <c r="B8" s="526" t="s">
        <v>14</v>
      </c>
      <c r="C8" s="761">
        <v>41094</v>
      </c>
      <c r="D8" s="758"/>
      <c r="E8" s="554"/>
    </row>
    <row r="9" spans="1:5" ht="12.75" x14ac:dyDescent="0.2">
      <c r="A9" s="43" t="s">
        <v>15</v>
      </c>
      <c r="B9" s="526" t="s">
        <v>16</v>
      </c>
      <c r="C9" s="760" t="s">
        <v>17</v>
      </c>
      <c r="D9" s="760"/>
      <c r="E9" s="554"/>
    </row>
    <row r="10" spans="1:5" ht="12.75" x14ac:dyDescent="0.2">
      <c r="A10" s="43" t="s">
        <v>18</v>
      </c>
      <c r="B10" s="526" t="s">
        <v>19</v>
      </c>
      <c r="C10" s="761">
        <v>40909</v>
      </c>
      <c r="D10" s="758"/>
      <c r="E10" s="554"/>
    </row>
    <row r="11" spans="1:5" ht="12.75" x14ac:dyDescent="0.2">
      <c r="A11" s="43" t="s">
        <v>20</v>
      </c>
      <c r="B11" s="526" t="s">
        <v>21</v>
      </c>
      <c r="C11" s="757" t="s">
        <v>0</v>
      </c>
      <c r="D11" s="758"/>
      <c r="E11" s="554"/>
    </row>
    <row r="12" spans="1:5" x14ac:dyDescent="0.25">
      <c r="A12" s="543"/>
      <c r="B12" s="543"/>
      <c r="C12" s="544"/>
      <c r="D12" s="545"/>
      <c r="E12" s="554"/>
    </row>
    <row r="13" spans="1:5" ht="12.75" x14ac:dyDescent="0.2">
      <c r="A13" s="760" t="s">
        <v>22</v>
      </c>
      <c r="B13" s="760"/>
      <c r="C13" s="760"/>
      <c r="D13" s="760"/>
      <c r="E13" s="554"/>
    </row>
    <row r="14" spans="1:5" ht="12.75" x14ac:dyDescent="0.2">
      <c r="A14" s="762" t="s">
        <v>23</v>
      </c>
      <c r="B14" s="762"/>
      <c r="C14" s="757" t="s">
        <v>491</v>
      </c>
      <c r="D14" s="758"/>
      <c r="E14" s="554"/>
    </row>
    <row r="15" spans="1:5" ht="12.75" x14ac:dyDescent="0.2">
      <c r="A15" s="762" t="s">
        <v>24</v>
      </c>
      <c r="B15" s="762"/>
      <c r="C15" s="757" t="s">
        <v>25</v>
      </c>
      <c r="D15" s="758"/>
      <c r="E15" s="554"/>
    </row>
    <row r="16" spans="1:5" ht="12.75" x14ac:dyDescent="0.2">
      <c r="A16" s="762" t="s">
        <v>26</v>
      </c>
      <c r="B16" s="762"/>
      <c r="C16" s="758">
        <v>1</v>
      </c>
      <c r="D16" s="758"/>
      <c r="E16" s="554"/>
    </row>
    <row r="17" spans="1:5" ht="12.75" x14ac:dyDescent="0.2">
      <c r="A17" s="763" t="s">
        <v>27</v>
      </c>
      <c r="B17" s="764"/>
      <c r="C17" s="758" t="s">
        <v>28</v>
      </c>
      <c r="D17" s="758"/>
      <c r="E17" s="554"/>
    </row>
    <row r="18" spans="1:5" x14ac:dyDescent="0.25">
      <c r="A18" s="560"/>
      <c r="B18" s="543"/>
      <c r="C18" s="544"/>
      <c r="D18" s="545"/>
      <c r="E18" s="554"/>
    </row>
    <row r="19" spans="1:5" ht="12.75" x14ac:dyDescent="0.2">
      <c r="A19" s="759" t="s">
        <v>29</v>
      </c>
      <c r="B19" s="759"/>
      <c r="C19" s="759"/>
      <c r="D19" s="759"/>
      <c r="E19" s="554"/>
    </row>
    <row r="20" spans="1:5" ht="12.75" x14ac:dyDescent="0.2">
      <c r="A20" s="759" t="s">
        <v>30</v>
      </c>
      <c r="B20" s="759"/>
      <c r="C20" s="759"/>
      <c r="D20" s="759"/>
      <c r="E20" s="554"/>
    </row>
    <row r="21" spans="1:5" ht="12.75" x14ac:dyDescent="0.2">
      <c r="A21" s="765" t="s">
        <v>31</v>
      </c>
      <c r="B21" s="766"/>
      <c r="C21" s="766"/>
      <c r="D21" s="767"/>
      <c r="E21" s="554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54"/>
    </row>
    <row r="23" spans="1:5" x14ac:dyDescent="0.25">
      <c r="A23" s="43">
        <v>2</v>
      </c>
      <c r="B23" s="526" t="s">
        <v>33</v>
      </c>
      <c r="C23" s="769">
        <v>1004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54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54"/>
    </row>
    <row r="26" spans="1:5" ht="12.75" x14ac:dyDescent="0.2">
      <c r="A26" s="528"/>
      <c r="B26" s="529"/>
      <c r="C26" s="770"/>
      <c r="D26" s="770"/>
      <c r="E26" s="554"/>
    </row>
    <row r="27" spans="1:5" ht="12.75" x14ac:dyDescent="0.2">
      <c r="A27" s="759" t="s">
        <v>37</v>
      </c>
      <c r="B27" s="759"/>
      <c r="C27" s="759"/>
      <c r="D27" s="759"/>
      <c r="E27" s="554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54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2013'!J4</f>
        <v>1022.3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f>'REPACTUAÇÃO SIEMACO 2013'!J33</f>
        <v>21.36</v>
      </c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37.109489999999994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1080.77</v>
      </c>
      <c r="E39" s="554"/>
    </row>
    <row r="40" spans="1:5" x14ac:dyDescent="0.25">
      <c r="A40" s="543"/>
      <c r="B40" s="543"/>
      <c r="C40" s="544"/>
      <c r="D40" s="545"/>
      <c r="E40" s="554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83.86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381.86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91">
        <f>'Uniforme 1'!D23</f>
        <v>51.875</v>
      </c>
      <c r="D53" s="18">
        <f>ROUND(C53*$C$29,2)</f>
        <v>51.88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5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0</v>
      </c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216.15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16.21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10.81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2.16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27.02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86.46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32.42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6.48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397.71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90.03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30.01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120.04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44.17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164.21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1.08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0.09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8.65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20.97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7.72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47.77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86.28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90.03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2.59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0.22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1.51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0.43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0.22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95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34.96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129.96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164.21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397.72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86.27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129.96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778.16</v>
      </c>
    </row>
    <row r="106" spans="1:5" x14ac:dyDescent="0.25">
      <c r="D106" s="42">
        <f>ROUND(D105+D57+D49+D39,2)</f>
        <v>2292.67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22.93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43.76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201.56</v>
      </c>
      <c r="F113" s="61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79.56</v>
      </c>
      <c r="F114" s="62">
        <f>ROUND(D115+D108+D106,2)</f>
        <v>2327.1799999999998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11.58</v>
      </c>
      <c r="F115" s="63">
        <f>ROUND(F114/(1-F113),2)</f>
        <v>2652.06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359.39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1080.77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381.86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778.16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2292.67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359.39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2652.06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2652.06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2652.06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2652.06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2652.06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2652.06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31824.720000000001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09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5" ht="12.75" x14ac:dyDescent="0.2">
      <c r="A1" s="726" t="s">
        <v>9</v>
      </c>
      <c r="B1" s="726"/>
      <c r="C1" s="726"/>
      <c r="D1" s="726"/>
    </row>
    <row r="4" spans="1:5" x14ac:dyDescent="0.25">
      <c r="A4" s="1" t="s">
        <v>487</v>
      </c>
    </row>
    <row r="5" spans="1:5" x14ac:dyDescent="0.25">
      <c r="A5" s="1" t="s">
        <v>488</v>
      </c>
    </row>
    <row r="6" spans="1:5" x14ac:dyDescent="0.25">
      <c r="C6" s="5" t="s">
        <v>10</v>
      </c>
      <c r="D6" s="6" t="s">
        <v>11</v>
      </c>
    </row>
    <row r="7" spans="1:5" ht="12.75" x14ac:dyDescent="0.2">
      <c r="A7" s="727" t="s">
        <v>12</v>
      </c>
      <c r="B7" s="727"/>
      <c r="C7" s="727"/>
      <c r="D7" s="727"/>
    </row>
    <row r="8" spans="1:5" ht="12.75" x14ac:dyDescent="0.2">
      <c r="A8" s="117" t="s">
        <v>13</v>
      </c>
      <c r="B8" s="8" t="s">
        <v>14</v>
      </c>
      <c r="C8" s="728">
        <v>41094</v>
      </c>
      <c r="D8" s="725"/>
    </row>
    <row r="9" spans="1:5" ht="12.75" x14ac:dyDescent="0.2">
      <c r="A9" s="43" t="s">
        <v>15</v>
      </c>
      <c r="B9" s="526" t="s">
        <v>16</v>
      </c>
      <c r="C9" s="760" t="s">
        <v>17</v>
      </c>
      <c r="D9" s="760"/>
      <c r="E9" s="554"/>
    </row>
    <row r="10" spans="1:5" ht="12.75" x14ac:dyDescent="0.2">
      <c r="A10" s="43" t="s">
        <v>18</v>
      </c>
      <c r="B10" s="526" t="s">
        <v>19</v>
      </c>
      <c r="C10" s="761">
        <v>40909</v>
      </c>
      <c r="D10" s="758"/>
      <c r="E10" s="554"/>
    </row>
    <row r="11" spans="1:5" ht="12.75" x14ac:dyDescent="0.2">
      <c r="A11" s="43" t="s">
        <v>20</v>
      </c>
      <c r="B11" s="526" t="s">
        <v>21</v>
      </c>
      <c r="C11" s="757" t="s">
        <v>0</v>
      </c>
      <c r="D11" s="758"/>
      <c r="E11" s="554"/>
    </row>
    <row r="12" spans="1:5" x14ac:dyDescent="0.25">
      <c r="A12" s="543"/>
      <c r="B12" s="543"/>
      <c r="C12" s="544"/>
      <c r="D12" s="545"/>
      <c r="E12" s="554"/>
    </row>
    <row r="13" spans="1:5" ht="12.75" x14ac:dyDescent="0.2">
      <c r="A13" s="760" t="s">
        <v>22</v>
      </c>
      <c r="B13" s="760"/>
      <c r="C13" s="760"/>
      <c r="D13" s="760"/>
      <c r="E13" s="554"/>
    </row>
    <row r="14" spans="1:5" ht="12.75" x14ac:dyDescent="0.2">
      <c r="A14" s="762" t="s">
        <v>23</v>
      </c>
      <c r="B14" s="762"/>
      <c r="C14" s="757" t="s">
        <v>491</v>
      </c>
      <c r="D14" s="758"/>
      <c r="E14" s="554"/>
    </row>
    <row r="15" spans="1:5" ht="12.75" x14ac:dyDescent="0.2">
      <c r="A15" s="762" t="s">
        <v>24</v>
      </c>
      <c r="B15" s="762"/>
      <c r="C15" s="757" t="s">
        <v>25</v>
      </c>
      <c r="D15" s="758"/>
      <c r="E15" s="554"/>
    </row>
    <row r="16" spans="1:5" ht="12.75" x14ac:dyDescent="0.2">
      <c r="A16" s="762" t="s">
        <v>26</v>
      </c>
      <c r="B16" s="762"/>
      <c r="C16" s="758">
        <v>1</v>
      </c>
      <c r="D16" s="758"/>
      <c r="E16" s="554"/>
    </row>
    <row r="17" spans="1:5" ht="12.75" x14ac:dyDescent="0.2">
      <c r="A17" s="763" t="s">
        <v>27</v>
      </c>
      <c r="B17" s="764"/>
      <c r="C17" s="758" t="s">
        <v>28</v>
      </c>
      <c r="D17" s="758"/>
      <c r="E17" s="554"/>
    </row>
    <row r="18" spans="1:5" x14ac:dyDescent="0.25">
      <c r="A18" s="560"/>
      <c r="B18" s="543"/>
      <c r="C18" s="544"/>
      <c r="D18" s="545"/>
      <c r="E18" s="554"/>
    </row>
    <row r="19" spans="1:5" ht="12.75" x14ac:dyDescent="0.2">
      <c r="A19" s="759" t="s">
        <v>29</v>
      </c>
      <c r="B19" s="759"/>
      <c r="C19" s="759"/>
      <c r="D19" s="759"/>
      <c r="E19" s="554"/>
    </row>
    <row r="20" spans="1:5" ht="12.75" x14ac:dyDescent="0.2">
      <c r="A20" s="759" t="s">
        <v>30</v>
      </c>
      <c r="B20" s="759"/>
      <c r="C20" s="759"/>
      <c r="D20" s="759"/>
      <c r="E20" s="554"/>
    </row>
    <row r="21" spans="1:5" ht="12.75" x14ac:dyDescent="0.2">
      <c r="A21" s="765" t="s">
        <v>31</v>
      </c>
      <c r="B21" s="766"/>
      <c r="C21" s="766"/>
      <c r="D21" s="767"/>
      <c r="E21" s="554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54"/>
    </row>
    <row r="23" spans="1:5" x14ac:dyDescent="0.25">
      <c r="A23" s="43">
        <v>2</v>
      </c>
      <c r="B23" s="526" t="s">
        <v>33</v>
      </c>
      <c r="C23" s="769">
        <v>1004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54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54"/>
    </row>
    <row r="26" spans="1:5" ht="12.75" x14ac:dyDescent="0.2">
      <c r="A26" s="528"/>
      <c r="B26" s="529"/>
      <c r="C26" s="770"/>
      <c r="D26" s="770"/>
      <c r="E26" s="554"/>
    </row>
    <row r="27" spans="1:5" ht="12.75" x14ac:dyDescent="0.2">
      <c r="A27" s="759" t="s">
        <v>37</v>
      </c>
      <c r="B27" s="759"/>
      <c r="C27" s="759"/>
      <c r="D27" s="759"/>
      <c r="E27" s="554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54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2013'!J4</f>
        <v>1022.3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>
        <f>'REPACTUAÇÃO SIEMACO 2013'!J33</f>
        <v>21.36</v>
      </c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37.109489999999994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1080.77</v>
      </c>
      <c r="E39" s="554"/>
    </row>
    <row r="40" spans="1:5" x14ac:dyDescent="0.25">
      <c r="A40" s="543"/>
      <c r="B40" s="543"/>
      <c r="C40" s="544"/>
      <c r="D40" s="545"/>
      <c r="E40" s="554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83.86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381.86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91">
        <f>'Uniforme 1'!D23</f>
        <v>51.875</v>
      </c>
      <c r="D53" s="18">
        <f>ROUND(C53*$C$29,2)</f>
        <v>51.88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5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0</v>
      </c>
      <c r="D56" s="18">
        <f>C56</f>
        <v>0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51.88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216.15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16.21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10.81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2.16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27.02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86.46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32.42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6.48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397.71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90.03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30.01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120.04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44.17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164.21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1.08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0.09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8.65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20.97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7.72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47.77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86.28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90.03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2.59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0.22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1.51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0.43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0.22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95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34.96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129.96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164.21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397.72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86.27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129.96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778.16</v>
      </c>
    </row>
    <row r="106" spans="1:5" x14ac:dyDescent="0.25">
      <c r="D106" s="42">
        <f>ROUND(D105+D57+D49+D39,2)</f>
        <v>2292.67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22.93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44.26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203.88</v>
      </c>
      <c r="F113" s="61">
        <f>SUM(C110:C114)</f>
        <v>0.13250000000000001</v>
      </c>
    </row>
    <row r="114" spans="1:9" x14ac:dyDescent="0.25">
      <c r="A114" s="43" t="s">
        <v>130</v>
      </c>
      <c r="B114" s="8" t="s">
        <v>131</v>
      </c>
      <c r="C114" s="45">
        <v>0.04</v>
      </c>
      <c r="D114" s="18">
        <f>ROUND($F$115*C114,2)</f>
        <v>107.31</v>
      </c>
      <c r="F114" s="62">
        <f>ROUND(D115+D108+D106,2)</f>
        <v>2327.1799999999998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11.58</v>
      </c>
      <c r="F115" s="63">
        <f>ROUND(F114/(1-F113),2)</f>
        <v>2682.63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389.96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1080.77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381.86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51.88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778.16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2292.67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389.96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2682.63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2682.63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2682.63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2682.63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2682.63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2682.63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32191.56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2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1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5" ht="12.75" x14ac:dyDescent="0.2">
      <c r="A1" s="726" t="s">
        <v>9</v>
      </c>
      <c r="B1" s="726"/>
      <c r="C1" s="726"/>
      <c r="D1" s="726"/>
    </row>
    <row r="4" spans="1:5" x14ac:dyDescent="0.25">
      <c r="A4" s="1" t="s">
        <v>487</v>
      </c>
    </row>
    <row r="5" spans="1:5" x14ac:dyDescent="0.25">
      <c r="A5" s="1" t="s">
        <v>488</v>
      </c>
    </row>
    <row r="6" spans="1:5" x14ac:dyDescent="0.25">
      <c r="C6" s="5" t="s">
        <v>10</v>
      </c>
      <c r="D6" s="6" t="s">
        <v>11</v>
      </c>
    </row>
    <row r="7" spans="1:5" ht="12.75" x14ac:dyDescent="0.2">
      <c r="A7" s="727" t="s">
        <v>12</v>
      </c>
      <c r="B7" s="727"/>
      <c r="C7" s="727"/>
      <c r="D7" s="727"/>
    </row>
    <row r="8" spans="1:5" ht="12.75" x14ac:dyDescent="0.2">
      <c r="A8" s="7" t="s">
        <v>13</v>
      </c>
      <c r="B8" s="8" t="s">
        <v>14</v>
      </c>
      <c r="C8" s="728">
        <v>41094</v>
      </c>
      <c r="D8" s="725"/>
    </row>
    <row r="9" spans="1:5" ht="12.75" x14ac:dyDescent="0.2">
      <c r="A9" s="43" t="s">
        <v>15</v>
      </c>
      <c r="B9" s="526" t="s">
        <v>16</v>
      </c>
      <c r="C9" s="760" t="s">
        <v>17</v>
      </c>
      <c r="D9" s="760"/>
      <c r="E9" s="527"/>
    </row>
    <row r="10" spans="1:5" ht="12.75" x14ac:dyDescent="0.2">
      <c r="A10" s="43" t="s">
        <v>18</v>
      </c>
      <c r="B10" s="526" t="s">
        <v>19</v>
      </c>
      <c r="C10" s="782">
        <v>2012</v>
      </c>
      <c r="D10" s="782"/>
      <c r="E10" s="527"/>
    </row>
    <row r="11" spans="1:5" ht="12.75" x14ac:dyDescent="0.2">
      <c r="A11" s="43" t="s">
        <v>20</v>
      </c>
      <c r="B11" s="526" t="s">
        <v>21</v>
      </c>
      <c r="C11" s="757" t="s">
        <v>0</v>
      </c>
      <c r="D11" s="758"/>
      <c r="E11" s="527"/>
    </row>
    <row r="12" spans="1:5" x14ac:dyDescent="0.25">
      <c r="A12" s="543"/>
      <c r="B12" s="543"/>
      <c r="C12" s="544"/>
      <c r="D12" s="545"/>
      <c r="E12" s="527"/>
    </row>
    <row r="13" spans="1:5" ht="12.75" x14ac:dyDescent="0.2">
      <c r="A13" s="760" t="s">
        <v>22</v>
      </c>
      <c r="B13" s="760"/>
      <c r="C13" s="760"/>
      <c r="D13" s="760"/>
      <c r="E13" s="527"/>
    </row>
    <row r="14" spans="1:5" ht="12.75" x14ac:dyDescent="0.2">
      <c r="A14" s="762" t="s">
        <v>23</v>
      </c>
      <c r="B14" s="762"/>
      <c r="C14" s="757" t="s">
        <v>492</v>
      </c>
      <c r="D14" s="758"/>
      <c r="E14" s="527"/>
    </row>
    <row r="15" spans="1:5" ht="12.75" x14ac:dyDescent="0.2">
      <c r="A15" s="762" t="s">
        <v>24</v>
      </c>
      <c r="B15" s="762"/>
      <c r="C15" s="757" t="s">
        <v>25</v>
      </c>
      <c r="D15" s="758"/>
      <c r="E15" s="527"/>
    </row>
    <row r="16" spans="1:5" ht="12.75" x14ac:dyDescent="0.2">
      <c r="A16" s="762" t="s">
        <v>26</v>
      </c>
      <c r="B16" s="762"/>
      <c r="C16" s="758">
        <v>1</v>
      </c>
      <c r="D16" s="758"/>
      <c r="E16" s="527"/>
    </row>
    <row r="17" spans="1:5" ht="12.75" x14ac:dyDescent="0.2">
      <c r="A17" s="763" t="s">
        <v>27</v>
      </c>
      <c r="B17" s="764"/>
      <c r="C17" s="758" t="s">
        <v>28</v>
      </c>
      <c r="D17" s="758"/>
      <c r="E17" s="527"/>
    </row>
    <row r="18" spans="1:5" x14ac:dyDescent="0.25">
      <c r="A18" s="560"/>
      <c r="B18" s="543"/>
      <c r="C18" s="544"/>
      <c r="D18" s="545"/>
      <c r="E18" s="527"/>
    </row>
    <row r="19" spans="1:5" ht="12.75" x14ac:dyDescent="0.2">
      <c r="A19" s="759" t="s">
        <v>29</v>
      </c>
      <c r="B19" s="759"/>
      <c r="C19" s="759"/>
      <c r="D19" s="759"/>
      <c r="E19" s="527"/>
    </row>
    <row r="20" spans="1:5" ht="12.75" x14ac:dyDescent="0.2">
      <c r="A20" s="759" t="s">
        <v>30</v>
      </c>
      <c r="B20" s="759"/>
      <c r="C20" s="759"/>
      <c r="D20" s="759"/>
      <c r="E20" s="527"/>
    </row>
    <row r="21" spans="1:5" ht="12.75" x14ac:dyDescent="0.2">
      <c r="A21" s="765" t="s">
        <v>31</v>
      </c>
      <c r="B21" s="766"/>
      <c r="C21" s="766"/>
      <c r="D21" s="767"/>
      <c r="E21" s="527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27"/>
    </row>
    <row r="23" spans="1:5" x14ac:dyDescent="0.25">
      <c r="A23" s="43">
        <v>2</v>
      </c>
      <c r="B23" s="526" t="s">
        <v>33</v>
      </c>
      <c r="C23" s="769">
        <v>980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2013'!J5</f>
        <v>903.38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27"/>
    </row>
    <row r="31" spans="1:5" x14ac:dyDescent="0.25">
      <c r="A31" s="43" t="s">
        <v>18</v>
      </c>
      <c r="B31" s="526" t="s">
        <v>43</v>
      </c>
      <c r="C31" s="537"/>
      <c r="D31" s="535"/>
      <c r="E31" s="538"/>
    </row>
    <row r="32" spans="1:5" x14ac:dyDescent="0.25">
      <c r="A32" s="43" t="s">
        <v>20</v>
      </c>
      <c r="B32" s="526" t="s">
        <v>44</v>
      </c>
      <c r="C32" s="539"/>
      <c r="D32" s="535"/>
      <c r="E32" s="536"/>
    </row>
    <row r="33" spans="1:5" x14ac:dyDescent="0.25">
      <c r="A33" s="43" t="s">
        <v>45</v>
      </c>
      <c r="B33" s="526" t="s">
        <v>46</v>
      </c>
      <c r="C33" s="539"/>
      <c r="D33" s="535"/>
      <c r="E33" s="536"/>
    </row>
    <row r="34" spans="1:5" x14ac:dyDescent="0.25">
      <c r="A34" s="43" t="s">
        <v>47</v>
      </c>
      <c r="B34" s="526" t="s">
        <v>48</v>
      </c>
      <c r="C34" s="534"/>
      <c r="D34" s="535"/>
      <c r="E34" s="538"/>
    </row>
    <row r="35" spans="1:5" x14ac:dyDescent="0.25">
      <c r="A35" s="43" t="s">
        <v>49</v>
      </c>
      <c r="B35" s="526" t="s">
        <v>50</v>
      </c>
      <c r="C35" s="539"/>
      <c r="D35" s="535"/>
      <c r="E35" s="536"/>
    </row>
    <row r="36" spans="1:5" x14ac:dyDescent="0.25">
      <c r="A36" s="43" t="s">
        <v>51</v>
      </c>
      <c r="B36" s="526" t="s">
        <v>52</v>
      </c>
      <c r="C36" s="534"/>
      <c r="D36" s="535"/>
      <c r="E36" s="527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27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32.792693999999997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936.17</v>
      </c>
      <c r="E39" s="554"/>
    </row>
    <row r="40" spans="1:5" x14ac:dyDescent="0.25">
      <c r="A40" s="543"/>
      <c r="B40" s="543"/>
      <c r="C40" s="544"/>
      <c r="D40" s="545"/>
      <c r="E40" s="527"/>
    </row>
    <row r="41" spans="1:5" ht="12.75" x14ac:dyDescent="0.2">
      <c r="A41" s="773" t="s">
        <v>56</v>
      </c>
      <c r="B41" s="774"/>
      <c r="C41" s="774"/>
      <c r="D41" s="775"/>
      <c r="E41" s="527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27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91</v>
      </c>
      <c r="E43" s="548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389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7" t="s">
        <v>13</v>
      </c>
      <c r="B53" s="8" t="s">
        <v>69</v>
      </c>
      <c r="C53" s="31">
        <v>25</v>
      </c>
      <c r="D53" s="18">
        <f>ROUND(C53*$C$29,2)</f>
        <v>25</v>
      </c>
    </row>
    <row r="54" spans="1:5" x14ac:dyDescent="0.25">
      <c r="A54" s="7" t="s">
        <v>15</v>
      </c>
      <c r="B54" s="32" t="s">
        <v>70</v>
      </c>
      <c r="C54" s="31">
        <v>0</v>
      </c>
      <c r="D54" s="18">
        <f>ROUND(C54*$C$29,2)</f>
        <v>0</v>
      </c>
      <c r="E54" s="28"/>
    </row>
    <row r="55" spans="1:5" x14ac:dyDescent="0.25">
      <c r="A55" s="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7" t="s">
        <v>20</v>
      </c>
      <c r="B56" s="32" t="s">
        <v>72</v>
      </c>
      <c r="C56" s="18">
        <v>5</v>
      </c>
      <c r="D56" s="18">
        <v>5</v>
      </c>
      <c r="E56" s="28"/>
    </row>
    <row r="57" spans="1:5" x14ac:dyDescent="0.25">
      <c r="A57" s="744" t="s">
        <v>73</v>
      </c>
      <c r="B57" s="745"/>
      <c r="C57" s="29"/>
      <c r="D57" s="23">
        <f>ROUND(SUM(D53:D56),2)</f>
        <v>30</v>
      </c>
      <c r="E57" s="2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33" t="s">
        <v>13</v>
      </c>
      <c r="B61" s="32" t="s">
        <v>76</v>
      </c>
      <c r="C61" s="29">
        <v>0.2</v>
      </c>
      <c r="D61" s="18">
        <f>ROUND($D$39*C61,2)</f>
        <v>187.23</v>
      </c>
    </row>
    <row r="62" spans="1:5" x14ac:dyDescent="0.25">
      <c r="A62" s="33" t="s">
        <v>15</v>
      </c>
      <c r="B62" s="32" t="s">
        <v>77</v>
      </c>
      <c r="C62" s="29">
        <v>1.4999999999999999E-2</v>
      </c>
      <c r="D62" s="18">
        <f>ROUND($D$39*C62,2)</f>
        <v>14.04</v>
      </c>
    </row>
    <row r="63" spans="1:5" x14ac:dyDescent="0.25">
      <c r="A63" s="33" t="s">
        <v>18</v>
      </c>
      <c r="B63" s="32" t="s">
        <v>78</v>
      </c>
      <c r="C63" s="29">
        <v>0.01</v>
      </c>
      <c r="D63" s="18">
        <f t="shared" ref="D63:D68" si="0">ROUND($D$39*C63,2)</f>
        <v>9.36</v>
      </c>
    </row>
    <row r="64" spans="1:5" x14ac:dyDescent="0.25">
      <c r="A64" s="33" t="s">
        <v>20</v>
      </c>
      <c r="B64" s="32" t="s">
        <v>79</v>
      </c>
      <c r="C64" s="29">
        <v>2E-3</v>
      </c>
      <c r="D64" s="18">
        <f t="shared" si="0"/>
        <v>1.87</v>
      </c>
    </row>
    <row r="65" spans="1:6" x14ac:dyDescent="0.25">
      <c r="A65" s="33" t="s">
        <v>45</v>
      </c>
      <c r="B65" s="32" t="s">
        <v>80</v>
      </c>
      <c r="C65" s="29">
        <v>2.5000000000000001E-2</v>
      </c>
      <c r="D65" s="18">
        <f t="shared" si="0"/>
        <v>23.4</v>
      </c>
    </row>
    <row r="66" spans="1:6" x14ac:dyDescent="0.25">
      <c r="A66" s="33" t="s">
        <v>47</v>
      </c>
      <c r="B66" s="32" t="s">
        <v>81</v>
      </c>
      <c r="C66" s="29">
        <v>0.08</v>
      </c>
      <c r="D66" s="18">
        <f t="shared" si="0"/>
        <v>74.89</v>
      </c>
    </row>
    <row r="67" spans="1:6" x14ac:dyDescent="0.25">
      <c r="A67" s="33" t="s">
        <v>49</v>
      </c>
      <c r="B67" s="32" t="s">
        <v>82</v>
      </c>
      <c r="C67" s="29">
        <f>2%*F71</f>
        <v>0.03</v>
      </c>
      <c r="D67" s="18">
        <f t="shared" si="0"/>
        <v>28.09</v>
      </c>
    </row>
    <row r="68" spans="1:6" x14ac:dyDescent="0.25">
      <c r="A68" s="33" t="s">
        <v>51</v>
      </c>
      <c r="B68" s="32" t="s">
        <v>83</v>
      </c>
      <c r="C68" s="29">
        <v>6.0000000000000001E-3</v>
      </c>
      <c r="D68" s="18">
        <f t="shared" si="0"/>
        <v>5.62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344.5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33" t="s">
        <v>13</v>
      </c>
      <c r="B72" s="32" t="s">
        <v>87</v>
      </c>
      <c r="C72" s="29">
        <v>8.3299999999999999E-2</v>
      </c>
      <c r="D72" s="18">
        <f>ROUND($D$39*C72,2)</f>
        <v>77.98</v>
      </c>
    </row>
    <row r="73" spans="1:6" x14ac:dyDescent="0.25">
      <c r="A73" s="33" t="s">
        <v>15</v>
      </c>
      <c r="B73" s="32" t="s">
        <v>88</v>
      </c>
      <c r="C73" s="29">
        <f>C88/3</f>
        <v>2.7766666666666665E-2</v>
      </c>
      <c r="D73" s="18">
        <f>ROUND($D$39*C73,2)</f>
        <v>25.99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103.97</v>
      </c>
    </row>
    <row r="75" spans="1:6" x14ac:dyDescent="0.25">
      <c r="A75" s="33" t="s">
        <v>18</v>
      </c>
      <c r="B75" s="32" t="s">
        <v>90</v>
      </c>
      <c r="C75" s="29">
        <f>C69*C74</f>
        <v>4.0872533333333343E-2</v>
      </c>
      <c r="D75" s="18">
        <f>ROUND($D$39*C75,2)</f>
        <v>38.26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142.22999999999999</v>
      </c>
    </row>
    <row r="77" spans="1:6" x14ac:dyDescent="0.25">
      <c r="A77" s="1"/>
      <c r="B77" s="1"/>
      <c r="E77" s="36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33" t="s">
        <v>13</v>
      </c>
      <c r="B79" s="32" t="s">
        <v>93</v>
      </c>
      <c r="C79" s="29">
        <v>1E-3</v>
      </c>
      <c r="D79" s="18">
        <f t="shared" ref="D79:D84" si="1">ROUND($D$39*C79,2)</f>
        <v>0.94</v>
      </c>
    </row>
    <row r="80" spans="1:6" x14ac:dyDescent="0.25">
      <c r="A80" s="33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33" t="s">
        <v>18</v>
      </c>
      <c r="B81" s="32" t="s">
        <v>95</v>
      </c>
      <c r="C81" s="29">
        <f>C66*10%</f>
        <v>8.0000000000000002E-3</v>
      </c>
      <c r="D81" s="18">
        <f t="shared" si="1"/>
        <v>7.49</v>
      </c>
    </row>
    <row r="82" spans="1:5" x14ac:dyDescent="0.25">
      <c r="A82" s="7" t="s">
        <v>20</v>
      </c>
      <c r="B82" s="8" t="s">
        <v>96</v>
      </c>
      <c r="C82" s="29">
        <v>1.9400000000000001E-2</v>
      </c>
      <c r="D82" s="18">
        <f t="shared" si="1"/>
        <v>18.16</v>
      </c>
    </row>
    <row r="83" spans="1:5" x14ac:dyDescent="0.25">
      <c r="A83" s="7" t="s">
        <v>45</v>
      </c>
      <c r="B83" s="8" t="s">
        <v>97</v>
      </c>
      <c r="C83" s="29">
        <f>C69*C82</f>
        <v>7.1392000000000027E-3</v>
      </c>
      <c r="D83" s="18">
        <f t="shared" si="1"/>
        <v>6.68</v>
      </c>
    </row>
    <row r="84" spans="1:5" x14ac:dyDescent="0.25">
      <c r="A84" s="7" t="s">
        <v>47</v>
      </c>
      <c r="B84" s="8" t="s">
        <v>98</v>
      </c>
      <c r="C84" s="29">
        <v>4.4200000000000003E-2</v>
      </c>
      <c r="D84" s="18">
        <f t="shared" si="1"/>
        <v>41.38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74.72</v>
      </c>
    </row>
    <row r="86" spans="1:5" x14ac:dyDescent="0.25">
      <c r="E86" s="36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36"/>
    </row>
    <row r="88" spans="1:5" x14ac:dyDescent="0.25">
      <c r="A88" s="7" t="s">
        <v>13</v>
      </c>
      <c r="B88" s="8" t="s">
        <v>100</v>
      </c>
      <c r="C88" s="29">
        <v>8.3299999999999999E-2</v>
      </c>
      <c r="D88" s="18">
        <f t="shared" ref="D88:D95" si="2">ROUND($D$39*C88,2)</f>
        <v>77.98</v>
      </c>
      <c r="E88" s="36"/>
    </row>
    <row r="89" spans="1:5" x14ac:dyDescent="0.25">
      <c r="A89" s="7" t="s">
        <v>15</v>
      </c>
      <c r="B89" s="8" t="s">
        <v>101</v>
      </c>
      <c r="C89" s="29">
        <v>2.3999999999999998E-3</v>
      </c>
      <c r="D89" s="18">
        <f t="shared" si="2"/>
        <v>2.25</v>
      </c>
    </row>
    <row r="90" spans="1:5" x14ac:dyDescent="0.25">
      <c r="A90" s="7" t="s">
        <v>18</v>
      </c>
      <c r="B90" s="32" t="s">
        <v>102</v>
      </c>
      <c r="C90" s="29">
        <v>2.0000000000000001E-4</v>
      </c>
      <c r="D90" s="18">
        <f t="shared" si="2"/>
        <v>0.19</v>
      </c>
    </row>
    <row r="91" spans="1:5" x14ac:dyDescent="0.25">
      <c r="A91" s="7" t="s">
        <v>20</v>
      </c>
      <c r="B91" s="8" t="s">
        <v>103</v>
      </c>
      <c r="C91" s="29">
        <v>1.4E-3</v>
      </c>
      <c r="D91" s="18">
        <f t="shared" si="2"/>
        <v>1.31</v>
      </c>
    </row>
    <row r="92" spans="1:5" x14ac:dyDescent="0.25">
      <c r="A92" s="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7" t="s">
        <v>47</v>
      </c>
      <c r="B93" s="32" t="s">
        <v>105</v>
      </c>
      <c r="C93" s="29">
        <v>2.0000000000000001E-4</v>
      </c>
      <c r="D93" s="18">
        <f t="shared" si="2"/>
        <v>0.19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82.29</v>
      </c>
    </row>
    <row r="95" spans="1:5" x14ac:dyDescent="0.25">
      <c r="A95" s="7" t="s">
        <v>49</v>
      </c>
      <c r="B95" s="8" t="s">
        <v>106</v>
      </c>
      <c r="C95" s="29">
        <f>C69*C94</f>
        <v>3.2347200000000013E-2</v>
      </c>
      <c r="D95" s="18">
        <f t="shared" si="2"/>
        <v>30.28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112.57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3">
        <v>4</v>
      </c>
      <c r="B99" s="740" t="s">
        <v>108</v>
      </c>
      <c r="C99" s="740"/>
      <c r="D99" s="16" t="s">
        <v>40</v>
      </c>
    </row>
    <row r="100" spans="1:5" x14ac:dyDescent="0.25">
      <c r="A100" s="7" t="s">
        <v>109</v>
      </c>
      <c r="B100" s="37" t="s">
        <v>110</v>
      </c>
      <c r="C100" s="38">
        <f>C76</f>
        <v>0.1519392</v>
      </c>
      <c r="D100" s="18">
        <f>ROUND($D$39*C100,2)</f>
        <v>142.24</v>
      </c>
      <c r="E100" s="36"/>
    </row>
    <row r="101" spans="1:5" x14ac:dyDescent="0.25">
      <c r="A101" s="7" t="s">
        <v>111</v>
      </c>
      <c r="B101" s="37" t="s">
        <v>112</v>
      </c>
      <c r="C101" s="38">
        <f>C69</f>
        <v>0.3680000000000001</v>
      </c>
      <c r="D101" s="18">
        <f>ROUND($D$39*C101,2)</f>
        <v>344.51</v>
      </c>
    </row>
    <row r="102" spans="1:5" x14ac:dyDescent="0.25">
      <c r="A102" s="33" t="s">
        <v>113</v>
      </c>
      <c r="B102" s="37" t="s">
        <v>114</v>
      </c>
      <c r="C102" s="38">
        <f>C85</f>
        <v>7.9819200000000007E-2</v>
      </c>
      <c r="D102" s="18">
        <f>ROUND($D$39*C102,2)</f>
        <v>74.72</v>
      </c>
    </row>
    <row r="103" spans="1:5" x14ac:dyDescent="0.25">
      <c r="A103" s="33" t="s">
        <v>115</v>
      </c>
      <c r="B103" s="37" t="s">
        <v>116</v>
      </c>
      <c r="C103" s="38">
        <f>C96</f>
        <v>0.12024720000000003</v>
      </c>
      <c r="D103" s="18">
        <f>ROUND($D$39*C103,2)</f>
        <v>112.57</v>
      </c>
    </row>
    <row r="104" spans="1:5" x14ac:dyDescent="0.25">
      <c r="A104" s="33" t="s">
        <v>117</v>
      </c>
      <c r="B104" s="37" t="s">
        <v>118</v>
      </c>
      <c r="C104" s="39"/>
      <c r="D104" s="18"/>
    </row>
    <row r="105" spans="1:5" ht="12.75" x14ac:dyDescent="0.2">
      <c r="A105" s="7"/>
      <c r="B105" s="40" t="s">
        <v>91</v>
      </c>
      <c r="C105" s="41">
        <f>SUM(C100:C104)</f>
        <v>0.72000560000000002</v>
      </c>
      <c r="D105" s="23">
        <f>ROUND($D$39*C105,2)</f>
        <v>674.05</v>
      </c>
    </row>
    <row r="106" spans="1:5" x14ac:dyDescent="0.25">
      <c r="D106" s="42">
        <f>ROUND(D105+D57+D49+D39,2)</f>
        <v>2029.22</v>
      </c>
    </row>
    <row r="107" spans="1:5" ht="12.75" x14ac:dyDescent="0.2">
      <c r="A107" s="13">
        <v>5</v>
      </c>
      <c r="B107" s="24" t="s">
        <v>119</v>
      </c>
      <c r="C107" s="15" t="s">
        <v>68</v>
      </c>
      <c r="D107" s="16" t="s">
        <v>40</v>
      </c>
      <c r="E107" s="36"/>
    </row>
    <row r="108" spans="1:5" x14ac:dyDescent="0.25">
      <c r="A108" s="7" t="s">
        <v>13</v>
      </c>
      <c r="B108" s="8" t="s">
        <v>120</v>
      </c>
      <c r="C108" s="29">
        <v>0.01</v>
      </c>
      <c r="D108" s="18">
        <f>ROUND($D$106*C108,2)</f>
        <v>20.29</v>
      </c>
    </row>
    <row r="109" spans="1:5" x14ac:dyDescent="0.25">
      <c r="A109" s="7" t="s">
        <v>15</v>
      </c>
      <c r="B109" s="8" t="s">
        <v>121</v>
      </c>
      <c r="C109" s="29"/>
      <c r="D109" s="18"/>
      <c r="E109" s="2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38.29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176.39</v>
      </c>
      <c r="F113" s="61">
        <f>SUM(C110:C114)</f>
        <v>0.1125</v>
      </c>
    </row>
    <row r="114" spans="1:9" x14ac:dyDescent="0.25">
      <c r="A114" s="43" t="s">
        <v>130</v>
      </c>
      <c r="B114" s="8" t="s">
        <v>131</v>
      </c>
      <c r="C114" s="45">
        <v>0.02</v>
      </c>
      <c r="D114" s="18">
        <f>ROUND($F$115*C114,2)</f>
        <v>46.42</v>
      </c>
      <c r="F114" s="62">
        <f>ROUND(D115+D108+D106,2)</f>
        <v>2059.7600000000002</v>
      </c>
    </row>
    <row r="115" spans="1:9" x14ac:dyDescent="0.25">
      <c r="A115" s="7" t="s">
        <v>18</v>
      </c>
      <c r="B115" s="8" t="s">
        <v>132</v>
      </c>
      <c r="C115" s="29">
        <v>5.0000000000000001E-3</v>
      </c>
      <c r="D115" s="18">
        <f>ROUND(($D$106+D108)*C115,2)</f>
        <v>10.25</v>
      </c>
      <c r="F115" s="63">
        <f>ROUND(F114/(1-F113),2)</f>
        <v>2320.86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291.64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7" t="s">
        <v>13</v>
      </c>
      <c r="B120" s="731" t="s">
        <v>135</v>
      </c>
      <c r="C120" s="731"/>
      <c r="D120" s="18">
        <f>D39</f>
        <v>936.17</v>
      </c>
    </row>
    <row r="121" spans="1:9" x14ac:dyDescent="0.25">
      <c r="A121" s="7" t="s">
        <v>15</v>
      </c>
      <c r="B121" s="731" t="s">
        <v>136</v>
      </c>
      <c r="C121" s="731"/>
      <c r="D121" s="18">
        <f>D49</f>
        <v>389</v>
      </c>
    </row>
    <row r="122" spans="1:9" x14ac:dyDescent="0.25">
      <c r="A122" s="7" t="s">
        <v>18</v>
      </c>
      <c r="B122" s="731" t="s">
        <v>137</v>
      </c>
      <c r="C122" s="731"/>
      <c r="D122" s="18">
        <f>D57</f>
        <v>30</v>
      </c>
    </row>
    <row r="123" spans="1:9" x14ac:dyDescent="0.25">
      <c r="A123" s="7" t="s">
        <v>20</v>
      </c>
      <c r="B123" s="731" t="s">
        <v>138</v>
      </c>
      <c r="C123" s="731"/>
      <c r="D123" s="18">
        <f>D105</f>
        <v>674.05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2029.22</v>
      </c>
    </row>
    <row r="125" spans="1:9" ht="18.75" x14ac:dyDescent="0.3">
      <c r="A125" s="7" t="s">
        <v>45</v>
      </c>
      <c r="B125" s="751" t="s">
        <v>139</v>
      </c>
      <c r="C125" s="751"/>
      <c r="D125" s="18">
        <f>D116</f>
        <v>291.64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2320.86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2320.86</v>
      </c>
      <c r="E130" s="49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49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2320.86</v>
      </c>
      <c r="E132" s="49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49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2320.86</v>
      </c>
      <c r="E134" s="49"/>
      <c r="F134" s="64"/>
    </row>
    <row r="135" spans="1:9" ht="18.75" x14ac:dyDescent="0.3">
      <c r="E135" s="49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7" t="s">
        <v>13</v>
      </c>
      <c r="B137" s="731" t="s">
        <v>149</v>
      </c>
      <c r="C137" s="731"/>
      <c r="D137" s="18">
        <f>D130</f>
        <v>2320.86</v>
      </c>
    </row>
    <row r="138" spans="1:9" x14ac:dyDescent="0.25">
      <c r="A138" s="7" t="s">
        <v>15</v>
      </c>
      <c r="B138" s="731" t="s">
        <v>150</v>
      </c>
      <c r="C138" s="731"/>
      <c r="D138" s="18">
        <f>D134</f>
        <v>2320.86</v>
      </c>
    </row>
    <row r="139" spans="1:9" ht="12.75" x14ac:dyDescent="0.2">
      <c r="A139" s="13" t="s">
        <v>18</v>
      </c>
      <c r="B139" s="740" t="s">
        <v>151</v>
      </c>
      <c r="C139" s="740"/>
      <c r="D139" s="23">
        <f>ROUND(D138*12,2)</f>
        <v>27850.32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C26:D2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157"/>
  <sheetViews>
    <sheetView view="pageBreakPreview" topLeftCell="A112" zoomScaleNormal="85" zoomScaleSheetLayoutView="100" workbookViewId="0">
      <selection activeCell="C44" sqref="C44"/>
    </sheetView>
  </sheetViews>
  <sheetFormatPr defaultRowHeight="15" x14ac:dyDescent="0.25"/>
  <cols>
    <col min="1" max="1" width="4.42578125" style="2" customWidth="1"/>
    <col min="2" max="2" width="60.140625" style="2" customWidth="1"/>
    <col min="3" max="3" width="11.5703125" style="3" customWidth="1"/>
    <col min="4" max="4" width="22.85546875" style="4" customWidth="1"/>
    <col min="5" max="5" width="25.5703125" style="53" bestFit="1" customWidth="1"/>
    <col min="6" max="6" width="51.85546875" style="54" customWidth="1"/>
    <col min="7" max="7" width="9.7109375" style="2" bestFit="1" customWidth="1"/>
    <col min="8" max="256" width="9.140625" style="2"/>
    <col min="257" max="257" width="4.42578125" style="2" customWidth="1"/>
    <col min="258" max="258" width="60.140625" style="2" customWidth="1"/>
    <col min="259" max="259" width="11.5703125" style="2" customWidth="1"/>
    <col min="260" max="260" width="22.85546875" style="2" customWidth="1"/>
    <col min="261" max="261" width="14.7109375" style="2" customWidth="1"/>
    <col min="262" max="262" width="51.85546875" style="2" customWidth="1"/>
    <col min="263" max="263" width="9.7109375" style="2" bestFit="1" customWidth="1"/>
    <col min="264" max="512" width="9.140625" style="2"/>
    <col min="513" max="513" width="4.42578125" style="2" customWidth="1"/>
    <col min="514" max="514" width="60.140625" style="2" customWidth="1"/>
    <col min="515" max="515" width="11.5703125" style="2" customWidth="1"/>
    <col min="516" max="516" width="22.85546875" style="2" customWidth="1"/>
    <col min="517" max="517" width="14.7109375" style="2" customWidth="1"/>
    <col min="518" max="518" width="51.85546875" style="2" customWidth="1"/>
    <col min="519" max="519" width="9.7109375" style="2" bestFit="1" customWidth="1"/>
    <col min="520" max="768" width="9.140625" style="2"/>
    <col min="769" max="769" width="4.42578125" style="2" customWidth="1"/>
    <col min="770" max="770" width="60.140625" style="2" customWidth="1"/>
    <col min="771" max="771" width="11.5703125" style="2" customWidth="1"/>
    <col min="772" max="772" width="22.85546875" style="2" customWidth="1"/>
    <col min="773" max="773" width="14.7109375" style="2" customWidth="1"/>
    <col min="774" max="774" width="51.85546875" style="2" customWidth="1"/>
    <col min="775" max="775" width="9.7109375" style="2" bestFit="1" customWidth="1"/>
    <col min="776" max="1024" width="9.140625" style="2"/>
    <col min="1025" max="1025" width="4.42578125" style="2" customWidth="1"/>
    <col min="1026" max="1026" width="60.140625" style="2" customWidth="1"/>
    <col min="1027" max="1027" width="11.5703125" style="2" customWidth="1"/>
    <col min="1028" max="1028" width="22.85546875" style="2" customWidth="1"/>
    <col min="1029" max="1029" width="14.7109375" style="2" customWidth="1"/>
    <col min="1030" max="1030" width="51.85546875" style="2" customWidth="1"/>
    <col min="1031" max="1031" width="9.7109375" style="2" bestFit="1" customWidth="1"/>
    <col min="1032" max="1280" width="9.140625" style="2"/>
    <col min="1281" max="1281" width="4.42578125" style="2" customWidth="1"/>
    <col min="1282" max="1282" width="60.140625" style="2" customWidth="1"/>
    <col min="1283" max="1283" width="11.5703125" style="2" customWidth="1"/>
    <col min="1284" max="1284" width="22.85546875" style="2" customWidth="1"/>
    <col min="1285" max="1285" width="14.7109375" style="2" customWidth="1"/>
    <col min="1286" max="1286" width="51.85546875" style="2" customWidth="1"/>
    <col min="1287" max="1287" width="9.7109375" style="2" bestFit="1" customWidth="1"/>
    <col min="1288" max="1536" width="9.140625" style="2"/>
    <col min="1537" max="1537" width="4.42578125" style="2" customWidth="1"/>
    <col min="1538" max="1538" width="60.140625" style="2" customWidth="1"/>
    <col min="1539" max="1539" width="11.5703125" style="2" customWidth="1"/>
    <col min="1540" max="1540" width="22.85546875" style="2" customWidth="1"/>
    <col min="1541" max="1541" width="14.7109375" style="2" customWidth="1"/>
    <col min="1542" max="1542" width="51.85546875" style="2" customWidth="1"/>
    <col min="1543" max="1543" width="9.7109375" style="2" bestFit="1" customWidth="1"/>
    <col min="1544" max="1792" width="9.140625" style="2"/>
    <col min="1793" max="1793" width="4.42578125" style="2" customWidth="1"/>
    <col min="1794" max="1794" width="60.140625" style="2" customWidth="1"/>
    <col min="1795" max="1795" width="11.5703125" style="2" customWidth="1"/>
    <col min="1796" max="1796" width="22.85546875" style="2" customWidth="1"/>
    <col min="1797" max="1797" width="14.7109375" style="2" customWidth="1"/>
    <col min="1798" max="1798" width="51.85546875" style="2" customWidth="1"/>
    <col min="1799" max="1799" width="9.7109375" style="2" bestFit="1" customWidth="1"/>
    <col min="1800" max="2048" width="9.140625" style="2"/>
    <col min="2049" max="2049" width="4.42578125" style="2" customWidth="1"/>
    <col min="2050" max="2050" width="60.140625" style="2" customWidth="1"/>
    <col min="2051" max="2051" width="11.5703125" style="2" customWidth="1"/>
    <col min="2052" max="2052" width="22.85546875" style="2" customWidth="1"/>
    <col min="2053" max="2053" width="14.7109375" style="2" customWidth="1"/>
    <col min="2054" max="2054" width="51.85546875" style="2" customWidth="1"/>
    <col min="2055" max="2055" width="9.7109375" style="2" bestFit="1" customWidth="1"/>
    <col min="2056" max="2304" width="9.140625" style="2"/>
    <col min="2305" max="2305" width="4.42578125" style="2" customWidth="1"/>
    <col min="2306" max="2306" width="60.140625" style="2" customWidth="1"/>
    <col min="2307" max="2307" width="11.5703125" style="2" customWidth="1"/>
    <col min="2308" max="2308" width="22.85546875" style="2" customWidth="1"/>
    <col min="2309" max="2309" width="14.7109375" style="2" customWidth="1"/>
    <col min="2310" max="2310" width="51.85546875" style="2" customWidth="1"/>
    <col min="2311" max="2311" width="9.7109375" style="2" bestFit="1" customWidth="1"/>
    <col min="2312" max="2560" width="9.140625" style="2"/>
    <col min="2561" max="2561" width="4.42578125" style="2" customWidth="1"/>
    <col min="2562" max="2562" width="60.140625" style="2" customWidth="1"/>
    <col min="2563" max="2563" width="11.5703125" style="2" customWidth="1"/>
    <col min="2564" max="2564" width="22.85546875" style="2" customWidth="1"/>
    <col min="2565" max="2565" width="14.7109375" style="2" customWidth="1"/>
    <col min="2566" max="2566" width="51.85546875" style="2" customWidth="1"/>
    <col min="2567" max="2567" width="9.7109375" style="2" bestFit="1" customWidth="1"/>
    <col min="2568" max="2816" width="9.140625" style="2"/>
    <col min="2817" max="2817" width="4.42578125" style="2" customWidth="1"/>
    <col min="2818" max="2818" width="60.140625" style="2" customWidth="1"/>
    <col min="2819" max="2819" width="11.5703125" style="2" customWidth="1"/>
    <col min="2820" max="2820" width="22.85546875" style="2" customWidth="1"/>
    <col min="2821" max="2821" width="14.7109375" style="2" customWidth="1"/>
    <col min="2822" max="2822" width="51.85546875" style="2" customWidth="1"/>
    <col min="2823" max="2823" width="9.7109375" style="2" bestFit="1" customWidth="1"/>
    <col min="2824" max="3072" width="9.140625" style="2"/>
    <col min="3073" max="3073" width="4.42578125" style="2" customWidth="1"/>
    <col min="3074" max="3074" width="60.140625" style="2" customWidth="1"/>
    <col min="3075" max="3075" width="11.5703125" style="2" customWidth="1"/>
    <col min="3076" max="3076" width="22.85546875" style="2" customWidth="1"/>
    <col min="3077" max="3077" width="14.7109375" style="2" customWidth="1"/>
    <col min="3078" max="3078" width="51.85546875" style="2" customWidth="1"/>
    <col min="3079" max="3079" width="9.7109375" style="2" bestFit="1" customWidth="1"/>
    <col min="3080" max="3328" width="9.140625" style="2"/>
    <col min="3329" max="3329" width="4.42578125" style="2" customWidth="1"/>
    <col min="3330" max="3330" width="60.140625" style="2" customWidth="1"/>
    <col min="3331" max="3331" width="11.5703125" style="2" customWidth="1"/>
    <col min="3332" max="3332" width="22.85546875" style="2" customWidth="1"/>
    <col min="3333" max="3333" width="14.7109375" style="2" customWidth="1"/>
    <col min="3334" max="3334" width="51.85546875" style="2" customWidth="1"/>
    <col min="3335" max="3335" width="9.7109375" style="2" bestFit="1" customWidth="1"/>
    <col min="3336" max="3584" width="9.140625" style="2"/>
    <col min="3585" max="3585" width="4.42578125" style="2" customWidth="1"/>
    <col min="3586" max="3586" width="60.140625" style="2" customWidth="1"/>
    <col min="3587" max="3587" width="11.5703125" style="2" customWidth="1"/>
    <col min="3588" max="3588" width="22.85546875" style="2" customWidth="1"/>
    <col min="3589" max="3589" width="14.7109375" style="2" customWidth="1"/>
    <col min="3590" max="3590" width="51.85546875" style="2" customWidth="1"/>
    <col min="3591" max="3591" width="9.7109375" style="2" bestFit="1" customWidth="1"/>
    <col min="3592" max="3840" width="9.140625" style="2"/>
    <col min="3841" max="3841" width="4.42578125" style="2" customWidth="1"/>
    <col min="3842" max="3842" width="60.140625" style="2" customWidth="1"/>
    <col min="3843" max="3843" width="11.5703125" style="2" customWidth="1"/>
    <col min="3844" max="3844" width="22.85546875" style="2" customWidth="1"/>
    <col min="3845" max="3845" width="14.7109375" style="2" customWidth="1"/>
    <col min="3846" max="3846" width="51.85546875" style="2" customWidth="1"/>
    <col min="3847" max="3847" width="9.7109375" style="2" bestFit="1" customWidth="1"/>
    <col min="3848" max="4096" width="9.140625" style="2"/>
    <col min="4097" max="4097" width="4.42578125" style="2" customWidth="1"/>
    <col min="4098" max="4098" width="60.140625" style="2" customWidth="1"/>
    <col min="4099" max="4099" width="11.5703125" style="2" customWidth="1"/>
    <col min="4100" max="4100" width="22.85546875" style="2" customWidth="1"/>
    <col min="4101" max="4101" width="14.7109375" style="2" customWidth="1"/>
    <col min="4102" max="4102" width="51.85546875" style="2" customWidth="1"/>
    <col min="4103" max="4103" width="9.7109375" style="2" bestFit="1" customWidth="1"/>
    <col min="4104" max="4352" width="9.140625" style="2"/>
    <col min="4353" max="4353" width="4.42578125" style="2" customWidth="1"/>
    <col min="4354" max="4354" width="60.140625" style="2" customWidth="1"/>
    <col min="4355" max="4355" width="11.5703125" style="2" customWidth="1"/>
    <col min="4356" max="4356" width="22.85546875" style="2" customWidth="1"/>
    <col min="4357" max="4357" width="14.7109375" style="2" customWidth="1"/>
    <col min="4358" max="4358" width="51.85546875" style="2" customWidth="1"/>
    <col min="4359" max="4359" width="9.7109375" style="2" bestFit="1" customWidth="1"/>
    <col min="4360" max="4608" width="9.140625" style="2"/>
    <col min="4609" max="4609" width="4.42578125" style="2" customWidth="1"/>
    <col min="4610" max="4610" width="60.140625" style="2" customWidth="1"/>
    <col min="4611" max="4611" width="11.5703125" style="2" customWidth="1"/>
    <col min="4612" max="4612" width="22.85546875" style="2" customWidth="1"/>
    <col min="4613" max="4613" width="14.7109375" style="2" customWidth="1"/>
    <col min="4614" max="4614" width="51.85546875" style="2" customWidth="1"/>
    <col min="4615" max="4615" width="9.7109375" style="2" bestFit="1" customWidth="1"/>
    <col min="4616" max="4864" width="9.140625" style="2"/>
    <col min="4865" max="4865" width="4.42578125" style="2" customWidth="1"/>
    <col min="4866" max="4866" width="60.140625" style="2" customWidth="1"/>
    <col min="4867" max="4867" width="11.5703125" style="2" customWidth="1"/>
    <col min="4868" max="4868" width="22.85546875" style="2" customWidth="1"/>
    <col min="4869" max="4869" width="14.7109375" style="2" customWidth="1"/>
    <col min="4870" max="4870" width="51.85546875" style="2" customWidth="1"/>
    <col min="4871" max="4871" width="9.7109375" style="2" bestFit="1" customWidth="1"/>
    <col min="4872" max="5120" width="9.140625" style="2"/>
    <col min="5121" max="5121" width="4.42578125" style="2" customWidth="1"/>
    <col min="5122" max="5122" width="60.140625" style="2" customWidth="1"/>
    <col min="5123" max="5123" width="11.5703125" style="2" customWidth="1"/>
    <col min="5124" max="5124" width="22.85546875" style="2" customWidth="1"/>
    <col min="5125" max="5125" width="14.7109375" style="2" customWidth="1"/>
    <col min="5126" max="5126" width="51.85546875" style="2" customWidth="1"/>
    <col min="5127" max="5127" width="9.7109375" style="2" bestFit="1" customWidth="1"/>
    <col min="5128" max="5376" width="9.140625" style="2"/>
    <col min="5377" max="5377" width="4.42578125" style="2" customWidth="1"/>
    <col min="5378" max="5378" width="60.140625" style="2" customWidth="1"/>
    <col min="5379" max="5379" width="11.5703125" style="2" customWidth="1"/>
    <col min="5380" max="5380" width="22.85546875" style="2" customWidth="1"/>
    <col min="5381" max="5381" width="14.7109375" style="2" customWidth="1"/>
    <col min="5382" max="5382" width="51.85546875" style="2" customWidth="1"/>
    <col min="5383" max="5383" width="9.7109375" style="2" bestFit="1" customWidth="1"/>
    <col min="5384" max="5632" width="9.140625" style="2"/>
    <col min="5633" max="5633" width="4.42578125" style="2" customWidth="1"/>
    <col min="5634" max="5634" width="60.140625" style="2" customWidth="1"/>
    <col min="5635" max="5635" width="11.5703125" style="2" customWidth="1"/>
    <col min="5636" max="5636" width="22.85546875" style="2" customWidth="1"/>
    <col min="5637" max="5637" width="14.7109375" style="2" customWidth="1"/>
    <col min="5638" max="5638" width="51.85546875" style="2" customWidth="1"/>
    <col min="5639" max="5639" width="9.7109375" style="2" bestFit="1" customWidth="1"/>
    <col min="5640" max="5888" width="9.140625" style="2"/>
    <col min="5889" max="5889" width="4.42578125" style="2" customWidth="1"/>
    <col min="5890" max="5890" width="60.140625" style="2" customWidth="1"/>
    <col min="5891" max="5891" width="11.5703125" style="2" customWidth="1"/>
    <col min="5892" max="5892" width="22.85546875" style="2" customWidth="1"/>
    <col min="5893" max="5893" width="14.7109375" style="2" customWidth="1"/>
    <col min="5894" max="5894" width="51.85546875" style="2" customWidth="1"/>
    <col min="5895" max="5895" width="9.7109375" style="2" bestFit="1" customWidth="1"/>
    <col min="5896" max="6144" width="9.140625" style="2"/>
    <col min="6145" max="6145" width="4.42578125" style="2" customWidth="1"/>
    <col min="6146" max="6146" width="60.140625" style="2" customWidth="1"/>
    <col min="6147" max="6147" width="11.5703125" style="2" customWidth="1"/>
    <col min="6148" max="6148" width="22.85546875" style="2" customWidth="1"/>
    <col min="6149" max="6149" width="14.7109375" style="2" customWidth="1"/>
    <col min="6150" max="6150" width="51.85546875" style="2" customWidth="1"/>
    <col min="6151" max="6151" width="9.7109375" style="2" bestFit="1" customWidth="1"/>
    <col min="6152" max="6400" width="9.140625" style="2"/>
    <col min="6401" max="6401" width="4.42578125" style="2" customWidth="1"/>
    <col min="6402" max="6402" width="60.140625" style="2" customWidth="1"/>
    <col min="6403" max="6403" width="11.5703125" style="2" customWidth="1"/>
    <col min="6404" max="6404" width="22.85546875" style="2" customWidth="1"/>
    <col min="6405" max="6405" width="14.7109375" style="2" customWidth="1"/>
    <col min="6406" max="6406" width="51.85546875" style="2" customWidth="1"/>
    <col min="6407" max="6407" width="9.7109375" style="2" bestFit="1" customWidth="1"/>
    <col min="6408" max="6656" width="9.140625" style="2"/>
    <col min="6657" max="6657" width="4.42578125" style="2" customWidth="1"/>
    <col min="6658" max="6658" width="60.140625" style="2" customWidth="1"/>
    <col min="6659" max="6659" width="11.5703125" style="2" customWidth="1"/>
    <col min="6660" max="6660" width="22.85546875" style="2" customWidth="1"/>
    <col min="6661" max="6661" width="14.7109375" style="2" customWidth="1"/>
    <col min="6662" max="6662" width="51.85546875" style="2" customWidth="1"/>
    <col min="6663" max="6663" width="9.7109375" style="2" bestFit="1" customWidth="1"/>
    <col min="6664" max="6912" width="9.140625" style="2"/>
    <col min="6913" max="6913" width="4.42578125" style="2" customWidth="1"/>
    <col min="6914" max="6914" width="60.140625" style="2" customWidth="1"/>
    <col min="6915" max="6915" width="11.5703125" style="2" customWidth="1"/>
    <col min="6916" max="6916" width="22.85546875" style="2" customWidth="1"/>
    <col min="6917" max="6917" width="14.7109375" style="2" customWidth="1"/>
    <col min="6918" max="6918" width="51.85546875" style="2" customWidth="1"/>
    <col min="6919" max="6919" width="9.7109375" style="2" bestFit="1" customWidth="1"/>
    <col min="6920" max="7168" width="9.140625" style="2"/>
    <col min="7169" max="7169" width="4.42578125" style="2" customWidth="1"/>
    <col min="7170" max="7170" width="60.140625" style="2" customWidth="1"/>
    <col min="7171" max="7171" width="11.5703125" style="2" customWidth="1"/>
    <col min="7172" max="7172" width="22.85546875" style="2" customWidth="1"/>
    <col min="7173" max="7173" width="14.7109375" style="2" customWidth="1"/>
    <col min="7174" max="7174" width="51.85546875" style="2" customWidth="1"/>
    <col min="7175" max="7175" width="9.7109375" style="2" bestFit="1" customWidth="1"/>
    <col min="7176" max="7424" width="9.140625" style="2"/>
    <col min="7425" max="7425" width="4.42578125" style="2" customWidth="1"/>
    <col min="7426" max="7426" width="60.140625" style="2" customWidth="1"/>
    <col min="7427" max="7427" width="11.5703125" style="2" customWidth="1"/>
    <col min="7428" max="7428" width="22.85546875" style="2" customWidth="1"/>
    <col min="7429" max="7429" width="14.7109375" style="2" customWidth="1"/>
    <col min="7430" max="7430" width="51.85546875" style="2" customWidth="1"/>
    <col min="7431" max="7431" width="9.7109375" style="2" bestFit="1" customWidth="1"/>
    <col min="7432" max="7680" width="9.140625" style="2"/>
    <col min="7681" max="7681" width="4.42578125" style="2" customWidth="1"/>
    <col min="7682" max="7682" width="60.140625" style="2" customWidth="1"/>
    <col min="7683" max="7683" width="11.5703125" style="2" customWidth="1"/>
    <col min="7684" max="7684" width="22.85546875" style="2" customWidth="1"/>
    <col min="7685" max="7685" width="14.7109375" style="2" customWidth="1"/>
    <col min="7686" max="7686" width="51.85546875" style="2" customWidth="1"/>
    <col min="7687" max="7687" width="9.7109375" style="2" bestFit="1" customWidth="1"/>
    <col min="7688" max="7936" width="9.140625" style="2"/>
    <col min="7937" max="7937" width="4.42578125" style="2" customWidth="1"/>
    <col min="7938" max="7938" width="60.140625" style="2" customWidth="1"/>
    <col min="7939" max="7939" width="11.5703125" style="2" customWidth="1"/>
    <col min="7940" max="7940" width="22.85546875" style="2" customWidth="1"/>
    <col min="7941" max="7941" width="14.7109375" style="2" customWidth="1"/>
    <col min="7942" max="7942" width="51.85546875" style="2" customWidth="1"/>
    <col min="7943" max="7943" width="9.7109375" style="2" bestFit="1" customWidth="1"/>
    <col min="7944" max="8192" width="9.140625" style="2"/>
    <col min="8193" max="8193" width="4.42578125" style="2" customWidth="1"/>
    <col min="8194" max="8194" width="60.140625" style="2" customWidth="1"/>
    <col min="8195" max="8195" width="11.5703125" style="2" customWidth="1"/>
    <col min="8196" max="8196" width="22.85546875" style="2" customWidth="1"/>
    <col min="8197" max="8197" width="14.7109375" style="2" customWidth="1"/>
    <col min="8198" max="8198" width="51.85546875" style="2" customWidth="1"/>
    <col min="8199" max="8199" width="9.7109375" style="2" bestFit="1" customWidth="1"/>
    <col min="8200" max="8448" width="9.140625" style="2"/>
    <col min="8449" max="8449" width="4.42578125" style="2" customWidth="1"/>
    <col min="8450" max="8450" width="60.140625" style="2" customWidth="1"/>
    <col min="8451" max="8451" width="11.5703125" style="2" customWidth="1"/>
    <col min="8452" max="8452" width="22.85546875" style="2" customWidth="1"/>
    <col min="8453" max="8453" width="14.7109375" style="2" customWidth="1"/>
    <col min="8454" max="8454" width="51.85546875" style="2" customWidth="1"/>
    <col min="8455" max="8455" width="9.7109375" style="2" bestFit="1" customWidth="1"/>
    <col min="8456" max="8704" width="9.140625" style="2"/>
    <col min="8705" max="8705" width="4.42578125" style="2" customWidth="1"/>
    <col min="8706" max="8706" width="60.140625" style="2" customWidth="1"/>
    <col min="8707" max="8707" width="11.5703125" style="2" customWidth="1"/>
    <col min="8708" max="8708" width="22.85546875" style="2" customWidth="1"/>
    <col min="8709" max="8709" width="14.7109375" style="2" customWidth="1"/>
    <col min="8710" max="8710" width="51.85546875" style="2" customWidth="1"/>
    <col min="8711" max="8711" width="9.7109375" style="2" bestFit="1" customWidth="1"/>
    <col min="8712" max="8960" width="9.140625" style="2"/>
    <col min="8961" max="8961" width="4.42578125" style="2" customWidth="1"/>
    <col min="8962" max="8962" width="60.140625" style="2" customWidth="1"/>
    <col min="8963" max="8963" width="11.5703125" style="2" customWidth="1"/>
    <col min="8964" max="8964" width="22.85546875" style="2" customWidth="1"/>
    <col min="8965" max="8965" width="14.7109375" style="2" customWidth="1"/>
    <col min="8966" max="8966" width="51.85546875" style="2" customWidth="1"/>
    <col min="8967" max="8967" width="9.7109375" style="2" bestFit="1" customWidth="1"/>
    <col min="8968" max="9216" width="9.140625" style="2"/>
    <col min="9217" max="9217" width="4.42578125" style="2" customWidth="1"/>
    <col min="9218" max="9218" width="60.140625" style="2" customWidth="1"/>
    <col min="9219" max="9219" width="11.5703125" style="2" customWidth="1"/>
    <col min="9220" max="9220" width="22.85546875" style="2" customWidth="1"/>
    <col min="9221" max="9221" width="14.7109375" style="2" customWidth="1"/>
    <col min="9222" max="9222" width="51.85546875" style="2" customWidth="1"/>
    <col min="9223" max="9223" width="9.7109375" style="2" bestFit="1" customWidth="1"/>
    <col min="9224" max="9472" width="9.140625" style="2"/>
    <col min="9473" max="9473" width="4.42578125" style="2" customWidth="1"/>
    <col min="9474" max="9474" width="60.140625" style="2" customWidth="1"/>
    <col min="9475" max="9475" width="11.5703125" style="2" customWidth="1"/>
    <col min="9476" max="9476" width="22.85546875" style="2" customWidth="1"/>
    <col min="9477" max="9477" width="14.7109375" style="2" customWidth="1"/>
    <col min="9478" max="9478" width="51.85546875" style="2" customWidth="1"/>
    <col min="9479" max="9479" width="9.7109375" style="2" bestFit="1" customWidth="1"/>
    <col min="9480" max="9728" width="9.140625" style="2"/>
    <col min="9729" max="9729" width="4.42578125" style="2" customWidth="1"/>
    <col min="9730" max="9730" width="60.140625" style="2" customWidth="1"/>
    <col min="9731" max="9731" width="11.5703125" style="2" customWidth="1"/>
    <col min="9732" max="9732" width="22.85546875" style="2" customWidth="1"/>
    <col min="9733" max="9733" width="14.7109375" style="2" customWidth="1"/>
    <col min="9734" max="9734" width="51.85546875" style="2" customWidth="1"/>
    <col min="9735" max="9735" width="9.7109375" style="2" bestFit="1" customWidth="1"/>
    <col min="9736" max="9984" width="9.140625" style="2"/>
    <col min="9985" max="9985" width="4.42578125" style="2" customWidth="1"/>
    <col min="9986" max="9986" width="60.140625" style="2" customWidth="1"/>
    <col min="9987" max="9987" width="11.5703125" style="2" customWidth="1"/>
    <col min="9988" max="9988" width="22.85546875" style="2" customWidth="1"/>
    <col min="9989" max="9989" width="14.7109375" style="2" customWidth="1"/>
    <col min="9990" max="9990" width="51.85546875" style="2" customWidth="1"/>
    <col min="9991" max="9991" width="9.7109375" style="2" bestFit="1" customWidth="1"/>
    <col min="9992" max="10240" width="9.140625" style="2"/>
    <col min="10241" max="10241" width="4.42578125" style="2" customWidth="1"/>
    <col min="10242" max="10242" width="60.140625" style="2" customWidth="1"/>
    <col min="10243" max="10243" width="11.5703125" style="2" customWidth="1"/>
    <col min="10244" max="10244" width="22.85546875" style="2" customWidth="1"/>
    <col min="10245" max="10245" width="14.7109375" style="2" customWidth="1"/>
    <col min="10246" max="10246" width="51.85546875" style="2" customWidth="1"/>
    <col min="10247" max="10247" width="9.7109375" style="2" bestFit="1" customWidth="1"/>
    <col min="10248" max="10496" width="9.140625" style="2"/>
    <col min="10497" max="10497" width="4.42578125" style="2" customWidth="1"/>
    <col min="10498" max="10498" width="60.140625" style="2" customWidth="1"/>
    <col min="10499" max="10499" width="11.5703125" style="2" customWidth="1"/>
    <col min="10500" max="10500" width="22.85546875" style="2" customWidth="1"/>
    <col min="10501" max="10501" width="14.7109375" style="2" customWidth="1"/>
    <col min="10502" max="10502" width="51.85546875" style="2" customWidth="1"/>
    <col min="10503" max="10503" width="9.7109375" style="2" bestFit="1" customWidth="1"/>
    <col min="10504" max="10752" width="9.140625" style="2"/>
    <col min="10753" max="10753" width="4.42578125" style="2" customWidth="1"/>
    <col min="10754" max="10754" width="60.140625" style="2" customWidth="1"/>
    <col min="10755" max="10755" width="11.5703125" style="2" customWidth="1"/>
    <col min="10756" max="10756" width="22.85546875" style="2" customWidth="1"/>
    <col min="10757" max="10757" width="14.7109375" style="2" customWidth="1"/>
    <col min="10758" max="10758" width="51.85546875" style="2" customWidth="1"/>
    <col min="10759" max="10759" width="9.7109375" style="2" bestFit="1" customWidth="1"/>
    <col min="10760" max="11008" width="9.140625" style="2"/>
    <col min="11009" max="11009" width="4.42578125" style="2" customWidth="1"/>
    <col min="11010" max="11010" width="60.140625" style="2" customWidth="1"/>
    <col min="11011" max="11011" width="11.5703125" style="2" customWidth="1"/>
    <col min="11012" max="11012" width="22.85546875" style="2" customWidth="1"/>
    <col min="11013" max="11013" width="14.7109375" style="2" customWidth="1"/>
    <col min="11014" max="11014" width="51.85546875" style="2" customWidth="1"/>
    <col min="11015" max="11015" width="9.7109375" style="2" bestFit="1" customWidth="1"/>
    <col min="11016" max="11264" width="9.140625" style="2"/>
    <col min="11265" max="11265" width="4.42578125" style="2" customWidth="1"/>
    <col min="11266" max="11266" width="60.140625" style="2" customWidth="1"/>
    <col min="11267" max="11267" width="11.5703125" style="2" customWidth="1"/>
    <col min="11268" max="11268" width="22.85546875" style="2" customWidth="1"/>
    <col min="11269" max="11269" width="14.7109375" style="2" customWidth="1"/>
    <col min="11270" max="11270" width="51.85546875" style="2" customWidth="1"/>
    <col min="11271" max="11271" width="9.7109375" style="2" bestFit="1" customWidth="1"/>
    <col min="11272" max="11520" width="9.140625" style="2"/>
    <col min="11521" max="11521" width="4.42578125" style="2" customWidth="1"/>
    <col min="11522" max="11522" width="60.140625" style="2" customWidth="1"/>
    <col min="11523" max="11523" width="11.5703125" style="2" customWidth="1"/>
    <col min="11524" max="11524" width="22.85546875" style="2" customWidth="1"/>
    <col min="11525" max="11525" width="14.7109375" style="2" customWidth="1"/>
    <col min="11526" max="11526" width="51.85546875" style="2" customWidth="1"/>
    <col min="11527" max="11527" width="9.7109375" style="2" bestFit="1" customWidth="1"/>
    <col min="11528" max="11776" width="9.140625" style="2"/>
    <col min="11777" max="11777" width="4.42578125" style="2" customWidth="1"/>
    <col min="11778" max="11778" width="60.140625" style="2" customWidth="1"/>
    <col min="11779" max="11779" width="11.5703125" style="2" customWidth="1"/>
    <col min="11780" max="11780" width="22.85546875" style="2" customWidth="1"/>
    <col min="11781" max="11781" width="14.7109375" style="2" customWidth="1"/>
    <col min="11782" max="11782" width="51.85546875" style="2" customWidth="1"/>
    <col min="11783" max="11783" width="9.7109375" style="2" bestFit="1" customWidth="1"/>
    <col min="11784" max="12032" width="9.140625" style="2"/>
    <col min="12033" max="12033" width="4.42578125" style="2" customWidth="1"/>
    <col min="12034" max="12034" width="60.140625" style="2" customWidth="1"/>
    <col min="12035" max="12035" width="11.5703125" style="2" customWidth="1"/>
    <col min="12036" max="12036" width="22.85546875" style="2" customWidth="1"/>
    <col min="12037" max="12037" width="14.7109375" style="2" customWidth="1"/>
    <col min="12038" max="12038" width="51.85546875" style="2" customWidth="1"/>
    <col min="12039" max="12039" width="9.7109375" style="2" bestFit="1" customWidth="1"/>
    <col min="12040" max="12288" width="9.140625" style="2"/>
    <col min="12289" max="12289" width="4.42578125" style="2" customWidth="1"/>
    <col min="12290" max="12290" width="60.140625" style="2" customWidth="1"/>
    <col min="12291" max="12291" width="11.5703125" style="2" customWidth="1"/>
    <col min="12292" max="12292" width="22.85546875" style="2" customWidth="1"/>
    <col min="12293" max="12293" width="14.7109375" style="2" customWidth="1"/>
    <col min="12294" max="12294" width="51.85546875" style="2" customWidth="1"/>
    <col min="12295" max="12295" width="9.7109375" style="2" bestFit="1" customWidth="1"/>
    <col min="12296" max="12544" width="9.140625" style="2"/>
    <col min="12545" max="12545" width="4.42578125" style="2" customWidth="1"/>
    <col min="12546" max="12546" width="60.140625" style="2" customWidth="1"/>
    <col min="12547" max="12547" width="11.5703125" style="2" customWidth="1"/>
    <col min="12548" max="12548" width="22.85546875" style="2" customWidth="1"/>
    <col min="12549" max="12549" width="14.7109375" style="2" customWidth="1"/>
    <col min="12550" max="12550" width="51.85546875" style="2" customWidth="1"/>
    <col min="12551" max="12551" width="9.7109375" style="2" bestFit="1" customWidth="1"/>
    <col min="12552" max="12800" width="9.140625" style="2"/>
    <col min="12801" max="12801" width="4.42578125" style="2" customWidth="1"/>
    <col min="12802" max="12802" width="60.140625" style="2" customWidth="1"/>
    <col min="12803" max="12803" width="11.5703125" style="2" customWidth="1"/>
    <col min="12804" max="12804" width="22.85546875" style="2" customWidth="1"/>
    <col min="12805" max="12805" width="14.7109375" style="2" customWidth="1"/>
    <col min="12806" max="12806" width="51.85546875" style="2" customWidth="1"/>
    <col min="12807" max="12807" width="9.7109375" style="2" bestFit="1" customWidth="1"/>
    <col min="12808" max="13056" width="9.140625" style="2"/>
    <col min="13057" max="13057" width="4.42578125" style="2" customWidth="1"/>
    <col min="13058" max="13058" width="60.140625" style="2" customWidth="1"/>
    <col min="13059" max="13059" width="11.5703125" style="2" customWidth="1"/>
    <col min="13060" max="13060" width="22.85546875" style="2" customWidth="1"/>
    <col min="13061" max="13061" width="14.7109375" style="2" customWidth="1"/>
    <col min="13062" max="13062" width="51.85546875" style="2" customWidth="1"/>
    <col min="13063" max="13063" width="9.7109375" style="2" bestFit="1" customWidth="1"/>
    <col min="13064" max="13312" width="9.140625" style="2"/>
    <col min="13313" max="13313" width="4.42578125" style="2" customWidth="1"/>
    <col min="13314" max="13314" width="60.140625" style="2" customWidth="1"/>
    <col min="13315" max="13315" width="11.5703125" style="2" customWidth="1"/>
    <col min="13316" max="13316" width="22.85546875" style="2" customWidth="1"/>
    <col min="13317" max="13317" width="14.7109375" style="2" customWidth="1"/>
    <col min="13318" max="13318" width="51.85546875" style="2" customWidth="1"/>
    <col min="13319" max="13319" width="9.7109375" style="2" bestFit="1" customWidth="1"/>
    <col min="13320" max="13568" width="9.140625" style="2"/>
    <col min="13569" max="13569" width="4.42578125" style="2" customWidth="1"/>
    <col min="13570" max="13570" width="60.140625" style="2" customWidth="1"/>
    <col min="13571" max="13571" width="11.5703125" style="2" customWidth="1"/>
    <col min="13572" max="13572" width="22.85546875" style="2" customWidth="1"/>
    <col min="13573" max="13573" width="14.7109375" style="2" customWidth="1"/>
    <col min="13574" max="13574" width="51.85546875" style="2" customWidth="1"/>
    <col min="13575" max="13575" width="9.7109375" style="2" bestFit="1" customWidth="1"/>
    <col min="13576" max="13824" width="9.140625" style="2"/>
    <col min="13825" max="13825" width="4.42578125" style="2" customWidth="1"/>
    <col min="13826" max="13826" width="60.140625" style="2" customWidth="1"/>
    <col min="13827" max="13827" width="11.5703125" style="2" customWidth="1"/>
    <col min="13828" max="13828" width="22.85546875" style="2" customWidth="1"/>
    <col min="13829" max="13829" width="14.7109375" style="2" customWidth="1"/>
    <col min="13830" max="13830" width="51.85546875" style="2" customWidth="1"/>
    <col min="13831" max="13831" width="9.7109375" style="2" bestFit="1" customWidth="1"/>
    <col min="13832" max="14080" width="9.140625" style="2"/>
    <col min="14081" max="14081" width="4.42578125" style="2" customWidth="1"/>
    <col min="14082" max="14082" width="60.140625" style="2" customWidth="1"/>
    <col min="14083" max="14083" width="11.5703125" style="2" customWidth="1"/>
    <col min="14084" max="14084" width="22.85546875" style="2" customWidth="1"/>
    <col min="14085" max="14085" width="14.7109375" style="2" customWidth="1"/>
    <col min="14086" max="14086" width="51.85546875" style="2" customWidth="1"/>
    <col min="14087" max="14087" width="9.7109375" style="2" bestFit="1" customWidth="1"/>
    <col min="14088" max="14336" width="9.140625" style="2"/>
    <col min="14337" max="14337" width="4.42578125" style="2" customWidth="1"/>
    <col min="14338" max="14338" width="60.140625" style="2" customWidth="1"/>
    <col min="14339" max="14339" width="11.5703125" style="2" customWidth="1"/>
    <col min="14340" max="14340" width="22.85546875" style="2" customWidth="1"/>
    <col min="14341" max="14341" width="14.7109375" style="2" customWidth="1"/>
    <col min="14342" max="14342" width="51.85546875" style="2" customWidth="1"/>
    <col min="14343" max="14343" width="9.7109375" style="2" bestFit="1" customWidth="1"/>
    <col min="14344" max="14592" width="9.140625" style="2"/>
    <col min="14593" max="14593" width="4.42578125" style="2" customWidth="1"/>
    <col min="14594" max="14594" width="60.140625" style="2" customWidth="1"/>
    <col min="14595" max="14595" width="11.5703125" style="2" customWidth="1"/>
    <col min="14596" max="14596" width="22.85546875" style="2" customWidth="1"/>
    <col min="14597" max="14597" width="14.7109375" style="2" customWidth="1"/>
    <col min="14598" max="14598" width="51.85546875" style="2" customWidth="1"/>
    <col min="14599" max="14599" width="9.7109375" style="2" bestFit="1" customWidth="1"/>
    <col min="14600" max="14848" width="9.140625" style="2"/>
    <col min="14849" max="14849" width="4.42578125" style="2" customWidth="1"/>
    <col min="14850" max="14850" width="60.140625" style="2" customWidth="1"/>
    <col min="14851" max="14851" width="11.5703125" style="2" customWidth="1"/>
    <col min="14852" max="14852" width="22.85546875" style="2" customWidth="1"/>
    <col min="14853" max="14853" width="14.7109375" style="2" customWidth="1"/>
    <col min="14854" max="14854" width="51.85546875" style="2" customWidth="1"/>
    <col min="14855" max="14855" width="9.7109375" style="2" bestFit="1" customWidth="1"/>
    <col min="14856" max="15104" width="9.140625" style="2"/>
    <col min="15105" max="15105" width="4.42578125" style="2" customWidth="1"/>
    <col min="15106" max="15106" width="60.140625" style="2" customWidth="1"/>
    <col min="15107" max="15107" width="11.5703125" style="2" customWidth="1"/>
    <col min="15108" max="15108" width="22.85546875" style="2" customWidth="1"/>
    <col min="15109" max="15109" width="14.7109375" style="2" customWidth="1"/>
    <col min="15110" max="15110" width="51.85546875" style="2" customWidth="1"/>
    <col min="15111" max="15111" width="9.7109375" style="2" bestFit="1" customWidth="1"/>
    <col min="15112" max="15360" width="9.140625" style="2"/>
    <col min="15361" max="15361" width="4.42578125" style="2" customWidth="1"/>
    <col min="15362" max="15362" width="60.140625" style="2" customWidth="1"/>
    <col min="15363" max="15363" width="11.5703125" style="2" customWidth="1"/>
    <col min="15364" max="15364" width="22.85546875" style="2" customWidth="1"/>
    <col min="15365" max="15365" width="14.7109375" style="2" customWidth="1"/>
    <col min="15366" max="15366" width="51.85546875" style="2" customWidth="1"/>
    <col min="15367" max="15367" width="9.7109375" style="2" bestFit="1" customWidth="1"/>
    <col min="15368" max="15616" width="9.140625" style="2"/>
    <col min="15617" max="15617" width="4.42578125" style="2" customWidth="1"/>
    <col min="15618" max="15618" width="60.140625" style="2" customWidth="1"/>
    <col min="15619" max="15619" width="11.5703125" style="2" customWidth="1"/>
    <col min="15620" max="15620" width="22.85546875" style="2" customWidth="1"/>
    <col min="15621" max="15621" width="14.7109375" style="2" customWidth="1"/>
    <col min="15622" max="15622" width="51.85546875" style="2" customWidth="1"/>
    <col min="15623" max="15623" width="9.7109375" style="2" bestFit="1" customWidth="1"/>
    <col min="15624" max="15872" width="9.140625" style="2"/>
    <col min="15873" max="15873" width="4.42578125" style="2" customWidth="1"/>
    <col min="15874" max="15874" width="60.140625" style="2" customWidth="1"/>
    <col min="15875" max="15875" width="11.5703125" style="2" customWidth="1"/>
    <col min="15876" max="15876" width="22.85546875" style="2" customWidth="1"/>
    <col min="15877" max="15877" width="14.7109375" style="2" customWidth="1"/>
    <col min="15878" max="15878" width="51.85546875" style="2" customWidth="1"/>
    <col min="15879" max="15879" width="9.7109375" style="2" bestFit="1" customWidth="1"/>
    <col min="15880" max="16128" width="9.140625" style="2"/>
    <col min="16129" max="16129" width="4.42578125" style="2" customWidth="1"/>
    <col min="16130" max="16130" width="60.140625" style="2" customWidth="1"/>
    <col min="16131" max="16131" width="11.5703125" style="2" customWidth="1"/>
    <col min="16132" max="16132" width="22.85546875" style="2" customWidth="1"/>
    <col min="16133" max="16133" width="14.7109375" style="2" customWidth="1"/>
    <col min="16134" max="16134" width="51.85546875" style="2" customWidth="1"/>
    <col min="16135" max="16135" width="9.7109375" style="2" bestFit="1" customWidth="1"/>
    <col min="16136" max="16384" width="9.140625" style="2"/>
  </cols>
  <sheetData>
    <row r="1" spans="1:5" ht="12.75" x14ac:dyDescent="0.2">
      <c r="A1" s="759" t="s">
        <v>9</v>
      </c>
      <c r="B1" s="759"/>
      <c r="C1" s="759"/>
      <c r="D1" s="759"/>
      <c r="E1" s="554"/>
    </row>
    <row r="2" spans="1:5" x14ac:dyDescent="0.25">
      <c r="A2" s="543"/>
      <c r="B2" s="543"/>
      <c r="C2" s="544"/>
      <c r="D2" s="545"/>
      <c r="E2" s="554"/>
    </row>
    <row r="3" spans="1:5" x14ac:dyDescent="0.25">
      <c r="A3" s="543"/>
      <c r="B3" s="543"/>
      <c r="C3" s="544"/>
      <c r="D3" s="545"/>
      <c r="E3" s="554"/>
    </row>
    <row r="4" spans="1:5" x14ac:dyDescent="0.25">
      <c r="A4" s="527" t="s">
        <v>487</v>
      </c>
      <c r="B4" s="543"/>
      <c r="C4" s="544"/>
      <c r="D4" s="545"/>
      <c r="E4" s="554"/>
    </row>
    <row r="5" spans="1:5" x14ac:dyDescent="0.25">
      <c r="A5" s="527" t="s">
        <v>488</v>
      </c>
      <c r="B5" s="543"/>
      <c r="C5" s="544"/>
      <c r="D5" s="545"/>
      <c r="E5" s="554"/>
    </row>
    <row r="6" spans="1:5" x14ac:dyDescent="0.25">
      <c r="A6" s="543"/>
      <c r="B6" s="543"/>
      <c r="C6" s="558" t="s">
        <v>10</v>
      </c>
      <c r="D6" s="559" t="s">
        <v>11</v>
      </c>
      <c r="E6" s="554"/>
    </row>
    <row r="7" spans="1:5" ht="12.75" x14ac:dyDescent="0.2">
      <c r="A7" s="760" t="s">
        <v>12</v>
      </c>
      <c r="B7" s="760"/>
      <c r="C7" s="760"/>
      <c r="D7" s="760"/>
      <c r="E7" s="554"/>
    </row>
    <row r="8" spans="1:5" ht="12.75" x14ac:dyDescent="0.2">
      <c r="A8" s="43" t="s">
        <v>13</v>
      </c>
      <c r="B8" s="526" t="s">
        <v>14</v>
      </c>
      <c r="C8" s="761">
        <v>41094</v>
      </c>
      <c r="D8" s="758"/>
      <c r="E8" s="554"/>
    </row>
    <row r="9" spans="1:5" ht="12.75" x14ac:dyDescent="0.2">
      <c r="A9" s="43" t="s">
        <v>15</v>
      </c>
      <c r="B9" s="526" t="s">
        <v>16</v>
      </c>
      <c r="C9" s="760" t="s">
        <v>17</v>
      </c>
      <c r="D9" s="760"/>
      <c r="E9" s="554"/>
    </row>
    <row r="10" spans="1:5" ht="12.75" x14ac:dyDescent="0.2">
      <c r="A10" s="43" t="s">
        <v>18</v>
      </c>
      <c r="B10" s="526" t="s">
        <v>19</v>
      </c>
      <c r="C10" s="782">
        <v>2012</v>
      </c>
      <c r="D10" s="782"/>
      <c r="E10" s="554"/>
    </row>
    <row r="11" spans="1:5" ht="12.75" x14ac:dyDescent="0.2">
      <c r="A11" s="43" t="s">
        <v>20</v>
      </c>
      <c r="B11" s="526" t="s">
        <v>21</v>
      </c>
      <c r="C11" s="757" t="s">
        <v>0</v>
      </c>
      <c r="D11" s="758"/>
      <c r="E11" s="554"/>
    </row>
    <row r="12" spans="1:5" x14ac:dyDescent="0.25">
      <c r="A12" s="543"/>
      <c r="B12" s="543"/>
      <c r="C12" s="544"/>
      <c r="D12" s="545"/>
      <c r="E12" s="554"/>
    </row>
    <row r="13" spans="1:5" ht="12.75" x14ac:dyDescent="0.2">
      <c r="A13" s="760" t="s">
        <v>22</v>
      </c>
      <c r="B13" s="760"/>
      <c r="C13" s="760"/>
      <c r="D13" s="760"/>
      <c r="E13" s="554"/>
    </row>
    <row r="14" spans="1:5" ht="12.75" x14ac:dyDescent="0.2">
      <c r="A14" s="762" t="s">
        <v>23</v>
      </c>
      <c r="B14" s="762"/>
      <c r="C14" s="757" t="s">
        <v>492</v>
      </c>
      <c r="D14" s="758"/>
      <c r="E14" s="554"/>
    </row>
    <row r="15" spans="1:5" ht="12.75" x14ac:dyDescent="0.2">
      <c r="A15" s="762" t="s">
        <v>24</v>
      </c>
      <c r="B15" s="762"/>
      <c r="C15" s="757" t="s">
        <v>25</v>
      </c>
      <c r="D15" s="758"/>
      <c r="E15" s="554"/>
    </row>
    <row r="16" spans="1:5" ht="12.75" x14ac:dyDescent="0.2">
      <c r="A16" s="762" t="s">
        <v>26</v>
      </c>
      <c r="B16" s="762"/>
      <c r="C16" s="758">
        <v>1</v>
      </c>
      <c r="D16" s="758"/>
      <c r="E16" s="554"/>
    </row>
    <row r="17" spans="1:5" ht="12.75" x14ac:dyDescent="0.2">
      <c r="A17" s="763" t="s">
        <v>27</v>
      </c>
      <c r="B17" s="764"/>
      <c r="C17" s="758" t="s">
        <v>28</v>
      </c>
      <c r="D17" s="758"/>
      <c r="E17" s="554"/>
    </row>
    <row r="18" spans="1:5" x14ac:dyDescent="0.25">
      <c r="A18" s="560"/>
      <c r="B18" s="543"/>
      <c r="C18" s="544"/>
      <c r="D18" s="545"/>
      <c r="E18" s="554"/>
    </row>
    <row r="19" spans="1:5" ht="12.75" x14ac:dyDescent="0.2">
      <c r="A19" s="759" t="s">
        <v>29</v>
      </c>
      <c r="B19" s="759"/>
      <c r="C19" s="759"/>
      <c r="D19" s="759"/>
      <c r="E19" s="554"/>
    </row>
    <row r="20" spans="1:5" ht="12.75" x14ac:dyDescent="0.2">
      <c r="A20" s="759" t="s">
        <v>30</v>
      </c>
      <c r="B20" s="759"/>
      <c r="C20" s="759"/>
      <c r="D20" s="759"/>
      <c r="E20" s="554"/>
    </row>
    <row r="21" spans="1:5" ht="12.75" x14ac:dyDescent="0.2">
      <c r="A21" s="765" t="s">
        <v>31</v>
      </c>
      <c r="B21" s="766"/>
      <c r="C21" s="766"/>
      <c r="D21" s="767"/>
      <c r="E21" s="554"/>
    </row>
    <row r="22" spans="1:5" ht="12.75" x14ac:dyDescent="0.2">
      <c r="A22" s="43">
        <v>1</v>
      </c>
      <c r="B22" s="526" t="s">
        <v>32</v>
      </c>
      <c r="C22" s="757" t="s">
        <v>489</v>
      </c>
      <c r="D22" s="758"/>
      <c r="E22" s="554"/>
    </row>
    <row r="23" spans="1:5" x14ac:dyDescent="0.25">
      <c r="A23" s="43">
        <v>2</v>
      </c>
      <c r="B23" s="526" t="s">
        <v>33</v>
      </c>
      <c r="C23" s="769">
        <v>980</v>
      </c>
      <c r="D23" s="769"/>
      <c r="E23" s="527"/>
    </row>
    <row r="24" spans="1:5" ht="12.75" x14ac:dyDescent="0.2">
      <c r="A24" s="43">
        <v>3</v>
      </c>
      <c r="B24" s="526" t="s">
        <v>34</v>
      </c>
      <c r="C24" s="757" t="s">
        <v>35</v>
      </c>
      <c r="D24" s="758"/>
      <c r="E24" s="527"/>
    </row>
    <row r="25" spans="1:5" ht="12.75" x14ac:dyDescent="0.2">
      <c r="A25" s="43">
        <v>4</v>
      </c>
      <c r="B25" s="526" t="s">
        <v>36</v>
      </c>
      <c r="C25" s="761">
        <v>41306</v>
      </c>
      <c r="D25" s="758"/>
      <c r="E25" s="527"/>
    </row>
    <row r="26" spans="1:5" ht="12.75" x14ac:dyDescent="0.2">
      <c r="A26" s="528"/>
      <c r="B26" s="529"/>
      <c r="C26" s="770"/>
      <c r="D26" s="770"/>
      <c r="E26" s="527"/>
    </row>
    <row r="27" spans="1:5" ht="12.75" x14ac:dyDescent="0.2">
      <c r="A27" s="759" t="s">
        <v>37</v>
      </c>
      <c r="B27" s="759"/>
      <c r="C27" s="759"/>
      <c r="D27" s="759"/>
      <c r="E27" s="527"/>
    </row>
    <row r="28" spans="1:5" ht="12.75" x14ac:dyDescent="0.2">
      <c r="A28" s="530">
        <v>1</v>
      </c>
      <c r="B28" s="531" t="s">
        <v>38</v>
      </c>
      <c r="C28" s="532" t="s">
        <v>39</v>
      </c>
      <c r="D28" s="533" t="s">
        <v>40</v>
      </c>
      <c r="E28" s="527"/>
    </row>
    <row r="29" spans="1:5" x14ac:dyDescent="0.25">
      <c r="A29" s="43" t="s">
        <v>13</v>
      </c>
      <c r="B29" s="526" t="s">
        <v>41</v>
      </c>
      <c r="C29" s="534">
        <v>1</v>
      </c>
      <c r="D29" s="535">
        <f>'REPACTUAÇÃO SIEMACO 2013'!J5</f>
        <v>903.38</v>
      </c>
      <c r="E29" s="536"/>
    </row>
    <row r="30" spans="1:5" x14ac:dyDescent="0.25">
      <c r="A30" s="43" t="s">
        <v>15</v>
      </c>
      <c r="B30" s="526" t="s">
        <v>42</v>
      </c>
      <c r="C30" s="537"/>
      <c r="D30" s="535"/>
      <c r="E30" s="554"/>
    </row>
    <row r="31" spans="1:5" x14ac:dyDescent="0.25">
      <c r="A31" s="43" t="s">
        <v>18</v>
      </c>
      <c r="B31" s="526" t="s">
        <v>43</v>
      </c>
      <c r="C31" s="537"/>
      <c r="D31" s="535"/>
      <c r="E31" s="555"/>
    </row>
    <row r="32" spans="1:5" x14ac:dyDescent="0.25">
      <c r="A32" s="43" t="s">
        <v>20</v>
      </c>
      <c r="B32" s="526" t="s">
        <v>44</v>
      </c>
      <c r="C32" s="539"/>
      <c r="D32" s="535"/>
      <c r="E32" s="556"/>
    </row>
    <row r="33" spans="1:5" x14ac:dyDescent="0.25">
      <c r="A33" s="43" t="s">
        <v>45</v>
      </c>
      <c r="B33" s="526" t="s">
        <v>46</v>
      </c>
      <c r="C33" s="539"/>
      <c r="D33" s="535"/>
      <c r="E33" s="556"/>
    </row>
    <row r="34" spans="1:5" x14ac:dyDescent="0.25">
      <c r="A34" s="43" t="s">
        <v>47</v>
      </c>
      <c r="B34" s="526" t="s">
        <v>48</v>
      </c>
      <c r="C34" s="534"/>
      <c r="D34" s="535"/>
      <c r="E34" s="555"/>
    </row>
    <row r="35" spans="1:5" x14ac:dyDescent="0.25">
      <c r="A35" s="43" t="s">
        <v>49</v>
      </c>
      <c r="B35" s="526" t="s">
        <v>50</v>
      </c>
      <c r="C35" s="539"/>
      <c r="D35" s="535"/>
      <c r="E35" s="556"/>
    </row>
    <row r="36" spans="1:5" x14ac:dyDescent="0.25">
      <c r="A36" s="43" t="s">
        <v>51</v>
      </c>
      <c r="B36" s="526" t="s">
        <v>52</v>
      </c>
      <c r="C36" s="534"/>
      <c r="D36" s="535"/>
      <c r="E36" s="554"/>
    </row>
    <row r="37" spans="1:5" x14ac:dyDescent="0.25">
      <c r="A37" s="43" t="s">
        <v>53</v>
      </c>
      <c r="B37" s="526" t="s">
        <v>54</v>
      </c>
      <c r="C37" s="534"/>
      <c r="D37" s="535">
        <f>ROUND(SUM(D32:D35)/23*7,2)</f>
        <v>0</v>
      </c>
      <c r="E37" s="554"/>
    </row>
    <row r="38" spans="1:5" x14ac:dyDescent="0.25">
      <c r="A38" s="540" t="s">
        <v>632</v>
      </c>
      <c r="B38" s="541" t="s">
        <v>633</v>
      </c>
      <c r="C38" s="534"/>
      <c r="D38" s="535">
        <f>D29*3.63%</f>
        <v>32.792693999999997</v>
      </c>
      <c r="E38" s="527"/>
    </row>
    <row r="39" spans="1:5" x14ac:dyDescent="0.25">
      <c r="A39" s="771" t="s">
        <v>55</v>
      </c>
      <c r="B39" s="772"/>
      <c r="C39" s="534"/>
      <c r="D39" s="542">
        <f>ROUND(SUM(D29:D38),2)</f>
        <v>936.17</v>
      </c>
      <c r="E39" s="554"/>
    </row>
    <row r="40" spans="1:5" x14ac:dyDescent="0.25">
      <c r="A40" s="543"/>
      <c r="B40" s="543"/>
      <c r="C40" s="544"/>
      <c r="D40" s="545"/>
      <c r="E40" s="554"/>
    </row>
    <row r="41" spans="1:5" ht="12.75" x14ac:dyDescent="0.2">
      <c r="A41" s="773" t="s">
        <v>56</v>
      </c>
      <c r="B41" s="774"/>
      <c r="C41" s="774"/>
      <c r="D41" s="775"/>
      <c r="E41" s="554"/>
    </row>
    <row r="42" spans="1:5" ht="12.75" x14ac:dyDescent="0.2">
      <c r="A42" s="530">
        <v>2</v>
      </c>
      <c r="B42" s="546" t="s">
        <v>57</v>
      </c>
      <c r="C42" s="532" t="s">
        <v>58</v>
      </c>
      <c r="D42" s="533" t="s">
        <v>40</v>
      </c>
      <c r="E42" s="554"/>
    </row>
    <row r="43" spans="1:5" ht="13.5" customHeight="1" x14ac:dyDescent="0.25">
      <c r="A43" s="43" t="s">
        <v>13</v>
      </c>
      <c r="B43" s="547" t="s">
        <v>59</v>
      </c>
      <c r="C43" s="535">
        <v>3.3</v>
      </c>
      <c r="D43" s="535">
        <f>ROUND((C43*44)-(D29*6%),2)</f>
        <v>91</v>
      </c>
      <c r="E43" s="557"/>
    </row>
    <row r="44" spans="1:5" ht="13.5" customHeight="1" x14ac:dyDescent="0.25">
      <c r="A44" s="43" t="s">
        <v>15</v>
      </c>
      <c r="B44" s="549" t="s">
        <v>60</v>
      </c>
      <c r="C44" s="535"/>
      <c r="D44" s="535">
        <f>'REPACTUAÇÃO SIEMACO 2013'!J54*0.8</f>
        <v>224</v>
      </c>
      <c r="E44" s="550"/>
    </row>
    <row r="45" spans="1:5" ht="13.5" customHeight="1" x14ac:dyDescent="0.25">
      <c r="A45" s="43" t="s">
        <v>18</v>
      </c>
      <c r="B45" s="549" t="s">
        <v>61</v>
      </c>
      <c r="C45" s="535">
        <v>35</v>
      </c>
      <c r="D45" s="535">
        <f>'REPACTUAÇÃO SIEMACO 2013'!J44</f>
        <v>45</v>
      </c>
      <c r="E45" s="550"/>
    </row>
    <row r="46" spans="1:5" ht="13.5" customHeight="1" x14ac:dyDescent="0.25">
      <c r="A46" s="43" t="s">
        <v>20</v>
      </c>
      <c r="B46" s="549" t="s">
        <v>62</v>
      </c>
      <c r="C46" s="535">
        <v>0</v>
      </c>
      <c r="D46" s="535">
        <f>ROUND(C46*$C$29,2)</f>
        <v>0</v>
      </c>
      <c r="E46" s="527"/>
    </row>
    <row r="47" spans="1:5" ht="13.5" customHeight="1" x14ac:dyDescent="0.25">
      <c r="A47" s="43" t="s">
        <v>45</v>
      </c>
      <c r="B47" s="549" t="s">
        <v>63</v>
      </c>
      <c r="C47" s="535">
        <v>12</v>
      </c>
      <c r="D47" s="535">
        <f>'REPACTUAÇÃO SIEMACO 2013'!J47</f>
        <v>14.5</v>
      </c>
      <c r="E47" s="527"/>
    </row>
    <row r="48" spans="1:5" ht="13.5" customHeight="1" x14ac:dyDescent="0.25">
      <c r="A48" s="43" t="s">
        <v>47</v>
      </c>
      <c r="B48" s="549" t="s">
        <v>64</v>
      </c>
      <c r="C48" s="535">
        <v>11</v>
      </c>
      <c r="D48" s="535">
        <f>'REPACTUAÇÃO SIEMACO 2013'!J52</f>
        <v>14.5</v>
      </c>
      <c r="E48" s="527"/>
    </row>
    <row r="49" spans="1:5" ht="13.5" customHeight="1" x14ac:dyDescent="0.25">
      <c r="A49" s="744" t="s">
        <v>65</v>
      </c>
      <c r="B49" s="745"/>
      <c r="C49" s="29"/>
      <c r="D49" s="23">
        <f>ROUND(SUM(D43:D48),2)</f>
        <v>389</v>
      </c>
    </row>
    <row r="50" spans="1:5" ht="13.5" customHeight="1" x14ac:dyDescent="0.25">
      <c r="A50" s="30"/>
    </row>
    <row r="51" spans="1:5" ht="13.5" customHeight="1" x14ac:dyDescent="0.2">
      <c r="A51" s="746" t="s">
        <v>66</v>
      </c>
      <c r="B51" s="747"/>
      <c r="C51" s="747"/>
      <c r="D51" s="748"/>
    </row>
    <row r="52" spans="1:5" ht="13.5" customHeight="1" x14ac:dyDescent="0.2">
      <c r="A52" s="113">
        <v>3</v>
      </c>
      <c r="B52" s="24" t="s">
        <v>67</v>
      </c>
      <c r="C52" s="15" t="s">
        <v>68</v>
      </c>
      <c r="D52" s="16" t="s">
        <v>40</v>
      </c>
    </row>
    <row r="53" spans="1:5" x14ac:dyDescent="0.25">
      <c r="A53" s="117" t="s">
        <v>13</v>
      </c>
      <c r="B53" s="8" t="s">
        <v>69</v>
      </c>
      <c r="C53" s="31">
        <v>25</v>
      </c>
      <c r="D53" s="18">
        <f>ROUND(C53*$C$29,2)</f>
        <v>25</v>
      </c>
    </row>
    <row r="54" spans="1:5" x14ac:dyDescent="0.25">
      <c r="A54" s="117" t="s">
        <v>15</v>
      </c>
      <c r="B54" s="32" t="s">
        <v>70</v>
      </c>
      <c r="C54" s="31">
        <v>0</v>
      </c>
      <c r="D54" s="18">
        <f>ROUND(C54*$C$29,2)</f>
        <v>0</v>
      </c>
      <c r="E54" s="58"/>
    </row>
    <row r="55" spans="1:5" x14ac:dyDescent="0.25">
      <c r="A55" s="117" t="s">
        <v>18</v>
      </c>
      <c r="B55" s="8" t="s">
        <v>71</v>
      </c>
      <c r="C55" s="31">
        <v>0</v>
      </c>
      <c r="D55" s="18">
        <f>ROUND(C55*$C$29,2)</f>
        <v>0</v>
      </c>
    </row>
    <row r="56" spans="1:5" x14ac:dyDescent="0.25">
      <c r="A56" s="117" t="s">
        <v>20</v>
      </c>
      <c r="B56" s="32" t="s">
        <v>72</v>
      </c>
      <c r="C56" s="18">
        <v>5</v>
      </c>
      <c r="D56" s="18">
        <v>5</v>
      </c>
      <c r="E56" s="58"/>
    </row>
    <row r="57" spans="1:5" x14ac:dyDescent="0.25">
      <c r="A57" s="744" t="s">
        <v>73</v>
      </c>
      <c r="B57" s="745"/>
      <c r="C57" s="29"/>
      <c r="D57" s="23">
        <f>ROUND(SUM(D53:D56),2)</f>
        <v>30</v>
      </c>
      <c r="E57" s="58"/>
    </row>
    <row r="59" spans="1:5" ht="12.75" x14ac:dyDescent="0.2">
      <c r="A59" s="746" t="s">
        <v>74</v>
      </c>
      <c r="B59" s="747"/>
      <c r="C59" s="747"/>
      <c r="D59" s="748"/>
    </row>
    <row r="60" spans="1:5" ht="12.75" x14ac:dyDescent="0.2">
      <c r="A60" s="740" t="s">
        <v>75</v>
      </c>
      <c r="B60" s="740"/>
      <c r="C60" s="15" t="s">
        <v>68</v>
      </c>
      <c r="D60" s="16" t="s">
        <v>40</v>
      </c>
    </row>
    <row r="61" spans="1:5" x14ac:dyDescent="0.25">
      <c r="A61" s="116" t="s">
        <v>13</v>
      </c>
      <c r="B61" s="32" t="s">
        <v>76</v>
      </c>
      <c r="C61" s="29">
        <v>0.2</v>
      </c>
      <c r="D61" s="18">
        <f>ROUND($D$39*C61,2)</f>
        <v>187.23</v>
      </c>
    </row>
    <row r="62" spans="1:5" x14ac:dyDescent="0.25">
      <c r="A62" s="116" t="s">
        <v>15</v>
      </c>
      <c r="B62" s="32" t="s">
        <v>77</v>
      </c>
      <c r="C62" s="29">
        <v>1.4999999999999999E-2</v>
      </c>
      <c r="D62" s="18">
        <f>ROUND($D$39*C62,2)</f>
        <v>14.04</v>
      </c>
    </row>
    <row r="63" spans="1:5" x14ac:dyDescent="0.25">
      <c r="A63" s="116" t="s">
        <v>18</v>
      </c>
      <c r="B63" s="32" t="s">
        <v>78</v>
      </c>
      <c r="C63" s="29">
        <v>0.01</v>
      </c>
      <c r="D63" s="18">
        <f t="shared" ref="D63:D68" si="0">ROUND($D$39*C63,2)</f>
        <v>9.36</v>
      </c>
    </row>
    <row r="64" spans="1:5" x14ac:dyDescent="0.25">
      <c r="A64" s="116" t="s">
        <v>20</v>
      </c>
      <c r="B64" s="32" t="s">
        <v>79</v>
      </c>
      <c r="C64" s="29">
        <v>2E-3</v>
      </c>
      <c r="D64" s="18">
        <f t="shared" si="0"/>
        <v>1.87</v>
      </c>
    </row>
    <row r="65" spans="1:6" x14ac:dyDescent="0.25">
      <c r="A65" s="116" t="s">
        <v>45</v>
      </c>
      <c r="B65" s="32" t="s">
        <v>80</v>
      </c>
      <c r="C65" s="29">
        <v>2.5000000000000001E-2</v>
      </c>
      <c r="D65" s="18">
        <f t="shared" si="0"/>
        <v>23.4</v>
      </c>
    </row>
    <row r="66" spans="1:6" x14ac:dyDescent="0.25">
      <c r="A66" s="116" t="s">
        <v>47</v>
      </c>
      <c r="B66" s="32" t="s">
        <v>81</v>
      </c>
      <c r="C66" s="29">
        <v>0.08</v>
      </c>
      <c r="D66" s="18">
        <f t="shared" si="0"/>
        <v>74.89</v>
      </c>
    </row>
    <row r="67" spans="1:6" x14ac:dyDescent="0.25">
      <c r="A67" s="116" t="s">
        <v>49</v>
      </c>
      <c r="B67" s="32" t="s">
        <v>82</v>
      </c>
      <c r="C67" s="29">
        <f>2%*F71</f>
        <v>0.03</v>
      </c>
      <c r="D67" s="18">
        <f t="shared" si="0"/>
        <v>28.09</v>
      </c>
    </row>
    <row r="68" spans="1:6" x14ac:dyDescent="0.25">
      <c r="A68" s="116" t="s">
        <v>51</v>
      </c>
      <c r="B68" s="32" t="s">
        <v>83</v>
      </c>
      <c r="C68" s="29">
        <v>6.0000000000000001E-3</v>
      </c>
      <c r="D68" s="18">
        <f t="shared" si="0"/>
        <v>5.62</v>
      </c>
    </row>
    <row r="69" spans="1:6" ht="12.75" x14ac:dyDescent="0.2">
      <c r="A69" s="744" t="s">
        <v>84</v>
      </c>
      <c r="B69" s="750"/>
      <c r="C69" s="34">
        <f>SUM(C61:C68)</f>
        <v>0.3680000000000001</v>
      </c>
      <c r="D69" s="23">
        <f>ROUND(SUM(D61:D68),2)</f>
        <v>344.5</v>
      </c>
    </row>
    <row r="70" spans="1:6" x14ac:dyDescent="0.25">
      <c r="A70" s="1"/>
      <c r="B70" s="1"/>
    </row>
    <row r="71" spans="1:6" ht="12.75" x14ac:dyDescent="0.2">
      <c r="A71" s="740" t="s">
        <v>85</v>
      </c>
      <c r="B71" s="740"/>
      <c r="C71" s="15" t="s">
        <v>68</v>
      </c>
      <c r="D71" s="16" t="s">
        <v>40</v>
      </c>
      <c r="F71" s="59">
        <v>1.5</v>
      </c>
    </row>
    <row r="72" spans="1:6" x14ac:dyDescent="0.25">
      <c r="A72" s="116" t="s">
        <v>13</v>
      </c>
      <c r="B72" s="32" t="s">
        <v>87</v>
      </c>
      <c r="C72" s="29">
        <v>8.3299999999999999E-2</v>
      </c>
      <c r="D72" s="18">
        <f>ROUND($D$39*C72,2)</f>
        <v>77.98</v>
      </c>
    </row>
    <row r="73" spans="1:6" x14ac:dyDescent="0.25">
      <c r="A73" s="116" t="s">
        <v>15</v>
      </c>
      <c r="B73" s="32" t="s">
        <v>88</v>
      </c>
      <c r="C73" s="29">
        <f>C88/3</f>
        <v>2.7766666666666665E-2</v>
      </c>
      <c r="D73" s="18">
        <f>ROUND($D$39*C73,2)</f>
        <v>25.99</v>
      </c>
    </row>
    <row r="74" spans="1:6" ht="12.75" x14ac:dyDescent="0.2">
      <c r="A74" s="729" t="s">
        <v>89</v>
      </c>
      <c r="B74" s="729"/>
      <c r="C74" s="34">
        <f>SUM(C72:C73)</f>
        <v>0.11106666666666666</v>
      </c>
      <c r="D74" s="23">
        <f>ROUND(SUM(D72:D73),2)</f>
        <v>103.97</v>
      </c>
    </row>
    <row r="75" spans="1:6" x14ac:dyDescent="0.25">
      <c r="A75" s="116" t="s">
        <v>18</v>
      </c>
      <c r="B75" s="32" t="s">
        <v>90</v>
      </c>
      <c r="C75" s="29">
        <f>C69*C74</f>
        <v>4.0872533333333343E-2</v>
      </c>
      <c r="D75" s="18">
        <f>ROUND($D$39*C75,2)</f>
        <v>38.26</v>
      </c>
    </row>
    <row r="76" spans="1:6" ht="12.75" x14ac:dyDescent="0.2">
      <c r="A76" s="729" t="s">
        <v>91</v>
      </c>
      <c r="B76" s="729"/>
      <c r="C76" s="34">
        <f>C75+C74</f>
        <v>0.1519392</v>
      </c>
      <c r="D76" s="23">
        <f>ROUND(D75+D74,2)</f>
        <v>142.22999999999999</v>
      </c>
    </row>
    <row r="77" spans="1:6" x14ac:dyDescent="0.25">
      <c r="A77" s="1"/>
      <c r="B77" s="1"/>
      <c r="E77" s="60"/>
    </row>
    <row r="78" spans="1:6" ht="12.75" x14ac:dyDescent="0.2">
      <c r="A78" s="737" t="s">
        <v>92</v>
      </c>
      <c r="B78" s="739"/>
      <c r="C78" s="15" t="s">
        <v>68</v>
      </c>
      <c r="D78" s="16" t="s">
        <v>40</v>
      </c>
    </row>
    <row r="79" spans="1:6" x14ac:dyDescent="0.25">
      <c r="A79" s="116" t="s">
        <v>13</v>
      </c>
      <c r="B79" s="32" t="s">
        <v>93</v>
      </c>
      <c r="C79" s="29">
        <v>1E-3</v>
      </c>
      <c r="D79" s="18">
        <f t="shared" ref="D79:D84" si="1">ROUND($D$39*C79,2)</f>
        <v>0.94</v>
      </c>
    </row>
    <row r="80" spans="1:6" x14ac:dyDescent="0.25">
      <c r="A80" s="116" t="s">
        <v>15</v>
      </c>
      <c r="B80" s="32" t="s">
        <v>94</v>
      </c>
      <c r="C80" s="29">
        <f>C66*C79</f>
        <v>8.0000000000000007E-5</v>
      </c>
      <c r="D80" s="18">
        <f t="shared" si="1"/>
        <v>7.0000000000000007E-2</v>
      </c>
    </row>
    <row r="81" spans="1:5" x14ac:dyDescent="0.25">
      <c r="A81" s="116" t="s">
        <v>18</v>
      </c>
      <c r="B81" s="32" t="s">
        <v>95</v>
      </c>
      <c r="C81" s="29">
        <f>C66*10%</f>
        <v>8.0000000000000002E-3</v>
      </c>
      <c r="D81" s="18">
        <f t="shared" si="1"/>
        <v>7.49</v>
      </c>
    </row>
    <row r="82" spans="1:5" x14ac:dyDescent="0.25">
      <c r="A82" s="117" t="s">
        <v>20</v>
      </c>
      <c r="B82" s="8" t="s">
        <v>96</v>
      </c>
      <c r="C82" s="29">
        <v>1.9400000000000001E-2</v>
      </c>
      <c r="D82" s="18">
        <f t="shared" si="1"/>
        <v>18.16</v>
      </c>
    </row>
    <row r="83" spans="1:5" x14ac:dyDescent="0.25">
      <c r="A83" s="117" t="s">
        <v>45</v>
      </c>
      <c r="B83" s="8" t="s">
        <v>97</v>
      </c>
      <c r="C83" s="29">
        <f>C69*C82</f>
        <v>7.1392000000000027E-3</v>
      </c>
      <c r="D83" s="18">
        <f t="shared" si="1"/>
        <v>6.68</v>
      </c>
    </row>
    <row r="84" spans="1:5" x14ac:dyDescent="0.25">
      <c r="A84" s="117" t="s">
        <v>47</v>
      </c>
      <c r="B84" s="8" t="s">
        <v>98</v>
      </c>
      <c r="C84" s="29">
        <v>4.4200000000000003E-2</v>
      </c>
      <c r="D84" s="18">
        <f t="shared" si="1"/>
        <v>41.38</v>
      </c>
    </row>
    <row r="85" spans="1:5" ht="12.75" x14ac:dyDescent="0.2">
      <c r="A85" s="729" t="s">
        <v>91</v>
      </c>
      <c r="B85" s="729"/>
      <c r="C85" s="34">
        <f>SUM(C79:C84)</f>
        <v>7.9819200000000007E-2</v>
      </c>
      <c r="D85" s="23">
        <f>ROUND(SUM(D79:D84),2)</f>
        <v>74.72</v>
      </c>
    </row>
    <row r="86" spans="1:5" x14ac:dyDescent="0.25">
      <c r="E86" s="60"/>
    </row>
    <row r="87" spans="1:5" ht="12.75" x14ac:dyDescent="0.2">
      <c r="A87" s="737" t="s">
        <v>99</v>
      </c>
      <c r="B87" s="739"/>
      <c r="C87" s="15" t="s">
        <v>68</v>
      </c>
      <c r="D87" s="16" t="s">
        <v>40</v>
      </c>
      <c r="E87" s="60"/>
    </row>
    <row r="88" spans="1:5" x14ac:dyDescent="0.25">
      <c r="A88" s="117" t="s">
        <v>13</v>
      </c>
      <c r="B88" s="8" t="s">
        <v>100</v>
      </c>
      <c r="C88" s="29">
        <v>8.3299999999999999E-2</v>
      </c>
      <c r="D88" s="18">
        <f t="shared" ref="D88:D95" si="2">ROUND($D$39*C88,2)</f>
        <v>77.98</v>
      </c>
      <c r="E88" s="60"/>
    </row>
    <row r="89" spans="1:5" x14ac:dyDescent="0.25">
      <c r="A89" s="117" t="s">
        <v>15</v>
      </c>
      <c r="B89" s="8" t="s">
        <v>101</v>
      </c>
      <c r="C89" s="29">
        <v>2.3999999999999998E-3</v>
      </c>
      <c r="D89" s="18">
        <f t="shared" si="2"/>
        <v>2.25</v>
      </c>
    </row>
    <row r="90" spans="1:5" x14ac:dyDescent="0.25">
      <c r="A90" s="117" t="s">
        <v>18</v>
      </c>
      <c r="B90" s="32" t="s">
        <v>102</v>
      </c>
      <c r="C90" s="29">
        <v>2.0000000000000001E-4</v>
      </c>
      <c r="D90" s="18">
        <f t="shared" si="2"/>
        <v>0.19</v>
      </c>
    </row>
    <row r="91" spans="1:5" x14ac:dyDescent="0.25">
      <c r="A91" s="117" t="s">
        <v>20</v>
      </c>
      <c r="B91" s="8" t="s">
        <v>103</v>
      </c>
      <c r="C91" s="29">
        <v>1.4E-3</v>
      </c>
      <c r="D91" s="18">
        <f t="shared" si="2"/>
        <v>1.31</v>
      </c>
    </row>
    <row r="92" spans="1:5" x14ac:dyDescent="0.25">
      <c r="A92" s="117" t="s">
        <v>45</v>
      </c>
      <c r="B92" s="8" t="s">
        <v>104</v>
      </c>
      <c r="C92" s="29">
        <v>4.0000000000000002E-4</v>
      </c>
      <c r="D92" s="18">
        <f t="shared" si="2"/>
        <v>0.37</v>
      </c>
    </row>
    <row r="93" spans="1:5" x14ac:dyDescent="0.25">
      <c r="A93" s="117" t="s">
        <v>47</v>
      </c>
      <c r="B93" s="32" t="s">
        <v>105</v>
      </c>
      <c r="C93" s="29">
        <v>2.0000000000000001E-4</v>
      </c>
      <c r="D93" s="18">
        <f t="shared" si="2"/>
        <v>0.19</v>
      </c>
    </row>
    <row r="94" spans="1:5" ht="12.75" x14ac:dyDescent="0.2">
      <c r="A94" s="729" t="s">
        <v>89</v>
      </c>
      <c r="B94" s="729"/>
      <c r="C94" s="34">
        <f>SUM(C88:C93)</f>
        <v>8.7900000000000006E-2</v>
      </c>
      <c r="D94" s="23">
        <f t="shared" si="2"/>
        <v>82.29</v>
      </c>
    </row>
    <row r="95" spans="1:5" x14ac:dyDescent="0.25">
      <c r="A95" s="117" t="s">
        <v>49</v>
      </c>
      <c r="B95" s="8" t="s">
        <v>106</v>
      </c>
      <c r="C95" s="29">
        <f>C69*C94</f>
        <v>3.2347200000000013E-2</v>
      </c>
      <c r="D95" s="18">
        <f t="shared" si="2"/>
        <v>30.28</v>
      </c>
    </row>
    <row r="96" spans="1:5" ht="12.75" x14ac:dyDescent="0.2">
      <c r="A96" s="729" t="s">
        <v>91</v>
      </c>
      <c r="B96" s="729"/>
      <c r="C96" s="34">
        <f>C95+C94</f>
        <v>0.12024720000000003</v>
      </c>
      <c r="D96" s="23">
        <f>ROUND(D95+D94,2)</f>
        <v>112.57</v>
      </c>
    </row>
    <row r="98" spans="1:5" ht="12.75" x14ac:dyDescent="0.2">
      <c r="A98" s="736" t="s">
        <v>107</v>
      </c>
      <c r="B98" s="736"/>
      <c r="C98" s="736"/>
      <c r="D98" s="736"/>
    </row>
    <row r="99" spans="1:5" ht="12.75" x14ac:dyDescent="0.2">
      <c r="A99" s="113">
        <v>4</v>
      </c>
      <c r="B99" s="740" t="s">
        <v>108</v>
      </c>
      <c r="C99" s="740"/>
      <c r="D99" s="16" t="s">
        <v>40</v>
      </c>
    </row>
    <row r="100" spans="1:5" x14ac:dyDescent="0.25">
      <c r="A100" s="117" t="s">
        <v>109</v>
      </c>
      <c r="B100" s="37" t="s">
        <v>110</v>
      </c>
      <c r="C100" s="38">
        <f>C76</f>
        <v>0.1519392</v>
      </c>
      <c r="D100" s="18">
        <f>ROUND($D$39*C100,2)</f>
        <v>142.24</v>
      </c>
      <c r="E100" s="60"/>
    </row>
    <row r="101" spans="1:5" x14ac:dyDescent="0.25">
      <c r="A101" s="117" t="s">
        <v>111</v>
      </c>
      <c r="B101" s="37" t="s">
        <v>112</v>
      </c>
      <c r="C101" s="38">
        <f>C69</f>
        <v>0.3680000000000001</v>
      </c>
      <c r="D101" s="18">
        <f>ROUND($D$39*C101,2)</f>
        <v>344.51</v>
      </c>
    </row>
    <row r="102" spans="1:5" x14ac:dyDescent="0.25">
      <c r="A102" s="116" t="s">
        <v>113</v>
      </c>
      <c r="B102" s="37" t="s">
        <v>114</v>
      </c>
      <c r="C102" s="38">
        <f>C85</f>
        <v>7.9819200000000007E-2</v>
      </c>
      <c r="D102" s="18">
        <f>ROUND($D$39*C102,2)</f>
        <v>74.72</v>
      </c>
    </row>
    <row r="103" spans="1:5" x14ac:dyDescent="0.25">
      <c r="A103" s="116" t="s">
        <v>115</v>
      </c>
      <c r="B103" s="37" t="s">
        <v>116</v>
      </c>
      <c r="C103" s="38">
        <f>C96</f>
        <v>0.12024720000000003</v>
      </c>
      <c r="D103" s="18">
        <f>ROUND($D$39*C103,2)</f>
        <v>112.57</v>
      </c>
    </row>
    <row r="104" spans="1:5" x14ac:dyDescent="0.25">
      <c r="A104" s="116" t="s">
        <v>117</v>
      </c>
      <c r="B104" s="37" t="s">
        <v>118</v>
      </c>
      <c r="C104" s="114"/>
      <c r="D104" s="18"/>
    </row>
    <row r="105" spans="1:5" ht="12.75" x14ac:dyDescent="0.2">
      <c r="A105" s="117"/>
      <c r="B105" s="115" t="s">
        <v>91</v>
      </c>
      <c r="C105" s="41">
        <f>SUM(C100:C104)</f>
        <v>0.72000560000000002</v>
      </c>
      <c r="D105" s="23">
        <f>ROUND($D$39*C105,2)</f>
        <v>674.05</v>
      </c>
    </row>
    <row r="106" spans="1:5" x14ac:dyDescent="0.25">
      <c r="D106" s="42">
        <f>ROUND(D105+D57+D49+D39,2)</f>
        <v>2029.22</v>
      </c>
    </row>
    <row r="107" spans="1:5" ht="12.75" x14ac:dyDescent="0.2">
      <c r="A107" s="113">
        <v>5</v>
      </c>
      <c r="B107" s="24" t="s">
        <v>119</v>
      </c>
      <c r="C107" s="15" t="s">
        <v>68</v>
      </c>
      <c r="D107" s="16" t="s">
        <v>40</v>
      </c>
      <c r="E107" s="60"/>
    </row>
    <row r="108" spans="1:5" x14ac:dyDescent="0.25">
      <c r="A108" s="117" t="s">
        <v>13</v>
      </c>
      <c r="B108" s="8" t="s">
        <v>120</v>
      </c>
      <c r="C108" s="29">
        <v>0.01</v>
      </c>
      <c r="D108" s="18">
        <f>ROUND($D$106*C108,2)</f>
        <v>20.29</v>
      </c>
    </row>
    <row r="109" spans="1:5" x14ac:dyDescent="0.25">
      <c r="A109" s="117" t="s">
        <v>15</v>
      </c>
      <c r="B109" s="8" t="s">
        <v>121</v>
      </c>
      <c r="C109" s="29"/>
      <c r="D109" s="18"/>
      <c r="E109" s="58"/>
    </row>
    <row r="110" spans="1:5" x14ac:dyDescent="0.25">
      <c r="A110" s="43" t="s">
        <v>122</v>
      </c>
      <c r="B110" s="8" t="s">
        <v>123</v>
      </c>
      <c r="C110" s="29">
        <v>0</v>
      </c>
      <c r="D110" s="18">
        <v>0</v>
      </c>
    </row>
    <row r="111" spans="1:5" x14ac:dyDescent="0.25">
      <c r="A111" s="43" t="s">
        <v>124</v>
      </c>
      <c r="B111" s="8" t="s">
        <v>125</v>
      </c>
      <c r="C111" s="29">
        <v>0</v>
      </c>
      <c r="D111" s="18">
        <v>0</v>
      </c>
    </row>
    <row r="112" spans="1:5" x14ac:dyDescent="0.25">
      <c r="A112" s="43" t="s">
        <v>126</v>
      </c>
      <c r="B112" s="8" t="s">
        <v>127</v>
      </c>
      <c r="C112" s="29">
        <v>1.6500000000000001E-2</v>
      </c>
      <c r="D112" s="18">
        <f>ROUND($F$115*C112,2)</f>
        <v>38.729999999999997</v>
      </c>
    </row>
    <row r="113" spans="1:9" x14ac:dyDescent="0.25">
      <c r="A113" s="43" t="s">
        <v>128</v>
      </c>
      <c r="B113" s="8" t="s">
        <v>129</v>
      </c>
      <c r="C113" s="29">
        <v>7.5999999999999998E-2</v>
      </c>
      <c r="D113" s="18">
        <f>ROUND($F$115*C113,2)</f>
        <v>178.39</v>
      </c>
      <c r="F113" s="61">
        <f>SUM(C110:C114)</f>
        <v>0.1225</v>
      </c>
    </row>
    <row r="114" spans="1:9" x14ac:dyDescent="0.25">
      <c r="A114" s="43" t="s">
        <v>130</v>
      </c>
      <c r="B114" s="8" t="s">
        <v>131</v>
      </c>
      <c r="C114" s="45">
        <v>0.03</v>
      </c>
      <c r="D114" s="18">
        <f>ROUND($F$115*C114,2)</f>
        <v>70.42</v>
      </c>
      <c r="F114" s="62">
        <f>ROUND(D115+D108+D106,2)</f>
        <v>2059.7600000000002</v>
      </c>
    </row>
    <row r="115" spans="1:9" x14ac:dyDescent="0.25">
      <c r="A115" s="117" t="s">
        <v>18</v>
      </c>
      <c r="B115" s="8" t="s">
        <v>132</v>
      </c>
      <c r="C115" s="29">
        <v>5.0000000000000001E-3</v>
      </c>
      <c r="D115" s="18">
        <f>ROUND(($D$106+D108)*C115,2)</f>
        <v>10.25</v>
      </c>
      <c r="F115" s="63">
        <f>ROUND(F114/(1-F113),2)</f>
        <v>2347.3000000000002</v>
      </c>
    </row>
    <row r="116" spans="1:9" ht="12.75" x14ac:dyDescent="0.2">
      <c r="A116" s="744" t="s">
        <v>91</v>
      </c>
      <c r="B116" s="749"/>
      <c r="C116" s="745"/>
      <c r="D116" s="23">
        <f>ROUND(SUM(D108:D115),2)</f>
        <v>318.08</v>
      </c>
    </row>
    <row r="117" spans="1:9" x14ac:dyDescent="0.25">
      <c r="D117" s="42"/>
    </row>
    <row r="118" spans="1:9" ht="12.75" x14ac:dyDescent="0.2">
      <c r="A118" s="736" t="s">
        <v>133</v>
      </c>
      <c r="B118" s="736"/>
      <c r="C118" s="736"/>
      <c r="D118" s="736"/>
    </row>
    <row r="119" spans="1:9" ht="12.75" x14ac:dyDescent="0.2">
      <c r="A119" s="729" t="s">
        <v>134</v>
      </c>
      <c r="B119" s="729"/>
      <c r="C119" s="729"/>
      <c r="D119" s="729"/>
    </row>
    <row r="120" spans="1:9" x14ac:dyDescent="0.25">
      <c r="A120" s="117" t="s">
        <v>13</v>
      </c>
      <c r="B120" s="731" t="s">
        <v>135</v>
      </c>
      <c r="C120" s="731"/>
      <c r="D120" s="18">
        <f>D39</f>
        <v>936.17</v>
      </c>
    </row>
    <row r="121" spans="1:9" x14ac:dyDescent="0.25">
      <c r="A121" s="117" t="s">
        <v>15</v>
      </c>
      <c r="B121" s="731" t="s">
        <v>136</v>
      </c>
      <c r="C121" s="731"/>
      <c r="D121" s="18">
        <f>D49</f>
        <v>389</v>
      </c>
    </row>
    <row r="122" spans="1:9" x14ac:dyDescent="0.25">
      <c r="A122" s="117" t="s">
        <v>18</v>
      </c>
      <c r="B122" s="731" t="s">
        <v>137</v>
      </c>
      <c r="C122" s="731"/>
      <c r="D122" s="18">
        <f>D57</f>
        <v>30</v>
      </c>
    </row>
    <row r="123" spans="1:9" x14ac:dyDescent="0.25">
      <c r="A123" s="117" t="s">
        <v>20</v>
      </c>
      <c r="B123" s="731" t="s">
        <v>138</v>
      </c>
      <c r="C123" s="731"/>
      <c r="D123" s="18">
        <f>D105</f>
        <v>674.05</v>
      </c>
    </row>
    <row r="124" spans="1:9" ht="12.75" x14ac:dyDescent="0.2">
      <c r="A124" s="729" t="s">
        <v>89</v>
      </c>
      <c r="B124" s="729"/>
      <c r="C124" s="729"/>
      <c r="D124" s="23">
        <f>ROUND(SUM(D120:D123),2)</f>
        <v>2029.22</v>
      </c>
    </row>
    <row r="125" spans="1:9" ht="18.75" x14ac:dyDescent="0.3">
      <c r="A125" s="117" t="s">
        <v>45</v>
      </c>
      <c r="B125" s="751" t="s">
        <v>139</v>
      </c>
      <c r="C125" s="751"/>
      <c r="D125" s="18">
        <f>D116</f>
        <v>318.08</v>
      </c>
      <c r="F125" s="64"/>
      <c r="G125" s="1"/>
      <c r="H125" s="1"/>
    </row>
    <row r="126" spans="1:9" ht="18.75" x14ac:dyDescent="0.3">
      <c r="A126" s="729" t="s">
        <v>140</v>
      </c>
      <c r="B126" s="729"/>
      <c r="C126" s="729"/>
      <c r="D126" s="23">
        <f>ROUND(D125+D124,2)</f>
        <v>2347.3000000000002</v>
      </c>
      <c r="F126" s="64"/>
    </row>
    <row r="127" spans="1:9" ht="18.75" x14ac:dyDescent="0.3">
      <c r="F127" s="64"/>
    </row>
    <row r="128" spans="1:9" ht="18.75" x14ac:dyDescent="0.3">
      <c r="A128" s="727" t="s">
        <v>141</v>
      </c>
      <c r="B128" s="727"/>
      <c r="C128" s="727"/>
      <c r="D128" s="727"/>
      <c r="F128" s="64"/>
      <c r="I128" s="1"/>
    </row>
    <row r="129" spans="1:9" ht="18.75" x14ac:dyDescent="0.3">
      <c r="A129" s="731" t="s">
        <v>142</v>
      </c>
      <c r="B129" s="731"/>
      <c r="C129" s="731"/>
      <c r="D129" s="18"/>
      <c r="F129" s="64"/>
      <c r="I129" s="1"/>
    </row>
    <row r="130" spans="1:9" ht="18.75" x14ac:dyDescent="0.3">
      <c r="A130" s="731" t="s">
        <v>143</v>
      </c>
      <c r="B130" s="731"/>
      <c r="C130" s="731"/>
      <c r="D130" s="18">
        <f>D126</f>
        <v>2347.3000000000002</v>
      </c>
      <c r="E130" s="65"/>
      <c r="F130" s="64"/>
      <c r="I130" s="1"/>
    </row>
    <row r="131" spans="1:9" ht="18.75" x14ac:dyDescent="0.3">
      <c r="A131" s="731" t="s">
        <v>144</v>
      </c>
      <c r="B131" s="731"/>
      <c r="C131" s="731"/>
      <c r="D131" s="18">
        <v>1</v>
      </c>
      <c r="E131" s="65"/>
      <c r="F131" s="64"/>
      <c r="I131" s="1"/>
    </row>
    <row r="132" spans="1:9" ht="18.75" x14ac:dyDescent="0.3">
      <c r="A132" s="731" t="s">
        <v>145</v>
      </c>
      <c r="B132" s="731"/>
      <c r="C132" s="731"/>
      <c r="D132" s="18">
        <f>ROUND(D131*D130,2)</f>
        <v>2347.3000000000002</v>
      </c>
      <c r="E132" s="65"/>
      <c r="F132" s="64"/>
      <c r="I132" s="1"/>
    </row>
    <row r="133" spans="1:9" ht="18.75" x14ac:dyDescent="0.3">
      <c r="A133" s="731" t="s">
        <v>146</v>
      </c>
      <c r="B133" s="731"/>
      <c r="C133" s="731"/>
      <c r="D133" s="18">
        <v>1</v>
      </c>
      <c r="E133" s="65"/>
      <c r="F133" s="64"/>
      <c r="I133" s="1"/>
    </row>
    <row r="134" spans="1:9" ht="18.75" x14ac:dyDescent="0.3">
      <c r="A134" s="740" t="s">
        <v>147</v>
      </c>
      <c r="B134" s="740"/>
      <c r="C134" s="740"/>
      <c r="D134" s="23">
        <f>ROUND(D133*D132,2)</f>
        <v>2347.3000000000002</v>
      </c>
      <c r="E134" s="65"/>
      <c r="F134" s="64"/>
    </row>
    <row r="135" spans="1:9" ht="18.75" x14ac:dyDescent="0.3">
      <c r="E135" s="65"/>
      <c r="F135" s="64"/>
    </row>
    <row r="136" spans="1:9" ht="18.75" x14ac:dyDescent="0.3">
      <c r="A136" s="727" t="s">
        <v>148</v>
      </c>
      <c r="B136" s="727"/>
      <c r="C136" s="727"/>
      <c r="D136" s="727"/>
      <c r="F136" s="64"/>
    </row>
    <row r="137" spans="1:9" x14ac:dyDescent="0.25">
      <c r="A137" s="117" t="s">
        <v>13</v>
      </c>
      <c r="B137" s="731" t="s">
        <v>149</v>
      </c>
      <c r="C137" s="731"/>
      <c r="D137" s="18">
        <f>D130</f>
        <v>2347.3000000000002</v>
      </c>
    </row>
    <row r="138" spans="1:9" x14ac:dyDescent="0.25">
      <c r="A138" s="117" t="s">
        <v>15</v>
      </c>
      <c r="B138" s="731" t="s">
        <v>150</v>
      </c>
      <c r="C138" s="731"/>
      <c r="D138" s="18">
        <f>D134</f>
        <v>2347.3000000000002</v>
      </c>
    </row>
    <row r="139" spans="1:9" ht="12.75" x14ac:dyDescent="0.2">
      <c r="A139" s="113" t="s">
        <v>18</v>
      </c>
      <c r="B139" s="740" t="s">
        <v>151</v>
      </c>
      <c r="C139" s="740"/>
      <c r="D139" s="23">
        <f>ROUND(D138*12,2)</f>
        <v>28167.599999999999</v>
      </c>
      <c r="F139" s="9"/>
    </row>
    <row r="140" spans="1:9" x14ac:dyDescent="0.25">
      <c r="A140" s="30"/>
      <c r="F140" s="9"/>
    </row>
    <row r="141" spans="1:9" x14ac:dyDescent="0.25">
      <c r="A141" s="30"/>
    </row>
    <row r="142" spans="1:9" x14ac:dyDescent="0.25">
      <c r="A142" s="753" t="s">
        <v>484</v>
      </c>
      <c r="B142" s="754"/>
    </row>
    <row r="143" spans="1:9" x14ac:dyDescent="0.25">
      <c r="A143" s="30"/>
      <c r="F143" s="9"/>
    </row>
    <row r="144" spans="1:9" x14ac:dyDescent="0.25">
      <c r="A144" s="30"/>
      <c r="F144" s="9"/>
      <c r="G144" s="50"/>
    </row>
    <row r="145" spans="1:8" x14ac:dyDescent="0.25">
      <c r="A145" s="755" t="s">
        <v>153</v>
      </c>
      <c r="B145" s="755"/>
      <c r="F145" s="9"/>
      <c r="G145" s="51"/>
    </row>
    <row r="146" spans="1:8" x14ac:dyDescent="0.25">
      <c r="A146" s="756" t="s">
        <v>154</v>
      </c>
      <c r="B146" s="756"/>
      <c r="F146" s="9"/>
    </row>
    <row r="147" spans="1:8" x14ac:dyDescent="0.25">
      <c r="A147" s="752" t="s">
        <v>155</v>
      </c>
      <c r="B147" s="752"/>
      <c r="F147" s="9"/>
    </row>
    <row r="148" spans="1:8" x14ac:dyDescent="0.25">
      <c r="F148" s="52"/>
      <c r="H148" s="1"/>
    </row>
    <row r="149" spans="1:8" x14ac:dyDescent="0.25">
      <c r="F149" s="9"/>
    </row>
    <row r="150" spans="1:8" x14ac:dyDescent="0.25">
      <c r="F150" s="9"/>
    </row>
    <row r="151" spans="1:8" x14ac:dyDescent="0.25">
      <c r="F151" s="9"/>
    </row>
    <row r="152" spans="1:8" x14ac:dyDescent="0.25">
      <c r="F152" s="9"/>
    </row>
    <row r="153" spans="1:8" x14ac:dyDescent="0.25">
      <c r="F153" s="9"/>
    </row>
    <row r="154" spans="1:8" x14ac:dyDescent="0.25">
      <c r="F154" s="9"/>
    </row>
    <row r="155" spans="1:8" x14ac:dyDescent="0.25">
      <c r="F155" s="9"/>
    </row>
    <row r="156" spans="1:8" x14ac:dyDescent="0.25">
      <c r="F156" s="52"/>
    </row>
    <row r="157" spans="1:8" x14ac:dyDescent="0.25">
      <c r="F157" s="9"/>
    </row>
  </sheetData>
  <mergeCells count="67">
    <mergeCell ref="A147:B147"/>
    <mergeCell ref="A131:C131"/>
    <mergeCell ref="A132:C132"/>
    <mergeCell ref="A133:C133"/>
    <mergeCell ref="A134:C134"/>
    <mergeCell ref="A136:D136"/>
    <mergeCell ref="B137:C137"/>
    <mergeCell ref="B138:C138"/>
    <mergeCell ref="B139:C139"/>
    <mergeCell ref="A142:B142"/>
    <mergeCell ref="A145:B145"/>
    <mergeCell ref="A146:B146"/>
    <mergeCell ref="A130:C130"/>
    <mergeCell ref="A118:D118"/>
    <mergeCell ref="A119:D119"/>
    <mergeCell ref="B120:C120"/>
    <mergeCell ref="B121:C121"/>
    <mergeCell ref="B122:C122"/>
    <mergeCell ref="B123:C123"/>
    <mergeCell ref="A124:C124"/>
    <mergeCell ref="B125:C125"/>
    <mergeCell ref="A126:C126"/>
    <mergeCell ref="A128:D128"/>
    <mergeCell ref="A129:C129"/>
    <mergeCell ref="A116:C116"/>
    <mergeCell ref="A69:B69"/>
    <mergeCell ref="A71:B71"/>
    <mergeCell ref="A74:B74"/>
    <mergeCell ref="A76:B76"/>
    <mergeCell ref="A78:B78"/>
    <mergeCell ref="A85:B85"/>
    <mergeCell ref="A87:B87"/>
    <mergeCell ref="A94:B94"/>
    <mergeCell ref="A96:B96"/>
    <mergeCell ref="A98:D98"/>
    <mergeCell ref="B99:C99"/>
    <mergeCell ref="A60:B60"/>
    <mergeCell ref="C23:D23"/>
    <mergeCell ref="C24:D24"/>
    <mergeCell ref="C25:D25"/>
    <mergeCell ref="C26:D26"/>
    <mergeCell ref="A27:D27"/>
    <mergeCell ref="A39:B39"/>
    <mergeCell ref="A41:D41"/>
    <mergeCell ref="A49:B49"/>
    <mergeCell ref="A51:D51"/>
    <mergeCell ref="A57:B57"/>
    <mergeCell ref="A59:D59"/>
    <mergeCell ref="C22:D22"/>
    <mergeCell ref="A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9:D19"/>
    <mergeCell ref="A20:D20"/>
    <mergeCell ref="A21:D21"/>
    <mergeCell ref="C11:D11"/>
    <mergeCell ref="A1:D1"/>
    <mergeCell ref="A7:D7"/>
    <mergeCell ref="C8:D8"/>
    <mergeCell ref="C9:D9"/>
    <mergeCell ref="C10:D10"/>
  </mergeCells>
  <dataValidations count="1">
    <dataValidation type="list" allowBlank="1" showInputMessage="1" showErrorMessage="1" sqref="WVK983067:WVL983067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C26:D26">
      <formula1>#REF!</formula1>
    </dataValidation>
  </dataValidations>
  <pageMargins left="0.78740157480314965" right="0.78740157480314965" top="1.3779527559055118" bottom="0.98425196850393704" header="0.51181102362204722" footer="0.51181102362204722"/>
  <pageSetup paperSize="9" scale="34" orientation="portrait" r:id="rId1"/>
  <headerFooter alignWithMargins="0"/>
  <rowBreaks count="1" manualBreakCount="1">
    <brk id="139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33</vt:i4>
      </vt:variant>
    </vt:vector>
  </HeadingPairs>
  <TitlesOfParts>
    <vt:vector size="73" baseType="lpstr">
      <vt:lpstr>REPACTUAÇÃO SIEMACO 2013</vt:lpstr>
      <vt:lpstr>ADITIVO E APOSTILAMENTO</vt:lpstr>
      <vt:lpstr>Resumo PARCIAL</vt:lpstr>
      <vt:lpstr>Super 2</vt:lpstr>
      <vt:lpstr>Recepção 2</vt:lpstr>
      <vt:lpstr>Recepção 3</vt:lpstr>
      <vt:lpstr>Recepção 4</vt:lpstr>
      <vt:lpstr>Copeira 2</vt:lpstr>
      <vt:lpstr>Copeira 3</vt:lpstr>
      <vt:lpstr>Copeira 4</vt:lpstr>
      <vt:lpstr>Porteiro 2</vt:lpstr>
      <vt:lpstr>Porteiro 3</vt:lpstr>
      <vt:lpstr>Porteiro 4</vt:lpstr>
      <vt:lpstr>Porteiro 5</vt:lpstr>
      <vt:lpstr>ASG 2</vt:lpstr>
      <vt:lpstr>ASG 3</vt:lpstr>
      <vt:lpstr>ASG 4</vt:lpstr>
      <vt:lpstr>ASG 5</vt:lpstr>
      <vt:lpstr>Caldereiro 3</vt:lpstr>
      <vt:lpstr>Almoxarife 2</vt:lpstr>
      <vt:lpstr>Oficial 2</vt:lpstr>
      <vt:lpstr>Oficial 3</vt:lpstr>
      <vt:lpstr>Oficial 4</vt:lpstr>
      <vt:lpstr>Oficial 5</vt:lpstr>
      <vt:lpstr>Op. de maq. 2</vt:lpstr>
      <vt:lpstr>Op.de maq. 3</vt:lpstr>
      <vt:lpstr>Op.de maq. 4</vt:lpstr>
      <vt:lpstr>Op.de maq. 5</vt:lpstr>
      <vt:lpstr>Cerim. 2</vt:lpstr>
      <vt:lpstr>Orçam 2</vt:lpstr>
      <vt:lpstr>Jardineiro 3</vt:lpstr>
      <vt:lpstr>Mat Maq Costal</vt:lpstr>
      <vt:lpstr>Mat Jard</vt:lpstr>
      <vt:lpstr>Manut.</vt:lpstr>
      <vt:lpstr>Epis</vt:lpstr>
      <vt:lpstr>Uniforme 1</vt:lpstr>
      <vt:lpstr>Uniforme 2</vt:lpstr>
      <vt:lpstr>Memoria de calculo</vt:lpstr>
      <vt:lpstr>Memoria de calculo Lucro e Desp</vt:lpstr>
      <vt:lpstr>Plan1</vt:lpstr>
      <vt:lpstr>'ADITIVO E APOSTILAMENTO'!Area_de_impressao</vt:lpstr>
      <vt:lpstr>'Almoxarife 2'!Area_de_impressao</vt:lpstr>
      <vt:lpstr>'ASG 2'!Area_de_impressao</vt:lpstr>
      <vt:lpstr>'ASG 3'!Area_de_impressao</vt:lpstr>
      <vt:lpstr>'ASG 4'!Area_de_impressao</vt:lpstr>
      <vt:lpstr>'ASG 5'!Area_de_impressao</vt:lpstr>
      <vt:lpstr>'Caldereiro 3'!Area_de_impressao</vt:lpstr>
      <vt:lpstr>'Cerim. 2'!Area_de_impressao</vt:lpstr>
      <vt:lpstr>'Copeira 2'!Area_de_impressao</vt:lpstr>
      <vt:lpstr>'Copeira 3'!Area_de_impressao</vt:lpstr>
      <vt:lpstr>'Copeira 4'!Area_de_impressao</vt:lpstr>
      <vt:lpstr>'Jardineiro 3'!Area_de_impressao</vt:lpstr>
      <vt:lpstr>'Memoria de calculo'!Area_de_impressao</vt:lpstr>
      <vt:lpstr>'Memoria de calculo Lucro e Desp'!Area_de_impressao</vt:lpstr>
      <vt:lpstr>'Oficial 2'!Area_de_impressao</vt:lpstr>
      <vt:lpstr>'Oficial 3'!Area_de_impressao</vt:lpstr>
      <vt:lpstr>'Oficial 4'!Area_de_impressao</vt:lpstr>
      <vt:lpstr>'Oficial 5'!Area_de_impressao</vt:lpstr>
      <vt:lpstr>'Op. de maq. 2'!Area_de_impressao</vt:lpstr>
      <vt:lpstr>'Op.de maq. 3'!Area_de_impressao</vt:lpstr>
      <vt:lpstr>'Op.de maq. 4'!Area_de_impressao</vt:lpstr>
      <vt:lpstr>'Op.de maq. 5'!Area_de_impressao</vt:lpstr>
      <vt:lpstr>'Orçam 2'!Area_de_impressao</vt:lpstr>
      <vt:lpstr>'Porteiro 2'!Area_de_impressao</vt:lpstr>
      <vt:lpstr>'Porteiro 3'!Area_de_impressao</vt:lpstr>
      <vt:lpstr>'Porteiro 4'!Area_de_impressao</vt:lpstr>
      <vt:lpstr>'Porteiro 5'!Area_de_impressao</vt:lpstr>
      <vt:lpstr>'Recepção 2'!Area_de_impressao</vt:lpstr>
      <vt:lpstr>'Recepção 3'!Area_de_impressao</vt:lpstr>
      <vt:lpstr>'Recepção 4'!Area_de_impressao</vt:lpstr>
      <vt:lpstr>'REPACTUAÇÃO SIEMACO 2013'!Area_de_impressao</vt:lpstr>
      <vt:lpstr>'Resumo PARCIAL'!Area_de_impressao</vt:lpstr>
      <vt:lpstr>'Super 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Allana</dc:creator>
  <cp:lastModifiedBy>Nicolly</cp:lastModifiedBy>
  <cp:lastPrinted>2015-09-22T12:29:36Z</cp:lastPrinted>
  <dcterms:created xsi:type="dcterms:W3CDTF">2011-12-09T12:49:00Z</dcterms:created>
  <dcterms:modified xsi:type="dcterms:W3CDTF">2016-03-01T18:46:05Z</dcterms:modified>
</cp:coreProperties>
</file>