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/>
  <bookViews>
    <workbookView xWindow="600" yWindow="360" windowWidth="11100" windowHeight="6030" tabRatio="955" firstSheet="2" activeTab="2"/>
  </bookViews>
  <sheets>
    <sheet name="Alterações 2016" sheetId="196" state="hidden" r:id="rId1"/>
    <sheet name="ISS - VT" sheetId="190" state="hidden" r:id="rId2"/>
    <sheet name="Resumo PARCIAL" sheetId="281" r:id="rId3"/>
    <sheet name="1-A" sheetId="191" r:id="rId4"/>
    <sheet name="2-A" sheetId="223" r:id="rId5"/>
    <sheet name="3-A" sheetId="224" r:id="rId6"/>
    <sheet name="4-A" sheetId="225" r:id="rId7"/>
    <sheet name="5-A" sheetId="226" r:id="rId8"/>
    <sheet name="6-A" sheetId="227" r:id="rId9"/>
    <sheet name="7-A" sheetId="228" r:id="rId10"/>
    <sheet name="8-A" sheetId="229" r:id="rId11"/>
    <sheet name="9-A" sheetId="230" r:id="rId12"/>
    <sheet name="10-A" sheetId="231" r:id="rId13"/>
    <sheet name="11-A" sheetId="232" r:id="rId14"/>
    <sheet name="12-A" sheetId="233" r:id="rId15"/>
    <sheet name="13-A" sheetId="234" r:id="rId16"/>
    <sheet name="14-A" sheetId="235" r:id="rId17"/>
    <sheet name="15-A" sheetId="236" r:id="rId18"/>
    <sheet name="16-A" sheetId="237" r:id="rId19"/>
    <sheet name="17-A" sheetId="238" r:id="rId20"/>
    <sheet name="18-A" sheetId="239" r:id="rId21"/>
    <sheet name="19-A" sheetId="240" r:id="rId22"/>
    <sheet name="20-A" sheetId="241" r:id="rId23"/>
    <sheet name="21-A" sheetId="242" r:id="rId24"/>
    <sheet name="22-A" sheetId="243" r:id="rId25"/>
    <sheet name="23-A" sheetId="244" r:id="rId26"/>
    <sheet name="24-A" sheetId="245" r:id="rId27"/>
    <sheet name="25-A" sheetId="246" r:id="rId28"/>
    <sheet name="26-A" sheetId="247" r:id="rId29"/>
    <sheet name="27-A" sheetId="248" r:id="rId30"/>
    <sheet name="28-A" sheetId="249" r:id="rId31"/>
    <sheet name="29-A" sheetId="250" r:id="rId32"/>
    <sheet name="Equipamentos" sheetId="220" r:id="rId33"/>
    <sheet name="ANEXO IV" sheetId="221" r:id="rId34"/>
  </sheets>
  <externalReferences>
    <externalReference r:id="rId35"/>
    <externalReference r:id="rId36"/>
    <externalReference r:id="rId37"/>
    <externalReference r:id="rId38"/>
  </externalReferences>
  <definedNames>
    <definedName name="_1______Excel_BuiltIn_Print_Area_1_1" localSheetId="12">#REF!</definedName>
    <definedName name="_1______Excel_BuiltIn_Print_Area_1_1" localSheetId="13">#REF!</definedName>
    <definedName name="_1______Excel_BuiltIn_Print_Area_1_1" localSheetId="14">#REF!</definedName>
    <definedName name="_1______Excel_BuiltIn_Print_Area_1_1" localSheetId="15">#REF!</definedName>
    <definedName name="_1______Excel_BuiltIn_Print_Area_1_1" localSheetId="16">#REF!</definedName>
    <definedName name="_1______Excel_BuiltIn_Print_Area_1_1" localSheetId="17">#REF!</definedName>
    <definedName name="_1______Excel_BuiltIn_Print_Area_1_1" localSheetId="18">#REF!</definedName>
    <definedName name="_1______Excel_BuiltIn_Print_Area_1_1" localSheetId="19">#REF!</definedName>
    <definedName name="_1______Excel_BuiltIn_Print_Area_1_1" localSheetId="20">#REF!</definedName>
    <definedName name="_1______Excel_BuiltIn_Print_Area_1_1" localSheetId="21">#REF!</definedName>
    <definedName name="_1______Excel_BuiltIn_Print_Area_1_1" localSheetId="22">#REF!</definedName>
    <definedName name="_1______Excel_BuiltIn_Print_Area_1_1" localSheetId="23">#REF!</definedName>
    <definedName name="_1______Excel_BuiltIn_Print_Area_1_1" localSheetId="24">#REF!</definedName>
    <definedName name="_1______Excel_BuiltIn_Print_Area_1_1" localSheetId="25">#REF!</definedName>
    <definedName name="_1______Excel_BuiltIn_Print_Area_1_1" localSheetId="26">#REF!</definedName>
    <definedName name="_1______Excel_BuiltIn_Print_Area_1_1" localSheetId="27">#REF!</definedName>
    <definedName name="_1______Excel_BuiltIn_Print_Area_1_1" localSheetId="28">#REF!</definedName>
    <definedName name="_1______Excel_BuiltIn_Print_Area_1_1" localSheetId="29">#REF!</definedName>
    <definedName name="_1______Excel_BuiltIn_Print_Area_1_1" localSheetId="30">#REF!</definedName>
    <definedName name="_1______Excel_BuiltIn_Print_Area_1_1" localSheetId="31">#REF!</definedName>
    <definedName name="_1______Excel_BuiltIn_Print_Area_1_1" localSheetId="4">#REF!</definedName>
    <definedName name="_1______Excel_BuiltIn_Print_Area_1_1" localSheetId="5">#REF!</definedName>
    <definedName name="_1______Excel_BuiltIn_Print_Area_1_1" localSheetId="6">#REF!</definedName>
    <definedName name="_1______Excel_BuiltIn_Print_Area_1_1" localSheetId="7">#REF!</definedName>
    <definedName name="_1______Excel_BuiltIn_Print_Area_1_1" localSheetId="8">#REF!</definedName>
    <definedName name="_1______Excel_BuiltIn_Print_Area_1_1" localSheetId="9">#REF!</definedName>
    <definedName name="_1______Excel_BuiltIn_Print_Area_1_1" localSheetId="10">#REF!</definedName>
    <definedName name="_1______Excel_BuiltIn_Print_Area_1_1" localSheetId="11">#REF!</definedName>
    <definedName name="_1______Excel_BuiltIn_Print_Area_1_1">#REF!</definedName>
    <definedName name="_2_____Excel_BuiltIn_Print_Area_1_1" localSheetId="12">#REF!</definedName>
    <definedName name="_2_____Excel_BuiltIn_Print_Area_1_1" localSheetId="13">#REF!</definedName>
    <definedName name="_2_____Excel_BuiltIn_Print_Area_1_1" localSheetId="14">#REF!</definedName>
    <definedName name="_2_____Excel_BuiltIn_Print_Area_1_1" localSheetId="15">#REF!</definedName>
    <definedName name="_2_____Excel_BuiltIn_Print_Area_1_1" localSheetId="16">#REF!</definedName>
    <definedName name="_2_____Excel_BuiltIn_Print_Area_1_1" localSheetId="17">#REF!</definedName>
    <definedName name="_2_____Excel_BuiltIn_Print_Area_1_1" localSheetId="18">#REF!</definedName>
    <definedName name="_2_____Excel_BuiltIn_Print_Area_1_1" localSheetId="19">#REF!</definedName>
    <definedName name="_2_____Excel_BuiltIn_Print_Area_1_1" localSheetId="20">#REF!</definedName>
    <definedName name="_2_____Excel_BuiltIn_Print_Area_1_1" localSheetId="21">#REF!</definedName>
    <definedName name="_2_____Excel_BuiltIn_Print_Area_1_1" localSheetId="22">#REF!</definedName>
    <definedName name="_2_____Excel_BuiltIn_Print_Area_1_1" localSheetId="23">#REF!</definedName>
    <definedName name="_2_____Excel_BuiltIn_Print_Area_1_1" localSheetId="24">#REF!</definedName>
    <definedName name="_2_____Excel_BuiltIn_Print_Area_1_1" localSheetId="25">#REF!</definedName>
    <definedName name="_2_____Excel_BuiltIn_Print_Area_1_1" localSheetId="26">#REF!</definedName>
    <definedName name="_2_____Excel_BuiltIn_Print_Area_1_1" localSheetId="27">#REF!</definedName>
    <definedName name="_2_____Excel_BuiltIn_Print_Area_1_1" localSheetId="28">#REF!</definedName>
    <definedName name="_2_____Excel_BuiltIn_Print_Area_1_1" localSheetId="29">#REF!</definedName>
    <definedName name="_2_____Excel_BuiltIn_Print_Area_1_1" localSheetId="30">#REF!</definedName>
    <definedName name="_2_____Excel_BuiltIn_Print_Area_1_1" localSheetId="31">#REF!</definedName>
    <definedName name="_2_____Excel_BuiltIn_Print_Area_1_1" localSheetId="4">#REF!</definedName>
    <definedName name="_2_____Excel_BuiltIn_Print_Area_1_1" localSheetId="5">#REF!</definedName>
    <definedName name="_2_____Excel_BuiltIn_Print_Area_1_1" localSheetId="6">#REF!</definedName>
    <definedName name="_2_____Excel_BuiltIn_Print_Area_1_1" localSheetId="7">#REF!</definedName>
    <definedName name="_2_____Excel_BuiltIn_Print_Area_1_1" localSheetId="8">#REF!</definedName>
    <definedName name="_2_____Excel_BuiltIn_Print_Area_1_1" localSheetId="9">#REF!</definedName>
    <definedName name="_2_____Excel_BuiltIn_Print_Area_1_1" localSheetId="10">#REF!</definedName>
    <definedName name="_2_____Excel_BuiltIn_Print_Area_1_1" localSheetId="11">#REF!</definedName>
    <definedName name="_2_____Excel_BuiltIn_Print_Area_1_1">#REF!</definedName>
    <definedName name="_2Excel_BuiltIn_Print_Area_1_1" localSheetId="12">#REF!</definedName>
    <definedName name="_2Excel_BuiltIn_Print_Area_1_1" localSheetId="13">#REF!</definedName>
    <definedName name="_2Excel_BuiltIn_Print_Area_1_1" localSheetId="14">#REF!</definedName>
    <definedName name="_2Excel_BuiltIn_Print_Area_1_1" localSheetId="15">#REF!</definedName>
    <definedName name="_2Excel_BuiltIn_Print_Area_1_1" localSheetId="16">#REF!</definedName>
    <definedName name="_2Excel_BuiltIn_Print_Area_1_1" localSheetId="17">#REF!</definedName>
    <definedName name="_2Excel_BuiltIn_Print_Area_1_1" localSheetId="18">#REF!</definedName>
    <definedName name="_2Excel_BuiltIn_Print_Area_1_1" localSheetId="19">#REF!</definedName>
    <definedName name="_2Excel_BuiltIn_Print_Area_1_1" localSheetId="20">#REF!</definedName>
    <definedName name="_2Excel_BuiltIn_Print_Area_1_1" localSheetId="21">#REF!</definedName>
    <definedName name="_2Excel_BuiltIn_Print_Area_1_1" localSheetId="22">#REF!</definedName>
    <definedName name="_2Excel_BuiltIn_Print_Area_1_1" localSheetId="23">#REF!</definedName>
    <definedName name="_2Excel_BuiltIn_Print_Area_1_1" localSheetId="24">#REF!</definedName>
    <definedName name="_2Excel_BuiltIn_Print_Area_1_1" localSheetId="25">#REF!</definedName>
    <definedName name="_2Excel_BuiltIn_Print_Area_1_1" localSheetId="26">#REF!</definedName>
    <definedName name="_2Excel_BuiltIn_Print_Area_1_1" localSheetId="27">#REF!</definedName>
    <definedName name="_2Excel_BuiltIn_Print_Area_1_1" localSheetId="28">#REF!</definedName>
    <definedName name="_2Excel_BuiltIn_Print_Area_1_1" localSheetId="29">#REF!</definedName>
    <definedName name="_2Excel_BuiltIn_Print_Area_1_1" localSheetId="30">#REF!</definedName>
    <definedName name="_2Excel_BuiltIn_Print_Area_1_1" localSheetId="31">#REF!</definedName>
    <definedName name="_2Excel_BuiltIn_Print_Area_1_1" localSheetId="4">#REF!</definedName>
    <definedName name="_2Excel_BuiltIn_Print_Area_1_1" localSheetId="5">#REF!</definedName>
    <definedName name="_2Excel_BuiltIn_Print_Area_1_1" localSheetId="6">#REF!</definedName>
    <definedName name="_2Excel_BuiltIn_Print_Area_1_1" localSheetId="7">#REF!</definedName>
    <definedName name="_2Excel_BuiltIn_Print_Area_1_1" localSheetId="8">#REF!</definedName>
    <definedName name="_2Excel_BuiltIn_Print_Area_1_1" localSheetId="9">#REF!</definedName>
    <definedName name="_2Excel_BuiltIn_Print_Area_1_1" localSheetId="10">#REF!</definedName>
    <definedName name="_2Excel_BuiltIn_Print_Area_1_1" localSheetId="11">#REF!</definedName>
    <definedName name="_2Excel_BuiltIn_Print_Area_1_1">#REF!</definedName>
    <definedName name="_xlnm._FilterDatabase" localSheetId="1" hidden="1">'ISS - VT'!$B$4:$M$149</definedName>
    <definedName name="_xlnm._FilterDatabase" localSheetId="2" hidden="1">'Resumo PARCIAL'!$A$10:$BL$77</definedName>
    <definedName name="ANO" localSheetId="12">#REF!</definedName>
    <definedName name="ANO" localSheetId="13">#REF!</definedName>
    <definedName name="ANO" localSheetId="14">#REF!</definedName>
    <definedName name="ANO" localSheetId="15">#REF!</definedName>
    <definedName name="ANO" localSheetId="16">#REF!</definedName>
    <definedName name="ANO" localSheetId="17">#REF!</definedName>
    <definedName name="ANO" localSheetId="18">#REF!</definedName>
    <definedName name="ANO" localSheetId="19">#REF!</definedName>
    <definedName name="ANO" localSheetId="20">#REF!</definedName>
    <definedName name="ANO" localSheetId="21">#REF!</definedName>
    <definedName name="ANO" localSheetId="22">#REF!</definedName>
    <definedName name="ANO" localSheetId="23">#REF!</definedName>
    <definedName name="ANO" localSheetId="24">#REF!</definedName>
    <definedName name="ANO" localSheetId="25">#REF!</definedName>
    <definedName name="ANO" localSheetId="26">#REF!</definedName>
    <definedName name="ANO" localSheetId="27">#REF!</definedName>
    <definedName name="ANO" localSheetId="28">#REF!</definedName>
    <definedName name="ANO" localSheetId="29">#REF!</definedName>
    <definedName name="ANO" localSheetId="30">#REF!</definedName>
    <definedName name="ANO" localSheetId="31">#REF!</definedName>
    <definedName name="ANO" localSheetId="4">#REF!</definedName>
    <definedName name="ANO" localSheetId="5">#REF!</definedName>
    <definedName name="ANO" localSheetId="6">#REF!</definedName>
    <definedName name="ANO" localSheetId="7">#REF!</definedName>
    <definedName name="ANO" localSheetId="8">#REF!</definedName>
    <definedName name="ANO" localSheetId="9">#REF!</definedName>
    <definedName name="ANO" localSheetId="10">#REF!</definedName>
    <definedName name="ANO" localSheetId="11">#REF!</definedName>
    <definedName name="ANO">#REF!</definedName>
    <definedName name="_xlnm.Print_Area" localSheetId="12">'10-A'!$A$1:$D$153</definedName>
    <definedName name="_xlnm.Print_Area" localSheetId="13">'11-A'!$A$1:$D$153</definedName>
    <definedName name="_xlnm.Print_Area" localSheetId="14">'12-A'!$A$1:$D$153</definedName>
    <definedName name="_xlnm.Print_Area" localSheetId="15">'13-A'!$A$1:$D$153</definedName>
    <definedName name="_xlnm.Print_Area" localSheetId="16">'14-A'!$A$1:$D$153</definedName>
    <definedName name="_xlnm.Print_Area" localSheetId="17">'15-A'!$A$1:$D$153</definedName>
    <definedName name="_xlnm.Print_Area" localSheetId="18">'16-A'!$A$1:$D$153</definedName>
    <definedName name="_xlnm.Print_Area" localSheetId="19">'17-A'!$A$1:$D$153</definedName>
    <definedName name="_xlnm.Print_Area" localSheetId="20">'18-A'!$A$1:$D$153</definedName>
    <definedName name="_xlnm.Print_Area" localSheetId="21">'19-A'!$A$1:$D$153</definedName>
    <definedName name="_xlnm.Print_Area" localSheetId="3">'1-A'!$A$1:$D$153</definedName>
    <definedName name="_xlnm.Print_Area" localSheetId="22">'20-A'!$A$1:$D$153</definedName>
    <definedName name="_xlnm.Print_Area" localSheetId="23">'21-A'!$A$1:$D$153</definedName>
    <definedName name="_xlnm.Print_Area" localSheetId="24">'22-A'!$A$1:$D$153</definedName>
    <definedName name="_xlnm.Print_Area" localSheetId="25">'23-A'!$A$1:$D$153</definedName>
    <definedName name="_xlnm.Print_Area" localSheetId="26">'24-A'!$A$1:$D$153</definedName>
    <definedName name="_xlnm.Print_Area" localSheetId="27">'25-A'!$A$1:$D$153</definedName>
    <definedName name="_xlnm.Print_Area" localSheetId="28">'26-A'!$A$1:$D$153</definedName>
    <definedName name="_xlnm.Print_Area" localSheetId="29">'27-A'!$A$1:$D$153</definedName>
    <definedName name="_xlnm.Print_Area" localSheetId="30">'28-A'!$A$1:$D$153</definedName>
    <definedName name="_xlnm.Print_Area" localSheetId="31">'29-A'!$A$1:$D$153</definedName>
    <definedName name="_xlnm.Print_Area" localSheetId="4">'2-A'!$A$1:$D$153</definedName>
    <definedName name="_xlnm.Print_Area" localSheetId="5">'3-A'!$A$1:$D$153</definedName>
    <definedName name="_xlnm.Print_Area" localSheetId="6">'4-A'!$A$1:$D$153</definedName>
    <definedName name="_xlnm.Print_Area" localSheetId="7">'5-A'!$A$1:$D$153</definedName>
    <definedName name="_xlnm.Print_Area" localSheetId="8">'6-A'!$A$1:$D$153</definedName>
    <definedName name="_xlnm.Print_Area" localSheetId="9">'7-A'!$A$1:$D$153</definedName>
    <definedName name="_xlnm.Print_Area" localSheetId="10">'8-A'!$A$1:$D$153</definedName>
    <definedName name="_xlnm.Print_Area" localSheetId="11">'9-A'!$A$1:$D$153</definedName>
    <definedName name="_xlnm.Print_Area" localSheetId="33">'ANEXO IV'!$A$1:$D$77</definedName>
    <definedName name="_xlnm.Print_Area" localSheetId="32">Equipamentos!$A$1:$E$140</definedName>
    <definedName name="_xlnm.Print_Area" localSheetId="1">'ISS - VT'!$B$4:$M$145</definedName>
    <definedName name="_xlnm.Print_Area" localSheetId="2">'Resumo PARCIAL'!$B$1:$BE$209</definedName>
    <definedName name="Cargo">'[1]BD-1'!$B$3:$B$217</definedName>
    <definedName name="Cidade">'[2]BD-2'!$C$5:$C$163</definedName>
    <definedName name="Cidades" localSheetId="0">'[1]BD-2'!$C$5:$C$148</definedName>
    <definedName name="Cidades">'ISS - VT'!$C$5:$C$148</definedName>
    <definedName name="Curitiba" localSheetId="12">#REF!</definedName>
    <definedName name="Curitiba" localSheetId="13">#REF!</definedName>
    <definedName name="Curitiba" localSheetId="14">#REF!</definedName>
    <definedName name="Curitiba" localSheetId="15">#REF!</definedName>
    <definedName name="Curitiba" localSheetId="16">#REF!</definedName>
    <definedName name="Curitiba" localSheetId="17">#REF!</definedName>
    <definedName name="Curitiba" localSheetId="18">#REF!</definedName>
    <definedName name="Curitiba" localSheetId="19">#REF!</definedName>
    <definedName name="Curitiba" localSheetId="20">#REF!</definedName>
    <definedName name="Curitiba" localSheetId="21">#REF!</definedName>
    <definedName name="Curitiba" localSheetId="22">#REF!</definedName>
    <definedName name="Curitiba" localSheetId="23">#REF!</definedName>
    <definedName name="Curitiba" localSheetId="24">#REF!</definedName>
    <definedName name="Curitiba" localSheetId="25">#REF!</definedName>
    <definedName name="Curitiba" localSheetId="26">#REF!</definedName>
    <definedName name="Curitiba" localSheetId="27">#REF!</definedName>
    <definedName name="Curitiba" localSheetId="28">#REF!</definedName>
    <definedName name="Curitiba" localSheetId="29">#REF!</definedName>
    <definedName name="Curitiba" localSheetId="30">#REF!</definedName>
    <definedName name="Curitiba" localSheetId="31">#REF!</definedName>
    <definedName name="Curitiba" localSheetId="4">#REF!</definedName>
    <definedName name="Curitiba" localSheetId="5">#REF!</definedName>
    <definedName name="Curitiba" localSheetId="6">#REF!</definedName>
    <definedName name="Curitiba" localSheetId="7">#REF!</definedName>
    <definedName name="Curitiba" localSheetId="8">#REF!</definedName>
    <definedName name="Curitiba" localSheetId="9">#REF!</definedName>
    <definedName name="Curitiba" localSheetId="10">#REF!</definedName>
    <definedName name="Curitiba" localSheetId="11">#REF!</definedName>
    <definedName name="Curitiba">#REF!</definedName>
    <definedName name="Descrição">'[1]BD MEE'!$A$3:$A$1048576</definedName>
    <definedName name="Encargos_previdenciários_e_FGTS" localSheetId="12">#REF!</definedName>
    <definedName name="Encargos_previdenciários_e_FGTS" localSheetId="13">#REF!</definedName>
    <definedName name="Encargos_previdenciários_e_FGTS" localSheetId="14">#REF!</definedName>
    <definedName name="Encargos_previdenciários_e_FGTS" localSheetId="15">#REF!</definedName>
    <definedName name="Encargos_previdenciários_e_FGTS" localSheetId="16">#REF!</definedName>
    <definedName name="Encargos_previdenciários_e_FGTS" localSheetId="17">#REF!</definedName>
    <definedName name="Encargos_previdenciários_e_FGTS" localSheetId="18">#REF!</definedName>
    <definedName name="Encargos_previdenciários_e_FGTS" localSheetId="19">#REF!</definedName>
    <definedName name="Encargos_previdenciários_e_FGTS" localSheetId="20">#REF!</definedName>
    <definedName name="Encargos_previdenciários_e_FGTS" localSheetId="21">#REF!</definedName>
    <definedName name="Encargos_previdenciários_e_FGTS" localSheetId="22">#REF!</definedName>
    <definedName name="Encargos_previdenciários_e_FGTS" localSheetId="23">#REF!</definedName>
    <definedName name="Encargos_previdenciários_e_FGTS" localSheetId="24">#REF!</definedName>
    <definedName name="Encargos_previdenciários_e_FGTS" localSheetId="25">#REF!</definedName>
    <definedName name="Encargos_previdenciários_e_FGTS" localSheetId="26">#REF!</definedName>
    <definedName name="Encargos_previdenciários_e_FGTS" localSheetId="27">#REF!</definedName>
    <definedName name="Encargos_previdenciários_e_FGTS" localSheetId="28">#REF!</definedName>
    <definedName name="Encargos_previdenciários_e_FGTS" localSheetId="29">#REF!</definedName>
    <definedName name="Encargos_previdenciários_e_FGTS" localSheetId="30">#REF!</definedName>
    <definedName name="Encargos_previdenciários_e_FGTS" localSheetId="31">#REF!</definedName>
    <definedName name="Encargos_previdenciários_e_FGTS" localSheetId="4">#REF!</definedName>
    <definedName name="Encargos_previdenciários_e_FGTS" localSheetId="5">#REF!</definedName>
    <definedName name="Encargos_previdenciários_e_FGTS" localSheetId="6">#REF!</definedName>
    <definedName name="Encargos_previdenciários_e_FGTS" localSheetId="7">#REF!</definedName>
    <definedName name="Encargos_previdenciários_e_FGTS" localSheetId="8">#REF!</definedName>
    <definedName name="Encargos_previdenciários_e_FGTS" localSheetId="9">#REF!</definedName>
    <definedName name="Encargos_previdenciários_e_FGTS" localSheetId="10">#REF!</definedName>
    <definedName name="Encargos_previdenciários_e_FGTS" localSheetId="11">#REF!</definedName>
    <definedName name="Encargos_previdenciários_e_FGTS">#REF!</definedName>
    <definedName name="Escala" localSheetId="0">'[1]BD-2'!$O$5:$O$8</definedName>
    <definedName name="Escala">'ISS - VT'!$O$5:$O$8</definedName>
    <definedName name="Escalas" localSheetId="12">#REF!</definedName>
    <definedName name="Escalas" localSheetId="13">#REF!</definedName>
    <definedName name="Escalas" localSheetId="14">#REF!</definedName>
    <definedName name="Escalas" localSheetId="15">#REF!</definedName>
    <definedName name="Escalas" localSheetId="16">#REF!</definedName>
    <definedName name="Escalas" localSheetId="17">#REF!</definedName>
    <definedName name="Escalas" localSheetId="18">#REF!</definedName>
    <definedName name="Escalas" localSheetId="19">#REF!</definedName>
    <definedName name="Escalas" localSheetId="20">#REF!</definedName>
    <definedName name="Escalas" localSheetId="21">#REF!</definedName>
    <definedName name="Escalas" localSheetId="22">#REF!</definedName>
    <definedName name="Escalas" localSheetId="23">#REF!</definedName>
    <definedName name="Escalas" localSheetId="24">#REF!</definedName>
    <definedName name="Escalas" localSheetId="25">#REF!</definedName>
    <definedName name="Escalas" localSheetId="26">#REF!</definedName>
    <definedName name="Escalas" localSheetId="27">#REF!</definedName>
    <definedName name="Escalas" localSheetId="28">#REF!</definedName>
    <definedName name="Escalas" localSheetId="29">#REF!</definedName>
    <definedName name="Escalas" localSheetId="30">#REF!</definedName>
    <definedName name="Escalas" localSheetId="31">#REF!</definedName>
    <definedName name="Escalas" localSheetId="4">#REF!</definedName>
    <definedName name="Escalas" localSheetId="5">#REF!</definedName>
    <definedName name="Escalas" localSheetId="6">#REF!</definedName>
    <definedName name="Escalas" localSheetId="7">#REF!</definedName>
    <definedName name="Escalas" localSheetId="8">#REF!</definedName>
    <definedName name="Escalas" localSheetId="9">#REF!</definedName>
    <definedName name="Escalas" localSheetId="10">#REF!</definedName>
    <definedName name="Escalas" localSheetId="11">#REF!</definedName>
    <definedName name="Escalas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19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0">#REF!</definedName>
    <definedName name="Excel_BuiltIn_Print_Area_1">#REF!</definedName>
    <definedName name="Excel_BuiltIn_Print_Area_1_1" localSheetId="12">#REF!</definedName>
    <definedName name="Excel_BuiltIn_Print_Area_1_1" localSheetId="13">#REF!</definedName>
    <definedName name="Excel_BuiltIn_Print_Area_1_1" localSheetId="14">#REF!</definedName>
    <definedName name="Excel_BuiltIn_Print_Area_1_1" localSheetId="15">#REF!</definedName>
    <definedName name="Excel_BuiltIn_Print_Area_1_1" localSheetId="16">#REF!</definedName>
    <definedName name="Excel_BuiltIn_Print_Area_1_1" localSheetId="17">#REF!</definedName>
    <definedName name="Excel_BuiltIn_Print_Area_1_1" localSheetId="18">#REF!</definedName>
    <definedName name="Excel_BuiltIn_Print_Area_1_1" localSheetId="19">#REF!</definedName>
    <definedName name="Excel_BuiltIn_Print_Area_1_1" localSheetId="20">#REF!</definedName>
    <definedName name="Excel_BuiltIn_Print_Area_1_1" localSheetId="21">#REF!</definedName>
    <definedName name="Excel_BuiltIn_Print_Area_1_1" localSheetId="22">#REF!</definedName>
    <definedName name="Excel_BuiltIn_Print_Area_1_1" localSheetId="23">#REF!</definedName>
    <definedName name="Excel_BuiltIn_Print_Area_1_1" localSheetId="24">#REF!</definedName>
    <definedName name="Excel_BuiltIn_Print_Area_1_1" localSheetId="25">#REF!</definedName>
    <definedName name="Excel_BuiltIn_Print_Area_1_1" localSheetId="26">#REF!</definedName>
    <definedName name="Excel_BuiltIn_Print_Area_1_1" localSheetId="27">#REF!</definedName>
    <definedName name="Excel_BuiltIn_Print_Area_1_1" localSheetId="28">#REF!</definedName>
    <definedName name="Excel_BuiltIn_Print_Area_1_1" localSheetId="29">#REF!</definedName>
    <definedName name="Excel_BuiltIn_Print_Area_1_1" localSheetId="30">#REF!</definedName>
    <definedName name="Excel_BuiltIn_Print_Area_1_1" localSheetId="31">#REF!</definedName>
    <definedName name="Excel_BuiltIn_Print_Area_1_1" localSheetId="4">#REF!</definedName>
    <definedName name="Excel_BuiltIn_Print_Area_1_1" localSheetId="5">#REF!</definedName>
    <definedName name="Excel_BuiltIn_Print_Area_1_1" localSheetId="6">#REF!</definedName>
    <definedName name="Excel_BuiltIn_Print_Area_1_1" localSheetId="7">#REF!</definedName>
    <definedName name="Excel_BuiltIn_Print_Area_1_1" localSheetId="8">#REF!</definedName>
    <definedName name="Excel_BuiltIn_Print_Area_1_1" localSheetId="9">#REF!</definedName>
    <definedName name="Excel_BuiltIn_Print_Area_1_1" localSheetId="10">#REF!</definedName>
    <definedName name="Excel_BuiltIn_Print_Area_1_1" localSheetId="11">#REF!</definedName>
    <definedName name="Excel_BuiltIn_Print_Area_1_1" localSheetId="0">#REF!</definedName>
    <definedName name="Excel_BuiltIn_Print_Area_1_1">#REF!</definedName>
    <definedName name="Excel_BuiltIn_Print_Area_2" localSheetId="12">#REF!</definedName>
    <definedName name="Excel_BuiltIn_Print_Area_2" localSheetId="13">#REF!</definedName>
    <definedName name="Excel_BuiltIn_Print_Area_2" localSheetId="14">#REF!</definedName>
    <definedName name="Excel_BuiltIn_Print_Area_2" localSheetId="15">#REF!</definedName>
    <definedName name="Excel_BuiltIn_Print_Area_2" localSheetId="16">#REF!</definedName>
    <definedName name="Excel_BuiltIn_Print_Area_2" localSheetId="17">#REF!</definedName>
    <definedName name="Excel_BuiltIn_Print_Area_2" localSheetId="18">#REF!</definedName>
    <definedName name="Excel_BuiltIn_Print_Area_2" localSheetId="19">#REF!</definedName>
    <definedName name="Excel_BuiltIn_Print_Area_2" localSheetId="20">#REF!</definedName>
    <definedName name="Excel_BuiltIn_Print_Area_2" localSheetId="21">#REF!</definedName>
    <definedName name="Excel_BuiltIn_Print_Area_2" localSheetId="22">#REF!</definedName>
    <definedName name="Excel_BuiltIn_Print_Area_2" localSheetId="23">#REF!</definedName>
    <definedName name="Excel_BuiltIn_Print_Area_2" localSheetId="24">#REF!</definedName>
    <definedName name="Excel_BuiltIn_Print_Area_2" localSheetId="25">#REF!</definedName>
    <definedName name="Excel_BuiltIn_Print_Area_2" localSheetId="26">#REF!</definedName>
    <definedName name="Excel_BuiltIn_Print_Area_2" localSheetId="27">#REF!</definedName>
    <definedName name="Excel_BuiltIn_Print_Area_2" localSheetId="28">#REF!</definedName>
    <definedName name="Excel_BuiltIn_Print_Area_2" localSheetId="29">#REF!</definedName>
    <definedName name="Excel_BuiltIn_Print_Area_2" localSheetId="30">#REF!</definedName>
    <definedName name="Excel_BuiltIn_Print_Area_2" localSheetId="31">#REF!</definedName>
    <definedName name="Excel_BuiltIn_Print_Area_2" localSheetId="4">#REF!</definedName>
    <definedName name="Excel_BuiltIn_Print_Area_2" localSheetId="5">#REF!</definedName>
    <definedName name="Excel_BuiltIn_Print_Area_2" localSheetId="6">#REF!</definedName>
    <definedName name="Excel_BuiltIn_Print_Area_2" localSheetId="7">#REF!</definedName>
    <definedName name="Excel_BuiltIn_Print_Area_2" localSheetId="8">#REF!</definedName>
    <definedName name="Excel_BuiltIn_Print_Area_2" localSheetId="9">#REF!</definedName>
    <definedName name="Excel_BuiltIn_Print_Area_2" localSheetId="10">#REF!</definedName>
    <definedName name="Excel_BuiltIn_Print_Area_2" localSheetId="11">#REF!</definedName>
    <definedName name="Excel_BuiltIn_Print_Area_2" localSheetId="0">#REF!</definedName>
    <definedName name="Excel_BuiltIn_Print_Area_2">#REF!</definedName>
    <definedName name="Excel_BuiltIn_Print_Area_3" localSheetId="12">#REF!</definedName>
    <definedName name="Excel_BuiltIn_Print_Area_3" localSheetId="13">#REF!</definedName>
    <definedName name="Excel_BuiltIn_Print_Area_3" localSheetId="14">#REF!</definedName>
    <definedName name="Excel_BuiltIn_Print_Area_3" localSheetId="15">#REF!</definedName>
    <definedName name="Excel_BuiltIn_Print_Area_3" localSheetId="16">#REF!</definedName>
    <definedName name="Excel_BuiltIn_Print_Area_3" localSheetId="17">#REF!</definedName>
    <definedName name="Excel_BuiltIn_Print_Area_3" localSheetId="18">#REF!</definedName>
    <definedName name="Excel_BuiltIn_Print_Area_3" localSheetId="19">#REF!</definedName>
    <definedName name="Excel_BuiltIn_Print_Area_3" localSheetId="20">#REF!</definedName>
    <definedName name="Excel_BuiltIn_Print_Area_3" localSheetId="21">#REF!</definedName>
    <definedName name="Excel_BuiltIn_Print_Area_3" localSheetId="22">#REF!</definedName>
    <definedName name="Excel_BuiltIn_Print_Area_3" localSheetId="23">#REF!</definedName>
    <definedName name="Excel_BuiltIn_Print_Area_3" localSheetId="24">#REF!</definedName>
    <definedName name="Excel_BuiltIn_Print_Area_3" localSheetId="25">#REF!</definedName>
    <definedName name="Excel_BuiltIn_Print_Area_3" localSheetId="26">#REF!</definedName>
    <definedName name="Excel_BuiltIn_Print_Area_3" localSheetId="27">#REF!</definedName>
    <definedName name="Excel_BuiltIn_Print_Area_3" localSheetId="28">#REF!</definedName>
    <definedName name="Excel_BuiltIn_Print_Area_3" localSheetId="29">#REF!</definedName>
    <definedName name="Excel_BuiltIn_Print_Area_3" localSheetId="30">#REF!</definedName>
    <definedName name="Excel_BuiltIn_Print_Area_3" localSheetId="31">#REF!</definedName>
    <definedName name="Excel_BuiltIn_Print_Area_3" localSheetId="4">#REF!</definedName>
    <definedName name="Excel_BuiltIn_Print_Area_3" localSheetId="5">#REF!</definedName>
    <definedName name="Excel_BuiltIn_Print_Area_3" localSheetId="6">#REF!</definedName>
    <definedName name="Excel_BuiltIn_Print_Area_3" localSheetId="7">#REF!</definedName>
    <definedName name="Excel_BuiltIn_Print_Area_3" localSheetId="8">#REF!</definedName>
    <definedName name="Excel_BuiltIn_Print_Area_3" localSheetId="9">#REF!</definedName>
    <definedName name="Excel_BuiltIn_Print_Area_3" localSheetId="10">#REF!</definedName>
    <definedName name="Excel_BuiltIn_Print_Area_3" localSheetId="11">#REF!</definedName>
    <definedName name="Excel_BuiltIn_Print_Area_3">#REF!</definedName>
    <definedName name="Excel_BuiltIn_Print_Area_4" localSheetId="12">#REF!</definedName>
    <definedName name="Excel_BuiltIn_Print_Area_4" localSheetId="13">#REF!</definedName>
    <definedName name="Excel_BuiltIn_Print_Area_4" localSheetId="14">#REF!</definedName>
    <definedName name="Excel_BuiltIn_Print_Area_4" localSheetId="15">#REF!</definedName>
    <definedName name="Excel_BuiltIn_Print_Area_4" localSheetId="16">#REF!</definedName>
    <definedName name="Excel_BuiltIn_Print_Area_4" localSheetId="17">#REF!</definedName>
    <definedName name="Excel_BuiltIn_Print_Area_4" localSheetId="18">#REF!</definedName>
    <definedName name="Excel_BuiltIn_Print_Area_4" localSheetId="19">#REF!</definedName>
    <definedName name="Excel_BuiltIn_Print_Area_4" localSheetId="20">#REF!</definedName>
    <definedName name="Excel_BuiltIn_Print_Area_4" localSheetId="21">#REF!</definedName>
    <definedName name="Excel_BuiltIn_Print_Area_4" localSheetId="22">#REF!</definedName>
    <definedName name="Excel_BuiltIn_Print_Area_4" localSheetId="23">#REF!</definedName>
    <definedName name="Excel_BuiltIn_Print_Area_4" localSheetId="24">#REF!</definedName>
    <definedName name="Excel_BuiltIn_Print_Area_4" localSheetId="25">#REF!</definedName>
    <definedName name="Excel_BuiltIn_Print_Area_4" localSheetId="26">#REF!</definedName>
    <definedName name="Excel_BuiltIn_Print_Area_4" localSheetId="27">#REF!</definedName>
    <definedName name="Excel_BuiltIn_Print_Area_4" localSheetId="28">#REF!</definedName>
    <definedName name="Excel_BuiltIn_Print_Area_4" localSheetId="29">#REF!</definedName>
    <definedName name="Excel_BuiltIn_Print_Area_4" localSheetId="30">#REF!</definedName>
    <definedName name="Excel_BuiltIn_Print_Area_4" localSheetId="31">#REF!</definedName>
    <definedName name="Excel_BuiltIn_Print_Area_4" localSheetId="4">#REF!</definedName>
    <definedName name="Excel_BuiltIn_Print_Area_4" localSheetId="5">#REF!</definedName>
    <definedName name="Excel_BuiltIn_Print_Area_4" localSheetId="6">#REF!</definedName>
    <definedName name="Excel_BuiltIn_Print_Area_4" localSheetId="7">#REF!</definedName>
    <definedName name="Excel_BuiltIn_Print_Area_4" localSheetId="8">#REF!</definedName>
    <definedName name="Excel_BuiltIn_Print_Area_4" localSheetId="9">#REF!</definedName>
    <definedName name="Excel_BuiltIn_Print_Area_4" localSheetId="10">#REF!</definedName>
    <definedName name="Excel_BuiltIn_Print_Area_4" localSheetId="11">#REF!</definedName>
    <definedName name="Excel_BuiltIn_Print_Area_4">#REF!</definedName>
    <definedName name="FGTS" localSheetId="12">#REF!</definedName>
    <definedName name="FGTS" localSheetId="13">#REF!</definedName>
    <definedName name="FGTS" localSheetId="14">#REF!</definedName>
    <definedName name="FGTS" localSheetId="15">#REF!</definedName>
    <definedName name="FGTS" localSheetId="16">#REF!</definedName>
    <definedName name="FGTS" localSheetId="17">#REF!</definedName>
    <definedName name="FGTS" localSheetId="18">#REF!</definedName>
    <definedName name="FGTS" localSheetId="19">#REF!</definedName>
    <definedName name="FGTS" localSheetId="20">#REF!</definedName>
    <definedName name="FGTS" localSheetId="21">#REF!</definedName>
    <definedName name="FGTS" localSheetId="22">#REF!</definedName>
    <definedName name="FGTS" localSheetId="23">#REF!</definedName>
    <definedName name="FGTS" localSheetId="24">#REF!</definedName>
    <definedName name="FGTS" localSheetId="25">#REF!</definedName>
    <definedName name="FGTS" localSheetId="26">#REF!</definedName>
    <definedName name="FGTS" localSheetId="27">#REF!</definedName>
    <definedName name="FGTS" localSheetId="28">#REF!</definedName>
    <definedName name="FGTS" localSheetId="29">#REF!</definedName>
    <definedName name="FGTS" localSheetId="30">#REF!</definedName>
    <definedName name="FGTS" localSheetId="31">#REF!</definedName>
    <definedName name="FGTS" localSheetId="4">#REF!</definedName>
    <definedName name="FGTS" localSheetId="5">#REF!</definedName>
    <definedName name="FGTS" localSheetId="6">#REF!</definedName>
    <definedName name="FGTS" localSheetId="7">#REF!</definedName>
    <definedName name="FGTS" localSheetId="8">#REF!</definedName>
    <definedName name="FGTS" localSheetId="9">#REF!</definedName>
    <definedName name="FGTS" localSheetId="10">#REF!</definedName>
    <definedName name="FGTS" localSheetId="11">#REF!</definedName>
    <definedName name="FGTS">#REF!</definedName>
    <definedName name="HE_50" localSheetId="12">#REF!</definedName>
    <definedName name="HE_50" localSheetId="13">#REF!</definedName>
    <definedName name="HE_50" localSheetId="14">#REF!</definedName>
    <definedName name="HE_50" localSheetId="15">#REF!</definedName>
    <definedName name="HE_50" localSheetId="16">#REF!</definedName>
    <definedName name="HE_50" localSheetId="17">#REF!</definedName>
    <definedName name="HE_50" localSheetId="18">#REF!</definedName>
    <definedName name="HE_50" localSheetId="19">#REF!</definedName>
    <definedName name="HE_50" localSheetId="20">#REF!</definedName>
    <definedName name="HE_50" localSheetId="21">#REF!</definedName>
    <definedName name="HE_50" localSheetId="22">#REF!</definedName>
    <definedName name="HE_50" localSheetId="23">#REF!</definedName>
    <definedName name="HE_50" localSheetId="24">#REF!</definedName>
    <definedName name="HE_50" localSheetId="25">#REF!</definedName>
    <definedName name="HE_50" localSheetId="26">#REF!</definedName>
    <definedName name="HE_50" localSheetId="27">#REF!</definedName>
    <definedName name="HE_50" localSheetId="28">#REF!</definedName>
    <definedName name="HE_50" localSheetId="29">#REF!</definedName>
    <definedName name="HE_50" localSheetId="30">#REF!</definedName>
    <definedName name="HE_50" localSheetId="31">#REF!</definedName>
    <definedName name="HE_50" localSheetId="4">#REF!</definedName>
    <definedName name="HE_50" localSheetId="5">#REF!</definedName>
    <definedName name="HE_50" localSheetId="6">#REF!</definedName>
    <definedName name="HE_50" localSheetId="7">#REF!</definedName>
    <definedName name="HE_50" localSheetId="8">#REF!</definedName>
    <definedName name="HE_50" localSheetId="9">#REF!</definedName>
    <definedName name="HE_50" localSheetId="10">#REF!</definedName>
    <definedName name="HE_50" localSheetId="11">#REF!</definedName>
    <definedName name="HE_50">#REF!</definedName>
    <definedName name="INSS" localSheetId="12">#REF!</definedName>
    <definedName name="INSS" localSheetId="13">#REF!</definedName>
    <definedName name="INSS" localSheetId="14">#REF!</definedName>
    <definedName name="INSS" localSheetId="15">#REF!</definedName>
    <definedName name="INSS" localSheetId="16">#REF!</definedName>
    <definedName name="INSS" localSheetId="17">#REF!</definedName>
    <definedName name="INSS" localSheetId="18">#REF!</definedName>
    <definedName name="INSS" localSheetId="19">#REF!</definedName>
    <definedName name="INSS" localSheetId="20">#REF!</definedName>
    <definedName name="INSS" localSheetId="21">#REF!</definedName>
    <definedName name="INSS" localSheetId="22">#REF!</definedName>
    <definedName name="INSS" localSheetId="23">#REF!</definedName>
    <definedName name="INSS" localSheetId="24">#REF!</definedName>
    <definedName name="INSS" localSheetId="25">#REF!</definedName>
    <definedName name="INSS" localSheetId="26">#REF!</definedName>
    <definedName name="INSS" localSheetId="27">#REF!</definedName>
    <definedName name="INSS" localSheetId="28">#REF!</definedName>
    <definedName name="INSS" localSheetId="29">#REF!</definedName>
    <definedName name="INSS" localSheetId="30">#REF!</definedName>
    <definedName name="INSS" localSheetId="31">#REF!</definedName>
    <definedName name="INSS" localSheetId="4">#REF!</definedName>
    <definedName name="INSS" localSheetId="5">#REF!</definedName>
    <definedName name="INSS" localSheetId="6">#REF!</definedName>
    <definedName name="INSS" localSheetId="7">#REF!</definedName>
    <definedName name="INSS" localSheetId="8">#REF!</definedName>
    <definedName name="INSS" localSheetId="9">#REF!</definedName>
    <definedName name="INSS" localSheetId="10">#REF!</definedName>
    <definedName name="INSS" localSheetId="11">#REF!</definedName>
    <definedName name="INSS">#REF!</definedName>
    <definedName name="MEMCALC" localSheetId="12">#REF!</definedName>
    <definedName name="MEMCALC" localSheetId="13">#REF!</definedName>
    <definedName name="MEMCALC" localSheetId="14">#REF!</definedName>
    <definedName name="MEMCALC" localSheetId="15">#REF!</definedName>
    <definedName name="MEMCALC" localSheetId="16">#REF!</definedName>
    <definedName name="MEMCALC" localSheetId="17">#REF!</definedName>
    <definedName name="MEMCALC" localSheetId="18">#REF!</definedName>
    <definedName name="MEMCALC" localSheetId="19">#REF!</definedName>
    <definedName name="MEMCALC" localSheetId="20">#REF!</definedName>
    <definedName name="MEMCALC" localSheetId="21">#REF!</definedName>
    <definedName name="MEMCALC" localSheetId="22">#REF!</definedName>
    <definedName name="MEMCALC" localSheetId="23">#REF!</definedName>
    <definedName name="MEMCALC" localSheetId="24">#REF!</definedName>
    <definedName name="MEMCALC" localSheetId="25">#REF!</definedName>
    <definedName name="MEMCALC" localSheetId="26">#REF!</definedName>
    <definedName name="MEMCALC" localSheetId="27">#REF!</definedName>
    <definedName name="MEMCALC" localSheetId="28">#REF!</definedName>
    <definedName name="MEMCALC" localSheetId="29">#REF!</definedName>
    <definedName name="MEMCALC" localSheetId="30">#REF!</definedName>
    <definedName name="MEMCALC" localSheetId="31">#REF!</definedName>
    <definedName name="MEMCALC" localSheetId="4">#REF!</definedName>
    <definedName name="MEMCALC" localSheetId="5">#REF!</definedName>
    <definedName name="MEMCALC" localSheetId="6">#REF!</definedName>
    <definedName name="MEMCALC" localSheetId="7">#REF!</definedName>
    <definedName name="MEMCALC" localSheetId="8">#REF!</definedName>
    <definedName name="MEMCALC" localSheetId="9">#REF!</definedName>
    <definedName name="MEMCALC" localSheetId="10">#REF!</definedName>
    <definedName name="MEMCALC" localSheetId="11">#REF!</definedName>
    <definedName name="MEMCALC">#REF!</definedName>
    <definedName name="PLANILHA" localSheetId="12">#REF!</definedName>
    <definedName name="PLANILHA" localSheetId="13">#REF!</definedName>
    <definedName name="PLANILHA" localSheetId="14">#REF!</definedName>
    <definedName name="PLANILHA" localSheetId="15">#REF!</definedName>
    <definedName name="PLANILHA" localSheetId="16">#REF!</definedName>
    <definedName name="PLANILHA" localSheetId="17">#REF!</definedName>
    <definedName name="PLANILHA" localSheetId="18">#REF!</definedName>
    <definedName name="PLANILHA" localSheetId="19">#REF!</definedName>
    <definedName name="PLANILHA" localSheetId="20">#REF!</definedName>
    <definedName name="PLANILHA" localSheetId="21">#REF!</definedName>
    <definedName name="PLANILHA" localSheetId="22">#REF!</definedName>
    <definedName name="PLANILHA" localSheetId="23">#REF!</definedName>
    <definedName name="PLANILHA" localSheetId="24">#REF!</definedName>
    <definedName name="PLANILHA" localSheetId="25">#REF!</definedName>
    <definedName name="PLANILHA" localSheetId="26">#REF!</definedName>
    <definedName name="PLANILHA" localSheetId="27">#REF!</definedName>
    <definedName name="PLANILHA" localSheetId="28">#REF!</definedName>
    <definedName name="PLANILHA" localSheetId="29">#REF!</definedName>
    <definedName name="PLANILHA" localSheetId="30">#REF!</definedName>
    <definedName name="PLANILHA" localSheetId="31">#REF!</definedName>
    <definedName name="PLANILHA" localSheetId="4">#REF!</definedName>
    <definedName name="PLANILHA" localSheetId="5">#REF!</definedName>
    <definedName name="PLANILHA" localSheetId="6">#REF!</definedName>
    <definedName name="PLANILHA" localSheetId="7">#REF!</definedName>
    <definedName name="PLANILHA" localSheetId="8">#REF!</definedName>
    <definedName name="PLANILHA" localSheetId="9">#REF!</definedName>
    <definedName name="PLANILHA" localSheetId="10">#REF!</definedName>
    <definedName name="PLANILHA" localSheetId="11">#REF!</definedName>
    <definedName name="PLANILHA">#REF!</definedName>
    <definedName name="Produtos">'[1]BD-1'!$B$224:$B$260</definedName>
    <definedName name="PROFISSIONAL_AUSENTE" localSheetId="12">#REF!</definedName>
    <definedName name="PROFISSIONAL_AUSENTE" localSheetId="13">#REF!</definedName>
    <definedName name="PROFISSIONAL_AUSENTE" localSheetId="14">#REF!</definedName>
    <definedName name="PROFISSIONAL_AUSENTE" localSheetId="15">#REF!</definedName>
    <definedName name="PROFISSIONAL_AUSENTE" localSheetId="16">#REF!</definedName>
    <definedName name="PROFISSIONAL_AUSENTE" localSheetId="17">#REF!</definedName>
    <definedName name="PROFISSIONAL_AUSENTE" localSheetId="18">#REF!</definedName>
    <definedName name="PROFISSIONAL_AUSENTE" localSheetId="19">#REF!</definedName>
    <definedName name="PROFISSIONAL_AUSENTE" localSheetId="20">#REF!</definedName>
    <definedName name="PROFISSIONAL_AUSENTE" localSheetId="21">#REF!</definedName>
    <definedName name="PROFISSIONAL_AUSENTE" localSheetId="22">#REF!</definedName>
    <definedName name="PROFISSIONAL_AUSENTE" localSheetId="23">#REF!</definedName>
    <definedName name="PROFISSIONAL_AUSENTE" localSheetId="24">#REF!</definedName>
    <definedName name="PROFISSIONAL_AUSENTE" localSheetId="25">#REF!</definedName>
    <definedName name="PROFISSIONAL_AUSENTE" localSheetId="26">#REF!</definedName>
    <definedName name="PROFISSIONAL_AUSENTE" localSheetId="27">#REF!</definedName>
    <definedName name="PROFISSIONAL_AUSENTE" localSheetId="28">#REF!</definedName>
    <definedName name="PROFISSIONAL_AUSENTE" localSheetId="29">#REF!</definedName>
    <definedName name="PROFISSIONAL_AUSENTE" localSheetId="30">#REF!</definedName>
    <definedName name="PROFISSIONAL_AUSENTE" localSheetId="31">#REF!</definedName>
    <definedName name="PROFISSIONAL_AUSENTE" localSheetId="4">#REF!</definedName>
    <definedName name="PROFISSIONAL_AUSENTE" localSheetId="5">#REF!</definedName>
    <definedName name="PROFISSIONAL_AUSENTE" localSheetId="6">#REF!</definedName>
    <definedName name="PROFISSIONAL_AUSENTE" localSheetId="7">#REF!</definedName>
    <definedName name="PROFISSIONAL_AUSENTE" localSheetId="8">#REF!</definedName>
    <definedName name="PROFISSIONAL_AUSENTE" localSheetId="9">#REF!</definedName>
    <definedName name="PROFISSIONAL_AUSENTE" localSheetId="10">#REF!</definedName>
    <definedName name="PROFISSIONAL_AUSENTE" localSheetId="11">#REF!</definedName>
    <definedName name="PROFISSIONAL_AUSENTE">#REF!</definedName>
    <definedName name="Remuneração" localSheetId="12">#REF!</definedName>
    <definedName name="Remuneração" localSheetId="13">#REF!</definedName>
    <definedName name="Remuneração" localSheetId="14">#REF!</definedName>
    <definedName name="Remuneração" localSheetId="15">#REF!</definedName>
    <definedName name="Remuneração" localSheetId="16">#REF!</definedName>
    <definedName name="Remuneração" localSheetId="17">#REF!</definedName>
    <definedName name="Remuneração" localSheetId="18">#REF!</definedName>
    <definedName name="Remuneração" localSheetId="19">#REF!</definedName>
    <definedName name="Remuneração" localSheetId="20">#REF!</definedName>
    <definedName name="Remuneração" localSheetId="21">#REF!</definedName>
    <definedName name="Remuneração" localSheetId="22">#REF!</definedName>
    <definedName name="Remuneração" localSheetId="23">#REF!</definedName>
    <definedName name="Remuneração" localSheetId="24">#REF!</definedName>
    <definedName name="Remuneração" localSheetId="25">#REF!</definedName>
    <definedName name="Remuneração" localSheetId="26">#REF!</definedName>
    <definedName name="Remuneração" localSheetId="27">#REF!</definedName>
    <definedName name="Remuneração" localSheetId="28">#REF!</definedName>
    <definedName name="Remuneração" localSheetId="29">#REF!</definedName>
    <definedName name="Remuneração" localSheetId="30">#REF!</definedName>
    <definedName name="Remuneração" localSheetId="31">#REF!</definedName>
    <definedName name="Remuneração" localSheetId="4">#REF!</definedName>
    <definedName name="Remuneração" localSheetId="5">#REF!</definedName>
    <definedName name="Remuneração" localSheetId="6">#REF!</definedName>
    <definedName name="Remuneração" localSheetId="7">#REF!</definedName>
    <definedName name="Remuneração" localSheetId="8">#REF!</definedName>
    <definedName name="Remuneração" localSheetId="9">#REF!</definedName>
    <definedName name="Remuneração" localSheetId="10">#REF!</definedName>
    <definedName name="Remuneração" localSheetId="11">#REF!</definedName>
    <definedName name="Remuneração">#REF!</definedName>
    <definedName name="Salario_Base" localSheetId="12">#REF!</definedName>
    <definedName name="Salario_Base" localSheetId="13">#REF!</definedName>
    <definedName name="Salario_Base" localSheetId="14">#REF!</definedName>
    <definedName name="Salario_Base" localSheetId="15">#REF!</definedName>
    <definedName name="Salario_Base" localSheetId="16">#REF!</definedName>
    <definedName name="Salario_Base" localSheetId="17">#REF!</definedName>
    <definedName name="Salario_Base" localSheetId="18">#REF!</definedName>
    <definedName name="Salario_Base" localSheetId="19">#REF!</definedName>
    <definedName name="Salario_Base" localSheetId="20">#REF!</definedName>
    <definedName name="Salario_Base" localSheetId="21">#REF!</definedName>
    <definedName name="Salario_Base" localSheetId="22">#REF!</definedName>
    <definedName name="Salario_Base" localSheetId="23">#REF!</definedName>
    <definedName name="Salario_Base" localSheetId="24">#REF!</definedName>
    <definedName name="Salario_Base" localSheetId="25">#REF!</definedName>
    <definedName name="Salario_Base" localSheetId="26">#REF!</definedName>
    <definedName name="Salario_Base" localSheetId="27">#REF!</definedName>
    <definedName name="Salario_Base" localSheetId="28">#REF!</definedName>
    <definedName name="Salario_Base" localSheetId="29">#REF!</definedName>
    <definedName name="Salario_Base" localSheetId="30">#REF!</definedName>
    <definedName name="Salario_Base" localSheetId="31">#REF!</definedName>
    <definedName name="Salario_Base" localSheetId="4">#REF!</definedName>
    <definedName name="Salario_Base" localSheetId="5">#REF!</definedName>
    <definedName name="Salario_Base" localSheetId="6">#REF!</definedName>
    <definedName name="Salario_Base" localSheetId="7">#REF!</definedName>
    <definedName name="Salario_Base" localSheetId="8">#REF!</definedName>
    <definedName name="Salario_Base" localSheetId="9">#REF!</definedName>
    <definedName name="Salario_Base" localSheetId="10">#REF!</definedName>
    <definedName name="Salario_Base" localSheetId="11">#REF!</definedName>
    <definedName name="Salario_Base">#REF!</definedName>
    <definedName name="Serviços" localSheetId="0">'[1]BD-2'!$Q$5:$Q$7</definedName>
    <definedName name="Serviços">'ISS - VT'!$Q$5:$Q$7</definedName>
    <definedName name="Servíços">'ISS - VT'!$Q$5:$Q$7</definedName>
    <definedName name="VA" localSheetId="12">#REF!</definedName>
    <definedName name="VA" localSheetId="13">#REF!</definedName>
    <definedName name="VA" localSheetId="14">#REF!</definedName>
    <definedName name="VA" localSheetId="15">#REF!</definedName>
    <definedName name="VA" localSheetId="16">#REF!</definedName>
    <definedName name="VA" localSheetId="17">#REF!</definedName>
    <definedName name="VA" localSheetId="18">#REF!</definedName>
    <definedName name="VA" localSheetId="19">#REF!</definedName>
    <definedName name="VA" localSheetId="20">#REF!</definedName>
    <definedName name="VA" localSheetId="21">#REF!</definedName>
    <definedName name="VA" localSheetId="22">#REF!</definedName>
    <definedName name="VA" localSheetId="23">#REF!</definedName>
    <definedName name="VA" localSheetId="24">#REF!</definedName>
    <definedName name="VA" localSheetId="25">#REF!</definedName>
    <definedName name="VA" localSheetId="26">#REF!</definedName>
    <definedName name="VA" localSheetId="27">#REF!</definedName>
    <definedName name="VA" localSheetId="28">#REF!</definedName>
    <definedName name="VA" localSheetId="29">#REF!</definedName>
    <definedName name="VA" localSheetId="30">#REF!</definedName>
    <definedName name="VA" localSheetId="31">#REF!</definedName>
    <definedName name="VA" localSheetId="4">#REF!</definedName>
    <definedName name="VA" localSheetId="5">#REF!</definedName>
    <definedName name="VA" localSheetId="6">#REF!</definedName>
    <definedName name="VA" localSheetId="7">#REF!</definedName>
    <definedName name="VA" localSheetId="8">#REF!</definedName>
    <definedName name="VA" localSheetId="9">#REF!</definedName>
    <definedName name="VA" localSheetId="10">#REF!</definedName>
    <definedName name="VA" localSheetId="11">#REF!</definedName>
    <definedName name="VA">#REF!</definedName>
    <definedName name="VT" localSheetId="12">#REF!</definedName>
    <definedName name="VT" localSheetId="13">#REF!</definedName>
    <definedName name="VT" localSheetId="14">#REF!</definedName>
    <definedName name="VT" localSheetId="15">#REF!</definedName>
    <definedName name="VT" localSheetId="16">#REF!</definedName>
    <definedName name="VT" localSheetId="17">#REF!</definedName>
    <definedName name="VT" localSheetId="18">#REF!</definedName>
    <definedName name="VT" localSheetId="19">#REF!</definedName>
    <definedName name="VT" localSheetId="20">#REF!</definedName>
    <definedName name="VT" localSheetId="21">#REF!</definedName>
    <definedName name="VT" localSheetId="22">#REF!</definedName>
    <definedName name="VT" localSheetId="23">#REF!</definedName>
    <definedName name="VT" localSheetId="24">#REF!</definedName>
    <definedName name="VT" localSheetId="25">#REF!</definedName>
    <definedName name="VT" localSheetId="26">#REF!</definedName>
    <definedName name="VT" localSheetId="27">#REF!</definedName>
    <definedName name="VT" localSheetId="28">#REF!</definedName>
    <definedName name="VT" localSheetId="29">#REF!</definedName>
    <definedName name="VT" localSheetId="30">#REF!</definedName>
    <definedName name="VT" localSheetId="31">#REF!</definedName>
    <definedName name="VT" localSheetId="4">#REF!</definedName>
    <definedName name="VT" localSheetId="5">#REF!</definedName>
    <definedName name="VT" localSheetId="6">#REF!</definedName>
    <definedName name="VT" localSheetId="7">#REF!</definedName>
    <definedName name="VT" localSheetId="8">#REF!</definedName>
    <definedName name="VT" localSheetId="9">#REF!</definedName>
    <definedName name="VT" localSheetId="10">#REF!</definedName>
    <definedName name="VT" localSheetId="11">#REF!</definedName>
    <definedName name="VT">#REF!</definedName>
  </definedNames>
  <calcPr calcId="145621"/>
</workbook>
</file>

<file path=xl/calcChain.xml><?xml version="1.0" encoding="utf-8"?>
<calcChain xmlns="http://schemas.openxmlformats.org/spreadsheetml/2006/main">
  <c r="AX24" i="281" l="1"/>
  <c r="AX29" i="281" l="1"/>
  <c r="AX15" i="281"/>
  <c r="AX10" i="281" l="1"/>
  <c r="E27" i="191" l="1"/>
  <c r="BC16" i="281" l="1"/>
  <c r="BC14" i="281"/>
  <c r="BB16" i="281"/>
  <c r="BB14" i="281"/>
  <c r="AX12" i="281"/>
  <c r="AX11" i="281"/>
  <c r="AZ60" i="281" l="1"/>
  <c r="AY13" i="281" l="1"/>
  <c r="AZ208" i="281" l="1"/>
  <c r="AZ203" i="281"/>
  <c r="AZ198" i="281"/>
  <c r="AZ193" i="281"/>
  <c r="AZ188" i="281"/>
  <c r="AZ184" i="281"/>
  <c r="AZ179" i="281"/>
  <c r="AZ178" i="281"/>
  <c r="AZ173" i="281"/>
  <c r="AZ172" i="281"/>
  <c r="AZ168" i="281"/>
  <c r="AZ162" i="281"/>
  <c r="AZ163" i="281"/>
  <c r="AZ164" i="281"/>
  <c r="AZ161" i="281"/>
  <c r="AZ157" i="281"/>
  <c r="AZ151" i="281"/>
  <c r="AZ152" i="281"/>
  <c r="AZ153" i="281"/>
  <c r="AZ150" i="281"/>
  <c r="AZ144" i="281"/>
  <c r="AZ145" i="281"/>
  <c r="AZ146" i="281"/>
  <c r="AZ143" i="281"/>
  <c r="AZ136" i="281"/>
  <c r="AZ137" i="281"/>
  <c r="AZ138" i="281"/>
  <c r="AZ139" i="281"/>
  <c r="AZ135" i="281"/>
  <c r="AZ129" i="281"/>
  <c r="AZ130" i="281"/>
  <c r="AZ131" i="281"/>
  <c r="AZ128" i="281"/>
  <c r="AZ123" i="281"/>
  <c r="AZ124" i="281"/>
  <c r="AZ122" i="281"/>
  <c r="AZ116" i="281"/>
  <c r="AZ117" i="281"/>
  <c r="AZ118" i="281"/>
  <c r="AZ115" i="281"/>
  <c r="AZ110" i="281"/>
  <c r="AZ111" i="281"/>
  <c r="AZ109" i="281"/>
  <c r="AZ104" i="281"/>
  <c r="AZ105" i="281"/>
  <c r="AZ103" i="281"/>
  <c r="AZ98" i="281"/>
  <c r="AZ99" i="281"/>
  <c r="AZ97" i="281"/>
  <c r="AZ92" i="281"/>
  <c r="AZ93" i="281"/>
  <c r="AZ91" i="281"/>
  <c r="AZ86" i="281"/>
  <c r="AZ87" i="281"/>
  <c r="AZ85" i="281"/>
  <c r="AZ78" i="281"/>
  <c r="AZ79" i="281"/>
  <c r="AZ80" i="281"/>
  <c r="AZ81" i="281"/>
  <c r="AZ77" i="281"/>
  <c r="AZ72" i="281"/>
  <c r="AZ73" i="281"/>
  <c r="AZ74" i="281"/>
  <c r="AZ71" i="281"/>
  <c r="AY30" i="281"/>
  <c r="AY17" i="281" s="1"/>
  <c r="AY29" i="281"/>
  <c r="AY15" i="281" s="1"/>
  <c r="AY27" i="281"/>
  <c r="AY12" i="281" s="1"/>
  <c r="AY26" i="281"/>
  <c r="AY11" i="281" s="1"/>
  <c r="AY25" i="281"/>
  <c r="AY10" i="281" s="1"/>
  <c r="AZ28" i="281"/>
  <c r="AY24" i="281"/>
  <c r="AY9" i="281" s="1"/>
  <c r="AY23" i="281"/>
  <c r="AY8" i="281" s="1"/>
  <c r="AZ64" i="281"/>
  <c r="AZ63" i="281"/>
  <c r="AZ59" i="281"/>
  <c r="AZ56" i="281"/>
  <c r="AZ55" i="281"/>
  <c r="AZ49" i="281"/>
  <c r="AZ50" i="281"/>
  <c r="AZ51" i="281"/>
  <c r="AZ52" i="281"/>
  <c r="AZ48" i="281"/>
  <c r="AZ35" i="281"/>
  <c r="AZ36" i="281"/>
  <c r="AZ37" i="281"/>
  <c r="AZ38" i="281"/>
  <c r="AZ39" i="281"/>
  <c r="AZ40" i="281"/>
  <c r="AZ41" i="281"/>
  <c r="AZ42" i="281"/>
  <c r="AZ43" i="281"/>
  <c r="AZ44" i="281"/>
  <c r="AZ45" i="281"/>
  <c r="AZ34" i="281"/>
  <c r="H42" i="281"/>
  <c r="I42" i="281" s="1"/>
  <c r="AU42" i="281"/>
  <c r="AV42" i="281" s="1"/>
  <c r="AW42" i="281" s="1"/>
  <c r="H40" i="281"/>
  <c r="I40" i="281" s="1"/>
  <c r="AV40" i="281"/>
  <c r="AW40" i="281" s="1"/>
  <c r="H37" i="281"/>
  <c r="I37" i="281" s="1"/>
  <c r="AV37" i="281"/>
  <c r="AW37" i="281" s="1"/>
  <c r="AU44" i="281"/>
  <c r="AV44" i="281" s="1"/>
  <c r="AW44" i="281" s="1"/>
  <c r="AU52" i="281"/>
  <c r="AV52" i="281" s="1"/>
  <c r="AW52" i="281" s="1"/>
  <c r="H56" i="281"/>
  <c r="I56" i="281" s="1"/>
  <c r="AU56" i="281"/>
  <c r="AV56" i="281" s="1"/>
  <c r="AW56" i="281" s="1"/>
  <c r="H60" i="281"/>
  <c r="I60" i="281" s="1"/>
  <c r="AU60" i="281"/>
  <c r="AV60" i="281" s="1"/>
  <c r="AW60" i="281" s="1"/>
  <c r="H64" i="281"/>
  <c r="I64" i="281" s="1"/>
  <c r="AU64" i="281"/>
  <c r="AV64" i="281" s="1"/>
  <c r="AW64" i="281" s="1"/>
  <c r="AU74" i="281"/>
  <c r="AV74" i="281" s="1"/>
  <c r="AW74" i="281" s="1"/>
  <c r="BA74" i="281"/>
  <c r="BB74" i="281" s="1"/>
  <c r="BC74" i="281" s="1"/>
  <c r="AY18" i="281" l="1"/>
  <c r="J42" i="281"/>
  <c r="L42" i="281"/>
  <c r="J40" i="281"/>
  <c r="L40" i="281"/>
  <c r="J37" i="281"/>
  <c r="L37" i="281"/>
  <c r="J56" i="281"/>
  <c r="L56" i="281"/>
  <c r="J60" i="281"/>
  <c r="L60" i="281"/>
  <c r="J64" i="281"/>
  <c r="L64" i="281"/>
  <c r="H67" i="281"/>
  <c r="I67" i="281" s="1"/>
  <c r="AU67" i="281"/>
  <c r="AV67" i="281" s="1"/>
  <c r="AW67" i="281" s="1"/>
  <c r="H68" i="281"/>
  <c r="I68" i="281" s="1"/>
  <c r="AU68" i="281"/>
  <c r="AV68" i="281" s="1"/>
  <c r="AW68" i="281" s="1"/>
  <c r="AZ14" i="281"/>
  <c r="AZ16" i="281"/>
  <c r="J68" i="281" l="1"/>
  <c r="L68" i="281"/>
  <c r="J67" i="281"/>
  <c r="L67" i="281"/>
  <c r="AU16" i="281"/>
  <c r="AV16" i="281" s="1"/>
  <c r="AW16" i="281" s="1"/>
  <c r="V16" i="281"/>
  <c r="W16" i="281" s="1"/>
  <c r="X16" i="281" s="1"/>
  <c r="R16" i="281"/>
  <c r="S16" i="281" s="1"/>
  <c r="H16" i="281"/>
  <c r="I16" i="281" s="1"/>
  <c r="H15" i="281"/>
  <c r="I15" i="281" s="1"/>
  <c r="N15" i="281"/>
  <c r="R15" i="281"/>
  <c r="Q15" i="281" s="1"/>
  <c r="V15" i="281"/>
  <c r="W15" i="281" s="1"/>
  <c r="X15" i="281" s="1"/>
  <c r="AI15" i="281"/>
  <c r="AU15" i="281"/>
  <c r="AU14" i="281"/>
  <c r="AV14" i="281" s="1"/>
  <c r="AW14" i="281" s="1"/>
  <c r="V14" i="281"/>
  <c r="W14" i="281" s="1"/>
  <c r="X14" i="281" s="1"/>
  <c r="Q14" i="281"/>
  <c r="R14" i="281" s="1"/>
  <c r="S14" i="281" s="1"/>
  <c r="H14" i="281"/>
  <c r="I14" i="281" s="1"/>
  <c r="AX13" i="281"/>
  <c r="AZ13" i="281" s="1"/>
  <c r="L16" i="281" l="1"/>
  <c r="J16" i="281"/>
  <c r="J15" i="281"/>
  <c r="L15" i="281"/>
  <c r="S15" i="281"/>
  <c r="J14" i="281"/>
  <c r="L14" i="281"/>
  <c r="AD18" i="281"/>
  <c r="U18" i="281"/>
  <c r="P18" i="281"/>
  <c r="G18" i="281"/>
  <c r="F18" i="281"/>
  <c r="AU17" i="281"/>
  <c r="V17" i="281"/>
  <c r="W17" i="281" s="1"/>
  <c r="X17" i="281" s="1"/>
  <c r="R17" i="281"/>
  <c r="S17" i="281" s="1"/>
  <c r="N17" i="281"/>
  <c r="H17" i="281"/>
  <c r="I17" i="281" s="1"/>
  <c r="AU13" i="281"/>
  <c r="AV13" i="281" s="1"/>
  <c r="AW13" i="281" s="1"/>
  <c r="V13" i="281"/>
  <c r="W13" i="281" s="1"/>
  <c r="X13" i="281" s="1"/>
  <c r="R13" i="281"/>
  <c r="S13" i="281" s="1"/>
  <c r="N13" i="281"/>
  <c r="H13" i="281"/>
  <c r="I13" i="281" s="1"/>
  <c r="J13" i="281" s="1"/>
  <c r="AU12" i="281"/>
  <c r="V12" i="281"/>
  <c r="W12" i="281" s="1"/>
  <c r="X12" i="281" s="1"/>
  <c r="R12" i="281"/>
  <c r="S12" i="281" s="1"/>
  <c r="H12" i="281"/>
  <c r="I12" i="281" s="1"/>
  <c r="AU11" i="281"/>
  <c r="AT11" i="281"/>
  <c r="V11" i="281"/>
  <c r="W11" i="281" s="1"/>
  <c r="X11" i="281" s="1"/>
  <c r="R11" i="281"/>
  <c r="S11" i="281" s="1"/>
  <c r="N11" i="281"/>
  <c r="H11" i="281"/>
  <c r="I11" i="281" s="1"/>
  <c r="L11" i="281" s="1"/>
  <c r="AU10" i="281"/>
  <c r="AT10" i="281"/>
  <c r="AD10" i="281"/>
  <c r="V10" i="281"/>
  <c r="W10" i="281" s="1"/>
  <c r="X10" i="281" s="1"/>
  <c r="R10" i="281"/>
  <c r="S10" i="281" s="1"/>
  <c r="N10" i="281"/>
  <c r="H10" i="281"/>
  <c r="I10" i="281" s="1"/>
  <c r="J10" i="281" s="1"/>
  <c r="AU9" i="281"/>
  <c r="V9" i="281"/>
  <c r="W9" i="281" s="1"/>
  <c r="X9" i="281" s="1"/>
  <c r="R9" i="281"/>
  <c r="S9" i="281" s="1"/>
  <c r="N9" i="281"/>
  <c r="H9" i="281"/>
  <c r="D9" i="281"/>
  <c r="D18" i="281" s="1"/>
  <c r="AV8" i="281"/>
  <c r="AW8" i="281" s="1"/>
  <c r="AU8" i="281"/>
  <c r="AT8" i="281"/>
  <c r="V8" i="281"/>
  <c r="W8" i="281" s="1"/>
  <c r="R8" i="281"/>
  <c r="N8" i="281"/>
  <c r="H8" i="281"/>
  <c r="I8" i="281" s="1"/>
  <c r="K8" i="281" s="1"/>
  <c r="K18" i="281" s="1"/>
  <c r="D48" i="191"/>
  <c r="AX112" i="281"/>
  <c r="N18" i="281" l="1"/>
  <c r="Q10" i="281"/>
  <c r="Q11" i="281"/>
  <c r="R18" i="281"/>
  <c r="AV10" i="281"/>
  <c r="AW10" i="281" s="1"/>
  <c r="AV11" i="281"/>
  <c r="AW11" i="281" s="1"/>
  <c r="W18" i="281"/>
  <c r="X8" i="281"/>
  <c r="X18" i="281" s="1"/>
  <c r="J12" i="281"/>
  <c r="L12" i="281"/>
  <c r="L17" i="281"/>
  <c r="J17" i="281"/>
  <c r="L10" i="281"/>
  <c r="L13" i="281"/>
  <c r="J8" i="281"/>
  <c r="S8" i="281"/>
  <c r="S18" i="281" s="1"/>
  <c r="I9" i="281"/>
  <c r="I18" i="281" s="1"/>
  <c r="Q9" i="281"/>
  <c r="J11" i="281"/>
  <c r="Q12" i="281"/>
  <c r="Q17" i="281"/>
  <c r="AX209" i="281"/>
  <c r="AH209" i="281"/>
  <c r="AG209" i="281"/>
  <c r="AE209" i="281"/>
  <c r="X209" i="281"/>
  <c r="W209" i="281"/>
  <c r="U209" i="281"/>
  <c r="S209" i="281"/>
  <c r="R209" i="281"/>
  <c r="P209" i="281"/>
  <c r="L209" i="281"/>
  <c r="K209" i="281"/>
  <c r="J209" i="281"/>
  <c r="I209" i="281"/>
  <c r="F209" i="281"/>
  <c r="D209" i="281"/>
  <c r="AU208" i="281"/>
  <c r="AT208" i="281"/>
  <c r="AT209" i="281" s="1"/>
  <c r="H208" i="281"/>
  <c r="I208" i="281" s="1"/>
  <c r="AX204" i="281"/>
  <c r="AT204" i="281"/>
  <c r="AH204" i="281"/>
  <c r="AG204" i="281"/>
  <c r="AE204" i="281"/>
  <c r="X204" i="281"/>
  <c r="W204" i="281"/>
  <c r="U204" i="281"/>
  <c r="S204" i="281"/>
  <c r="R204" i="281"/>
  <c r="P204" i="281"/>
  <c r="L204" i="281"/>
  <c r="K204" i="281"/>
  <c r="J204" i="281"/>
  <c r="I204" i="281"/>
  <c r="F204" i="281"/>
  <c r="D204" i="281"/>
  <c r="AU203" i="281"/>
  <c r="AV203" i="281" s="1"/>
  <c r="V203" i="281"/>
  <c r="W203" i="281" s="1"/>
  <c r="X203" i="281" s="1"/>
  <c r="R203" i="281"/>
  <c r="S203" i="281" s="1"/>
  <c r="H203" i="281"/>
  <c r="I203" i="281" s="1"/>
  <c r="AX199" i="281"/>
  <c r="AT199" i="281"/>
  <c r="AE199" i="281"/>
  <c r="X199" i="281"/>
  <c r="W199" i="281"/>
  <c r="U199" i="281"/>
  <c r="S199" i="281"/>
  <c r="R199" i="281"/>
  <c r="P199" i="281"/>
  <c r="L199" i="281"/>
  <c r="K199" i="281"/>
  <c r="J199" i="281"/>
  <c r="I199" i="281"/>
  <c r="F199" i="281"/>
  <c r="D199" i="281"/>
  <c r="AU198" i="281"/>
  <c r="AV198" i="281" s="1"/>
  <c r="AV199" i="281" s="1"/>
  <c r="AG198" i="281"/>
  <c r="AG199" i="281" s="1"/>
  <c r="I198" i="281"/>
  <c r="J198" i="281" s="1"/>
  <c r="AX194" i="281"/>
  <c r="AW194" i="281"/>
  <c r="AV194" i="281"/>
  <c r="AT194" i="281"/>
  <c r="AH194" i="281"/>
  <c r="AG194" i="281"/>
  <c r="AE194" i="281"/>
  <c r="X194" i="281"/>
  <c r="W194" i="281"/>
  <c r="U194" i="281"/>
  <c r="S194" i="281"/>
  <c r="R194" i="281"/>
  <c r="P194" i="281"/>
  <c r="L194" i="281"/>
  <c r="K194" i="281"/>
  <c r="J194" i="281"/>
  <c r="I194" i="281"/>
  <c r="F194" i="281"/>
  <c r="D194" i="281"/>
  <c r="AU193" i="281"/>
  <c r="AV193" i="281" s="1"/>
  <c r="AW193" i="281" s="1"/>
  <c r="AG193" i="281"/>
  <c r="AH193" i="281" s="1"/>
  <c r="AB193" i="281"/>
  <c r="AC193" i="281" s="1"/>
  <c r="H193" i="281"/>
  <c r="I193" i="281" s="1"/>
  <c r="AN190" i="281"/>
  <c r="AC190" i="281"/>
  <c r="G190" i="281"/>
  <c r="AX189" i="281"/>
  <c r="AT189" i="281"/>
  <c r="AE189" i="281"/>
  <c r="X189" i="281"/>
  <c r="W189" i="281"/>
  <c r="U189" i="281"/>
  <c r="S189" i="281"/>
  <c r="R189" i="281"/>
  <c r="P189" i="281"/>
  <c r="L189" i="281"/>
  <c r="K189" i="281"/>
  <c r="J189" i="281"/>
  <c r="I189" i="281"/>
  <c r="F189" i="281"/>
  <c r="D189" i="281"/>
  <c r="AU188" i="281"/>
  <c r="AV188" i="281" s="1"/>
  <c r="AG188" i="281"/>
  <c r="AG189" i="281" s="1"/>
  <c r="I188" i="281"/>
  <c r="J188" i="281" s="1"/>
  <c r="AX185" i="281"/>
  <c r="AX180" i="281"/>
  <c r="AX174" i="281"/>
  <c r="AT174" i="281"/>
  <c r="AE174" i="281"/>
  <c r="X174" i="281"/>
  <c r="W174" i="281"/>
  <c r="U174" i="281"/>
  <c r="S174" i="281"/>
  <c r="R174" i="281"/>
  <c r="P174" i="281"/>
  <c r="L174" i="281"/>
  <c r="K174" i="281"/>
  <c r="J174" i="281"/>
  <c r="I174" i="281"/>
  <c r="F174" i="281"/>
  <c r="D174" i="281"/>
  <c r="AU173" i="281"/>
  <c r="AT173" i="281"/>
  <c r="H173" i="281"/>
  <c r="I173" i="281" s="1"/>
  <c r="AU172" i="281"/>
  <c r="AV172" i="281" s="1"/>
  <c r="AV174" i="281" s="1"/>
  <c r="AG172" i="281"/>
  <c r="AG174" i="281" s="1"/>
  <c r="I172" i="281"/>
  <c r="J172" i="281" s="1"/>
  <c r="AX169" i="281"/>
  <c r="AT169" i="281"/>
  <c r="AE169" i="281"/>
  <c r="X169" i="281"/>
  <c r="W169" i="281"/>
  <c r="U169" i="281"/>
  <c r="S169" i="281"/>
  <c r="R169" i="281"/>
  <c r="P169" i="281"/>
  <c r="L169" i="281"/>
  <c r="K169" i="281"/>
  <c r="J169" i="281"/>
  <c r="I169" i="281"/>
  <c r="F169" i="281"/>
  <c r="D169" i="281"/>
  <c r="AU168" i="281"/>
  <c r="AV168" i="281" s="1"/>
  <c r="AG168" i="281"/>
  <c r="AG169" i="281" s="1"/>
  <c r="I168" i="281"/>
  <c r="J168" i="281" s="1"/>
  <c r="AX165" i="281"/>
  <c r="AT165" i="281"/>
  <c r="AE165" i="281"/>
  <c r="X165" i="281"/>
  <c r="W165" i="281"/>
  <c r="U165" i="281"/>
  <c r="S165" i="281"/>
  <c r="R165" i="281"/>
  <c r="P165" i="281"/>
  <c r="L165" i="281"/>
  <c r="K165" i="281"/>
  <c r="F165" i="281"/>
  <c r="D165" i="281"/>
  <c r="AU164" i="281"/>
  <c r="AV164" i="281" s="1"/>
  <c r="AW164" i="281" s="1"/>
  <c r="AU163" i="281"/>
  <c r="AV163" i="281" s="1"/>
  <c r="AW163" i="281" s="1"/>
  <c r="AF163" i="281"/>
  <c r="AG163" i="281" s="1"/>
  <c r="AH163" i="281" s="1"/>
  <c r="I163" i="281"/>
  <c r="I165" i="281" s="1"/>
  <c r="AU162" i="281"/>
  <c r="AV162" i="281" s="1"/>
  <c r="AW162" i="281" s="1"/>
  <c r="AU161" i="281"/>
  <c r="AV161" i="281" s="1"/>
  <c r="AW161" i="281" s="1"/>
  <c r="AF161" i="281"/>
  <c r="AG161" i="281" s="1"/>
  <c r="I161" i="281"/>
  <c r="J161" i="281" s="1"/>
  <c r="AX158" i="281"/>
  <c r="AT158" i="281"/>
  <c r="U158" i="281"/>
  <c r="P158" i="281"/>
  <c r="F158" i="281"/>
  <c r="D158" i="281"/>
  <c r="AU157" i="281"/>
  <c r="AV157" i="281" s="1"/>
  <c r="AW157" i="281" s="1"/>
  <c r="V157" i="281"/>
  <c r="W157" i="281" s="1"/>
  <c r="X157" i="281" s="1"/>
  <c r="Q157" i="281"/>
  <c r="R157" i="281" s="1"/>
  <c r="S157" i="281" s="1"/>
  <c r="H157" i="281"/>
  <c r="I157" i="281" s="1"/>
  <c r="J157" i="281" s="1"/>
  <c r="BJ176" i="281"/>
  <c r="AX154" i="281"/>
  <c r="AT154" i="281"/>
  <c r="U154" i="281"/>
  <c r="P154" i="281"/>
  <c r="D154" i="281"/>
  <c r="AU153" i="281"/>
  <c r="AV153" i="281" s="1"/>
  <c r="AW153" i="281" s="1"/>
  <c r="V153" i="281"/>
  <c r="W153" i="281" s="1"/>
  <c r="X153" i="281" s="1"/>
  <c r="R153" i="281"/>
  <c r="S153" i="281" s="1"/>
  <c r="H153" i="281"/>
  <c r="I153" i="281" s="1"/>
  <c r="J153" i="281" s="1"/>
  <c r="AU152" i="281"/>
  <c r="AV152" i="281" s="1"/>
  <c r="AW152" i="281" s="1"/>
  <c r="V152" i="281"/>
  <c r="W152" i="281" s="1"/>
  <c r="X152" i="281" s="1"/>
  <c r="Q152" i="281"/>
  <c r="R152" i="281" s="1"/>
  <c r="S152" i="281" s="1"/>
  <c r="H152" i="281"/>
  <c r="I152" i="281" s="1"/>
  <c r="J152" i="281" s="1"/>
  <c r="AU151" i="281"/>
  <c r="AV151" i="281" s="1"/>
  <c r="AW151" i="281" s="1"/>
  <c r="AU150" i="281"/>
  <c r="AV150" i="281" s="1"/>
  <c r="AW150" i="281" s="1"/>
  <c r="V150" i="281"/>
  <c r="W150" i="281" s="1"/>
  <c r="Q150" i="281"/>
  <c r="R150" i="281" s="1"/>
  <c r="S150" i="281" s="1"/>
  <c r="H150" i="281"/>
  <c r="I150" i="281" s="1"/>
  <c r="AX147" i="281"/>
  <c r="AT147" i="281"/>
  <c r="P147" i="281"/>
  <c r="D147" i="281"/>
  <c r="AU146" i="281"/>
  <c r="AV146" i="281" s="1"/>
  <c r="AW146" i="281" s="1"/>
  <c r="Q146" i="281"/>
  <c r="R146" i="281" s="1"/>
  <c r="S146" i="281" s="1"/>
  <c r="H146" i="281"/>
  <c r="K146" i="281" s="1"/>
  <c r="AU145" i="281"/>
  <c r="AV145" i="281" s="1"/>
  <c r="AW145" i="281" s="1"/>
  <c r="Q145" i="281"/>
  <c r="R145" i="281" s="1"/>
  <c r="S145" i="281" s="1"/>
  <c r="H145" i="281"/>
  <c r="K145" i="281" s="1"/>
  <c r="AU144" i="281"/>
  <c r="AV144" i="281" s="1"/>
  <c r="AW144" i="281" s="1"/>
  <c r="Q144" i="281"/>
  <c r="R144" i="281" s="1"/>
  <c r="S144" i="281" s="1"/>
  <c r="H144" i="281"/>
  <c r="K144" i="281" s="1"/>
  <c r="AU143" i="281"/>
  <c r="AV143" i="281" s="1"/>
  <c r="AW143" i="281" s="1"/>
  <c r="Q143" i="281"/>
  <c r="R143" i="281" s="1"/>
  <c r="H143" i="281"/>
  <c r="I143" i="281" s="1"/>
  <c r="AX140" i="281"/>
  <c r="AT140" i="281"/>
  <c r="U140" i="281"/>
  <c r="P140" i="281"/>
  <c r="D140" i="281"/>
  <c r="AU139" i="281"/>
  <c r="AV139" i="281" s="1"/>
  <c r="AW139" i="281" s="1"/>
  <c r="V139" i="281"/>
  <c r="W139" i="281" s="1"/>
  <c r="X139" i="281" s="1"/>
  <c r="R139" i="281"/>
  <c r="S139" i="281" s="1"/>
  <c r="H139" i="281"/>
  <c r="I139" i="281" s="1"/>
  <c r="AU138" i="281"/>
  <c r="BF128" i="281" s="1"/>
  <c r="V138" i="281"/>
  <c r="W138" i="281" s="1"/>
  <c r="X138" i="281" s="1"/>
  <c r="R138" i="281"/>
  <c r="S138" i="281" s="1"/>
  <c r="H138" i="281"/>
  <c r="I138" i="281" s="1"/>
  <c r="AU137" i="281"/>
  <c r="AV137" i="281" s="1"/>
  <c r="AW137" i="281" s="1"/>
  <c r="V137" i="281"/>
  <c r="W137" i="281" s="1"/>
  <c r="X137" i="281" s="1"/>
  <c r="Q137" i="281"/>
  <c r="R137" i="281" s="1"/>
  <c r="S137" i="281" s="1"/>
  <c r="H137" i="281"/>
  <c r="I137" i="281" s="1"/>
  <c r="J137" i="281" s="1"/>
  <c r="AU136" i="281"/>
  <c r="AV136" i="281" s="1"/>
  <c r="AW136" i="281" s="1"/>
  <c r="V136" i="281"/>
  <c r="W136" i="281" s="1"/>
  <c r="X136" i="281" s="1"/>
  <c r="R136" i="281"/>
  <c r="S136" i="281" s="1"/>
  <c r="H136" i="281"/>
  <c r="I136" i="281" s="1"/>
  <c r="J136" i="281" s="1"/>
  <c r="AU135" i="281"/>
  <c r="AV135" i="281" s="1"/>
  <c r="V135" i="281"/>
  <c r="W135" i="281" s="1"/>
  <c r="R135" i="281"/>
  <c r="H135" i="281"/>
  <c r="I135" i="281" s="1"/>
  <c r="AX132" i="281"/>
  <c r="AT132" i="281"/>
  <c r="U132" i="281"/>
  <c r="P132" i="281"/>
  <c r="D132" i="281"/>
  <c r="AU131" i="281"/>
  <c r="AV131" i="281" s="1"/>
  <c r="AW131" i="281" s="1"/>
  <c r="V131" i="281"/>
  <c r="W131" i="281" s="1"/>
  <c r="X131" i="281" s="1"/>
  <c r="Q131" i="281"/>
  <c r="R131" i="281" s="1"/>
  <c r="S131" i="281" s="1"/>
  <c r="H131" i="281"/>
  <c r="I131" i="281" s="1"/>
  <c r="J131" i="281" s="1"/>
  <c r="AU130" i="281"/>
  <c r="BG122" i="281" s="1"/>
  <c r="Q130" i="281"/>
  <c r="R130" i="281" s="1"/>
  <c r="S130" i="281" s="1"/>
  <c r="K130" i="281"/>
  <c r="AU129" i="281"/>
  <c r="AV129" i="281" s="1"/>
  <c r="AW129" i="281" s="1"/>
  <c r="V129" i="281"/>
  <c r="W129" i="281" s="1"/>
  <c r="X129" i="281" s="1"/>
  <c r="R129" i="281"/>
  <c r="S129" i="281" s="1"/>
  <c r="H129" i="281"/>
  <c r="I129" i="281" s="1"/>
  <c r="L129" i="281" s="1"/>
  <c r="AU128" i="281"/>
  <c r="AV128" i="281" s="1"/>
  <c r="V128" i="281"/>
  <c r="W128" i="281" s="1"/>
  <c r="Q128" i="281"/>
  <c r="R128" i="281" s="1"/>
  <c r="H128" i="281"/>
  <c r="I128" i="281" s="1"/>
  <c r="L128" i="281" s="1"/>
  <c r="AX125" i="281"/>
  <c r="AT125" i="281"/>
  <c r="P125" i="281"/>
  <c r="D125" i="281"/>
  <c r="AU124" i="281"/>
  <c r="AV124" i="281" s="1"/>
  <c r="AW124" i="281" s="1"/>
  <c r="Q124" i="281"/>
  <c r="R124" i="281" s="1"/>
  <c r="S124" i="281" s="1"/>
  <c r="H124" i="281"/>
  <c r="K124" i="281" s="1"/>
  <c r="AU123" i="281"/>
  <c r="AV123" i="281" s="1"/>
  <c r="AW123" i="281" s="1"/>
  <c r="V123" i="281"/>
  <c r="W123" i="281" s="1"/>
  <c r="X123" i="281" s="1"/>
  <c r="R123" i="281"/>
  <c r="S123" i="281" s="1"/>
  <c r="H123" i="281"/>
  <c r="I123" i="281" s="1"/>
  <c r="AU122" i="281"/>
  <c r="AV122" i="281" s="1"/>
  <c r="Q122" i="281"/>
  <c r="R122" i="281" s="1"/>
  <c r="H122" i="281"/>
  <c r="I122" i="281" s="1"/>
  <c r="AX119" i="281"/>
  <c r="AT119" i="281"/>
  <c r="U119" i="281"/>
  <c r="P119" i="281"/>
  <c r="D119" i="281"/>
  <c r="AU118" i="281"/>
  <c r="AV118" i="281" s="1"/>
  <c r="AW118" i="281" s="1"/>
  <c r="V118" i="281"/>
  <c r="W118" i="281" s="1"/>
  <c r="X118" i="281" s="1"/>
  <c r="R118" i="281"/>
  <c r="S118" i="281" s="1"/>
  <c r="H118" i="281"/>
  <c r="I118" i="281" s="1"/>
  <c r="AU117" i="281"/>
  <c r="AV117" i="281" s="1"/>
  <c r="AW117" i="281" s="1"/>
  <c r="V117" i="281"/>
  <c r="W117" i="281" s="1"/>
  <c r="X117" i="281" s="1"/>
  <c r="Q117" i="281"/>
  <c r="R117" i="281" s="1"/>
  <c r="S117" i="281" s="1"/>
  <c r="H117" i="281"/>
  <c r="I117" i="281" s="1"/>
  <c r="AU116" i="281"/>
  <c r="AV116" i="281" s="1"/>
  <c r="AW116" i="281" s="1"/>
  <c r="V116" i="281"/>
  <c r="W116" i="281" s="1"/>
  <c r="X116" i="281" s="1"/>
  <c r="R116" i="281"/>
  <c r="S116" i="281" s="1"/>
  <c r="H116" i="281"/>
  <c r="I116" i="281" s="1"/>
  <c r="L116" i="281" s="1"/>
  <c r="AU115" i="281"/>
  <c r="AV115" i="281" s="1"/>
  <c r="V115" i="281"/>
  <c r="W115" i="281" s="1"/>
  <c r="X115" i="281" s="1"/>
  <c r="Q115" i="281"/>
  <c r="R115" i="281" s="1"/>
  <c r="H115" i="281"/>
  <c r="I115" i="281" s="1"/>
  <c r="K115" i="281" s="1"/>
  <c r="AT112" i="281"/>
  <c r="U112" i="281"/>
  <c r="P112" i="281"/>
  <c r="D112" i="281"/>
  <c r="AU111" i="281"/>
  <c r="AV111" i="281" s="1"/>
  <c r="AW111" i="281" s="1"/>
  <c r="V111" i="281"/>
  <c r="W111" i="281" s="1"/>
  <c r="X111" i="281" s="1"/>
  <c r="R111" i="281"/>
  <c r="S111" i="281" s="1"/>
  <c r="H111" i="281"/>
  <c r="I111" i="281" s="1"/>
  <c r="AU110" i="281"/>
  <c r="AV110" i="281" s="1"/>
  <c r="V110" i="281"/>
  <c r="W110" i="281" s="1"/>
  <c r="R110" i="281"/>
  <c r="S110" i="281" s="1"/>
  <c r="H110" i="281"/>
  <c r="I110" i="281" s="1"/>
  <c r="J110" i="281" s="1"/>
  <c r="AU109" i="281"/>
  <c r="AV109" i="281" s="1"/>
  <c r="AW109" i="281" s="1"/>
  <c r="AX106" i="281"/>
  <c r="AT106" i="281"/>
  <c r="U106" i="281"/>
  <c r="P106" i="281"/>
  <c r="D106" i="281"/>
  <c r="AU105" i="281"/>
  <c r="AV105" i="281" s="1"/>
  <c r="AW105" i="281" s="1"/>
  <c r="V105" i="281"/>
  <c r="W105" i="281" s="1"/>
  <c r="X105" i="281" s="1"/>
  <c r="R105" i="281"/>
  <c r="S105" i="281" s="1"/>
  <c r="H105" i="281"/>
  <c r="I105" i="281" s="1"/>
  <c r="J105" i="281" s="1"/>
  <c r="AU104" i="281"/>
  <c r="AV104" i="281" s="1"/>
  <c r="AW104" i="281" s="1"/>
  <c r="V104" i="281"/>
  <c r="W104" i="281" s="1"/>
  <c r="X104" i="281" s="1"/>
  <c r="R104" i="281"/>
  <c r="S104" i="281" s="1"/>
  <c r="H104" i="281"/>
  <c r="I104" i="281" s="1"/>
  <c r="AU103" i="281"/>
  <c r="AV103" i="281" s="1"/>
  <c r="V103" i="281"/>
  <c r="W103" i="281" s="1"/>
  <c r="R103" i="281"/>
  <c r="S103" i="281" s="1"/>
  <c r="H103" i="281"/>
  <c r="I103" i="281" s="1"/>
  <c r="AX100" i="281"/>
  <c r="AT100" i="281"/>
  <c r="U100" i="281"/>
  <c r="P100" i="281"/>
  <c r="G100" i="281"/>
  <c r="F100" i="281"/>
  <c r="D100" i="281"/>
  <c r="AU99" i="281"/>
  <c r="AV99" i="281" s="1"/>
  <c r="AW99" i="281" s="1"/>
  <c r="V99" i="281"/>
  <c r="W99" i="281" s="1"/>
  <c r="X99" i="281" s="1"/>
  <c r="R99" i="281"/>
  <c r="S99" i="281" s="1"/>
  <c r="H99" i="281"/>
  <c r="I99" i="281" s="1"/>
  <c r="AU98" i="281"/>
  <c r="AV98" i="281" s="1"/>
  <c r="AW98" i="281" s="1"/>
  <c r="V98" i="281"/>
  <c r="W98" i="281" s="1"/>
  <c r="X98" i="281" s="1"/>
  <c r="R98" i="281"/>
  <c r="S98" i="281" s="1"/>
  <c r="H98" i="281"/>
  <c r="I98" i="281" s="1"/>
  <c r="J98" i="281" s="1"/>
  <c r="AU97" i="281"/>
  <c r="AV97" i="281" s="1"/>
  <c r="AW97" i="281" s="1"/>
  <c r="V97" i="281"/>
  <c r="W97" i="281" s="1"/>
  <c r="X97" i="281" s="1"/>
  <c r="R97" i="281"/>
  <c r="S97" i="281" s="1"/>
  <c r="H97" i="281"/>
  <c r="I97" i="281" s="1"/>
  <c r="AX94" i="281"/>
  <c r="AT94" i="281"/>
  <c r="U94" i="281"/>
  <c r="P94" i="281"/>
  <c r="G94" i="281"/>
  <c r="F94" i="281"/>
  <c r="D94" i="281"/>
  <c r="AU93" i="281"/>
  <c r="AV93" i="281" s="1"/>
  <c r="AW93" i="281" s="1"/>
  <c r="V93" i="281"/>
  <c r="W93" i="281" s="1"/>
  <c r="X93" i="281" s="1"/>
  <c r="R93" i="281"/>
  <c r="S93" i="281" s="1"/>
  <c r="H93" i="281"/>
  <c r="I93" i="281" s="1"/>
  <c r="J93" i="281" s="1"/>
  <c r="AU92" i="281"/>
  <c r="AV92" i="281" s="1"/>
  <c r="AW92" i="281" s="1"/>
  <c r="AU91" i="281"/>
  <c r="AV91" i="281" s="1"/>
  <c r="V91" i="281"/>
  <c r="W91" i="281" s="1"/>
  <c r="R91" i="281"/>
  <c r="H91" i="281"/>
  <c r="I91" i="281" s="1"/>
  <c r="AX88" i="281"/>
  <c r="AT88" i="281"/>
  <c r="P88" i="281"/>
  <c r="D88" i="281"/>
  <c r="AU87" i="281"/>
  <c r="BJ175" i="281" s="1"/>
  <c r="R87" i="281"/>
  <c r="S87" i="281" s="1"/>
  <c r="H87" i="281"/>
  <c r="K87" i="281" s="1"/>
  <c r="E87" i="281"/>
  <c r="F87" i="281" s="1"/>
  <c r="G87" i="281" s="1"/>
  <c r="AU86" i="281"/>
  <c r="BJ174" i="281" s="1"/>
  <c r="R86" i="281"/>
  <c r="S86" i="281" s="1"/>
  <c r="H86" i="281"/>
  <c r="K86" i="281" s="1"/>
  <c r="E86" i="281"/>
  <c r="F86" i="281" s="1"/>
  <c r="G86" i="281" s="1"/>
  <c r="AU85" i="281"/>
  <c r="AV85" i="281" s="1"/>
  <c r="R85" i="281"/>
  <c r="H85" i="281"/>
  <c r="K85" i="281" s="1"/>
  <c r="E85" i="281"/>
  <c r="F85" i="281" s="1"/>
  <c r="AU81" i="281"/>
  <c r="AV81" i="281" s="1"/>
  <c r="AW81" i="281" s="1"/>
  <c r="AG81" i="281"/>
  <c r="AH81" i="281" s="1"/>
  <c r="AB81" i="281"/>
  <c r="AC81" i="281" s="1"/>
  <c r="H81" i="281"/>
  <c r="I81" i="281" s="1"/>
  <c r="L81" i="281" s="1"/>
  <c r="AU80" i="281"/>
  <c r="AT80" i="281"/>
  <c r="H80" i="281"/>
  <c r="I80" i="281" s="1"/>
  <c r="AU79" i="281"/>
  <c r="AT79" i="281"/>
  <c r="AT26" i="281" s="1"/>
  <c r="H79" i="281"/>
  <c r="I79" i="281" s="1"/>
  <c r="L79" i="281" s="1"/>
  <c r="AU78" i="281"/>
  <c r="AV78" i="281" s="1"/>
  <c r="AW78" i="281" s="1"/>
  <c r="H78" i="281"/>
  <c r="I78" i="281" s="1"/>
  <c r="L78" i="281" s="1"/>
  <c r="AU77" i="281"/>
  <c r="AV77" i="281" s="1"/>
  <c r="AW77" i="281" s="1"/>
  <c r="H77" i="281"/>
  <c r="I77" i="281" s="1"/>
  <c r="L77" i="281" s="1"/>
  <c r="BJ163" i="281"/>
  <c r="AU73" i="281"/>
  <c r="BJ161" i="281" s="1"/>
  <c r="AU72" i="281"/>
  <c r="AV72" i="281" s="1"/>
  <c r="AW72" i="281" s="1"/>
  <c r="H72" i="281"/>
  <c r="I72" i="281" s="1"/>
  <c r="AU71" i="281"/>
  <c r="AV71" i="281" s="1"/>
  <c r="AW71" i="281" s="1"/>
  <c r="H71" i="281"/>
  <c r="I71" i="281" s="1"/>
  <c r="AU63" i="281"/>
  <c r="AV63" i="281" s="1"/>
  <c r="AW63" i="281" s="1"/>
  <c r="H63" i="281"/>
  <c r="I63" i="281" s="1"/>
  <c r="L63" i="281" s="1"/>
  <c r="AU59" i="281"/>
  <c r="AV59" i="281" s="1"/>
  <c r="AW59" i="281" s="1"/>
  <c r="H59" i="281"/>
  <c r="I59" i="281" s="1"/>
  <c r="L59" i="281" s="1"/>
  <c r="AU55" i="281"/>
  <c r="AV55" i="281" s="1"/>
  <c r="AW55" i="281" s="1"/>
  <c r="H55" i="281"/>
  <c r="I55" i="281" s="1"/>
  <c r="L55" i="281" s="1"/>
  <c r="R53" i="281"/>
  <c r="AU51" i="281"/>
  <c r="AV51" i="281" s="1"/>
  <c r="AW51" i="281" s="1"/>
  <c r="H51" i="281"/>
  <c r="I51" i="281" s="1"/>
  <c r="J51" i="281" s="1"/>
  <c r="AU50" i="281"/>
  <c r="AV50" i="281" s="1"/>
  <c r="AW50" i="281" s="1"/>
  <c r="H50" i="281"/>
  <c r="I50" i="281" s="1"/>
  <c r="J50" i="281" s="1"/>
  <c r="AU49" i="281"/>
  <c r="AV49" i="281" s="1"/>
  <c r="AW49" i="281" s="1"/>
  <c r="H49" i="281"/>
  <c r="I49" i="281" s="1"/>
  <c r="J49" i="281" s="1"/>
  <c r="AU48" i="281"/>
  <c r="AV48" i="281" s="1"/>
  <c r="AW48" i="281" s="1"/>
  <c r="H48" i="281"/>
  <c r="I48" i="281" s="1"/>
  <c r="J48" i="281" s="1"/>
  <c r="AU45" i="281"/>
  <c r="AV45" i="281" s="1"/>
  <c r="AW45" i="281" s="1"/>
  <c r="H45" i="281"/>
  <c r="I46" i="281" s="1"/>
  <c r="AU43" i="281"/>
  <c r="AV43" i="281" s="1"/>
  <c r="AW43" i="281" s="1"/>
  <c r="H43" i="281"/>
  <c r="I43" i="281" s="1"/>
  <c r="AU41" i="281"/>
  <c r="AV41" i="281" s="1"/>
  <c r="AW41" i="281" s="1"/>
  <c r="H41" i="281"/>
  <c r="I41" i="281" s="1"/>
  <c r="AU39" i="281"/>
  <c r="AV39" i="281" s="1"/>
  <c r="AW39" i="281" s="1"/>
  <c r="H39" i="281"/>
  <c r="I39" i="281" s="1"/>
  <c r="J39" i="281" s="1"/>
  <c r="AU38" i="281"/>
  <c r="AV38" i="281" s="1"/>
  <c r="AW38" i="281" s="1"/>
  <c r="AU36" i="281"/>
  <c r="AV36" i="281" s="1"/>
  <c r="AW36" i="281" s="1"/>
  <c r="H36" i="281"/>
  <c r="I36" i="281" s="1"/>
  <c r="AU35" i="281"/>
  <c r="AV35" i="281" s="1"/>
  <c r="AW35" i="281" s="1"/>
  <c r="H35" i="281"/>
  <c r="I35" i="281" s="1"/>
  <c r="AU34" i="281"/>
  <c r="AV34" i="281" s="1"/>
  <c r="H34" i="281"/>
  <c r="I34" i="281" s="1"/>
  <c r="K34" i="281" s="1"/>
  <c r="AS32" i="281"/>
  <c r="AD31" i="281"/>
  <c r="U31" i="281"/>
  <c r="P31" i="281"/>
  <c r="G31" i="281"/>
  <c r="F31" i="281"/>
  <c r="AX30" i="281"/>
  <c r="AU30" i="281"/>
  <c r="AT30" i="281"/>
  <c r="V30" i="281"/>
  <c r="W30" i="281" s="1"/>
  <c r="X30" i="281" s="1"/>
  <c r="R30" i="281"/>
  <c r="S30" i="281" s="1"/>
  <c r="N30" i="281"/>
  <c r="H30" i="281"/>
  <c r="I30" i="281" s="1"/>
  <c r="L30" i="281" s="1"/>
  <c r="AU29" i="281"/>
  <c r="AT29" i="281"/>
  <c r="AI29" i="281"/>
  <c r="V29" i="281"/>
  <c r="W29" i="281" s="1"/>
  <c r="X29" i="281" s="1"/>
  <c r="R29" i="281"/>
  <c r="S29" i="281" s="1"/>
  <c r="N29" i="281"/>
  <c r="H29" i="281"/>
  <c r="I29" i="281" s="1"/>
  <c r="L29" i="281" s="1"/>
  <c r="AU28" i="281"/>
  <c r="AV28" i="281" s="1"/>
  <c r="AW28" i="281" s="1"/>
  <c r="V28" i="281"/>
  <c r="W28" i="281" s="1"/>
  <c r="X28" i="281" s="1"/>
  <c r="R28" i="281"/>
  <c r="S28" i="281" s="1"/>
  <c r="N28" i="281"/>
  <c r="H28" i="281"/>
  <c r="I28" i="281" s="1"/>
  <c r="L28" i="281" s="1"/>
  <c r="AX27" i="281"/>
  <c r="AU27" i="281"/>
  <c r="AT27" i="281"/>
  <c r="AT15" i="281" s="1"/>
  <c r="AV15" i="281" s="1"/>
  <c r="AW15" i="281" s="1"/>
  <c r="V27" i="281"/>
  <c r="W27" i="281" s="1"/>
  <c r="X27" i="281" s="1"/>
  <c r="R27" i="281"/>
  <c r="S27" i="281" s="1"/>
  <c r="N27" i="281"/>
  <c r="H27" i="281"/>
  <c r="I27" i="281" s="1"/>
  <c r="AX26" i="281"/>
  <c r="AU26" i="281"/>
  <c r="V26" i="281"/>
  <c r="W26" i="281" s="1"/>
  <c r="X26" i="281" s="1"/>
  <c r="R26" i="281"/>
  <c r="S26" i="281" s="1"/>
  <c r="N26" i="281"/>
  <c r="H26" i="281"/>
  <c r="I26" i="281" s="1"/>
  <c r="L26" i="281" s="1"/>
  <c r="AX25" i="281"/>
  <c r="AU25" i="281"/>
  <c r="AT25" i="281"/>
  <c r="AT12" i="281" s="1"/>
  <c r="AV12" i="281" s="1"/>
  <c r="AW12" i="281" s="1"/>
  <c r="AD25" i="281"/>
  <c r="V25" i="281"/>
  <c r="W25" i="281" s="1"/>
  <c r="X25" i="281" s="1"/>
  <c r="R25" i="281"/>
  <c r="S25" i="281" s="1"/>
  <c r="N25" i="281"/>
  <c r="H25" i="281"/>
  <c r="I25" i="281" s="1"/>
  <c r="L25" i="281" s="1"/>
  <c r="AU24" i="281"/>
  <c r="AT24" i="281"/>
  <c r="V24" i="281"/>
  <c r="W24" i="281" s="1"/>
  <c r="X24" i="281" s="1"/>
  <c r="R24" i="281"/>
  <c r="S24" i="281" s="1"/>
  <c r="N24" i="281"/>
  <c r="H24" i="281"/>
  <c r="D24" i="281"/>
  <c r="AX23" i="281"/>
  <c r="AU23" i="281"/>
  <c r="AT23" i="281"/>
  <c r="AT9" i="281" s="1"/>
  <c r="AV9" i="281" s="1"/>
  <c r="V23" i="281"/>
  <c r="W23" i="281" s="1"/>
  <c r="R23" i="281"/>
  <c r="N23" i="281"/>
  <c r="H23" i="281"/>
  <c r="I23" i="281" s="1"/>
  <c r="J23" i="281" s="1"/>
  <c r="AZ12" i="281" l="1"/>
  <c r="AZ27" i="281"/>
  <c r="AX17" i="281"/>
  <c r="AZ17" i="281" s="1"/>
  <c r="AZ30" i="281"/>
  <c r="AX8" i="281"/>
  <c r="AZ8" i="281" s="1"/>
  <c r="AZ23" i="281"/>
  <c r="AX9" i="281"/>
  <c r="AZ9" i="281" s="1"/>
  <c r="AZ24" i="281"/>
  <c r="AZ10" i="281"/>
  <c r="AZ25" i="281"/>
  <c r="AZ11" i="281"/>
  <c r="AZ26" i="281"/>
  <c r="AZ15" i="281"/>
  <c r="AZ29" i="281"/>
  <c r="AT17" i="281"/>
  <c r="AV17" i="281" s="1"/>
  <c r="AW17" i="281" s="1"/>
  <c r="AW9" i="281"/>
  <c r="AW18" i="281" s="1"/>
  <c r="AV18" i="281"/>
  <c r="D31" i="281"/>
  <c r="N12" i="281"/>
  <c r="L9" i="281"/>
  <c r="L18" i="281" s="1"/>
  <c r="J9" i="281"/>
  <c r="J18" i="281" s="1"/>
  <c r="AT18" i="281"/>
  <c r="R31" i="281"/>
  <c r="AT31" i="281"/>
  <c r="AX31" i="281"/>
  <c r="AW147" i="281"/>
  <c r="N31" i="281"/>
  <c r="Q26" i="281"/>
  <c r="R88" i="281"/>
  <c r="AG100" i="281"/>
  <c r="J158" i="281"/>
  <c r="X158" i="281"/>
  <c r="AH172" i="281"/>
  <c r="AH174" i="281" s="1"/>
  <c r="AV173" i="281"/>
  <c r="AW173" i="281" s="1"/>
  <c r="Q29" i="281"/>
  <c r="Q25" i="281"/>
  <c r="AV25" i="281"/>
  <c r="AW25" i="281" s="1"/>
  <c r="AV27" i="281"/>
  <c r="AW27" i="281" s="1"/>
  <c r="AV29" i="281"/>
  <c r="AW29" i="281" s="1"/>
  <c r="W106" i="281"/>
  <c r="AV79" i="281"/>
  <c r="AW79" i="281" s="1"/>
  <c r="R94" i="281"/>
  <c r="AH100" i="281"/>
  <c r="I106" i="281"/>
  <c r="AH198" i="281"/>
  <c r="AH199" i="281" s="1"/>
  <c r="AV24" i="281"/>
  <c r="AW24" i="281" s="1"/>
  <c r="Q30" i="281"/>
  <c r="AV80" i="281"/>
  <c r="AW80" i="281" s="1"/>
  <c r="AV73" i="281"/>
  <c r="AW73" i="281" s="1"/>
  <c r="I124" i="281"/>
  <c r="J124" i="281" s="1"/>
  <c r="R158" i="281"/>
  <c r="R112" i="281"/>
  <c r="I146" i="281"/>
  <c r="J146" i="281" s="1"/>
  <c r="S158" i="281"/>
  <c r="AW34" i="281"/>
  <c r="AV23" i="281"/>
  <c r="AW23" i="281" s="1"/>
  <c r="F88" i="281"/>
  <c r="AV30" i="281"/>
  <c r="AW30" i="281" s="1"/>
  <c r="BJ168" i="281"/>
  <c r="I86" i="281"/>
  <c r="J86" i="281" s="1"/>
  <c r="AV94" i="281"/>
  <c r="R100" i="281"/>
  <c r="AW100" i="281"/>
  <c r="R106" i="281"/>
  <c r="K122" i="281"/>
  <c r="K125" i="281" s="1"/>
  <c r="AV158" i="281"/>
  <c r="AV26" i="281"/>
  <c r="AW26" i="281" s="1"/>
  <c r="K88" i="281"/>
  <c r="AV86" i="281"/>
  <c r="AW86" i="281" s="1"/>
  <c r="S100" i="281"/>
  <c r="X119" i="281"/>
  <c r="AV119" i="281"/>
  <c r="L120" i="281"/>
  <c r="AV130" i="281"/>
  <c r="AW130" i="281" s="1"/>
  <c r="R140" i="281"/>
  <c r="AV138" i="281"/>
  <c r="AW138" i="281" s="1"/>
  <c r="I154" i="281"/>
  <c r="S154" i="281"/>
  <c r="AW165" i="281"/>
  <c r="W31" i="281"/>
  <c r="X23" i="281"/>
  <c r="X31" i="281" s="1"/>
  <c r="J27" i="281"/>
  <c r="L27" i="281"/>
  <c r="L36" i="281"/>
  <c r="J36" i="281"/>
  <c r="J46" i="281"/>
  <c r="H46" i="281"/>
  <c r="L72" i="281"/>
  <c r="J72" i="281"/>
  <c r="AW85" i="281"/>
  <c r="L99" i="281"/>
  <c r="J99" i="281"/>
  <c r="L104" i="281"/>
  <c r="J104" i="281"/>
  <c r="L111" i="281"/>
  <c r="J111" i="281"/>
  <c r="J112" i="281" s="1"/>
  <c r="S23" i="281"/>
  <c r="S31" i="281" s="1"/>
  <c r="I24" i="281"/>
  <c r="I31" i="281" s="1"/>
  <c r="Q24" i="281"/>
  <c r="J25" i="281"/>
  <c r="W100" i="281"/>
  <c r="S106" i="281"/>
  <c r="L35" i="281"/>
  <c r="J35" i="281"/>
  <c r="L41" i="281"/>
  <c r="J41" i="281"/>
  <c r="L43" i="281"/>
  <c r="J43" i="281"/>
  <c r="L71" i="281"/>
  <c r="J71" i="281"/>
  <c r="J80" i="281"/>
  <c r="L80" i="281"/>
  <c r="I94" i="281"/>
  <c r="L91" i="281"/>
  <c r="J91" i="281"/>
  <c r="W94" i="281"/>
  <c r="X91" i="281"/>
  <c r="X94" i="281" s="1"/>
  <c r="L97" i="281"/>
  <c r="J97" i="281"/>
  <c r="AV106" i="281"/>
  <c r="AW103" i="281"/>
  <c r="AW106" i="281" s="1"/>
  <c r="AV112" i="281"/>
  <c r="AW110" i="281"/>
  <c r="AW112" i="281" s="1"/>
  <c r="K23" i="281"/>
  <c r="K31" i="281" s="1"/>
  <c r="R119" i="281"/>
  <c r="S115" i="281"/>
  <c r="S119" i="281" s="1"/>
  <c r="J118" i="281"/>
  <c r="L118" i="281"/>
  <c r="L119" i="281" s="1"/>
  <c r="AW122" i="281"/>
  <c r="AW125" i="281" s="1"/>
  <c r="AV125" i="281"/>
  <c r="W132" i="281"/>
  <c r="X128" i="281"/>
  <c r="X132" i="281" s="1"/>
  <c r="J138" i="281"/>
  <c r="L138" i="281"/>
  <c r="R147" i="281"/>
  <c r="S143" i="281"/>
  <c r="S147" i="281" s="1"/>
  <c r="AG165" i="281"/>
  <c r="AH161" i="281"/>
  <c r="AH165" i="281" s="1"/>
  <c r="AV169" i="281"/>
  <c r="AW168" i="281"/>
  <c r="AW169" i="281" s="1"/>
  <c r="AW188" i="281"/>
  <c r="AW189" i="281" s="1"/>
  <c r="AV189" i="281"/>
  <c r="L193" i="281"/>
  <c r="J193" i="281"/>
  <c r="AV204" i="281"/>
  <c r="AW203" i="281"/>
  <c r="AW204" i="281" s="1"/>
  <c r="J26" i="281"/>
  <c r="Q27" i="281"/>
  <c r="J28" i="281"/>
  <c r="J29" i="281"/>
  <c r="J30" i="281"/>
  <c r="J34" i="281"/>
  <c r="L39" i="281"/>
  <c r="L48" i="281"/>
  <c r="L49" i="281"/>
  <c r="L50" i="281"/>
  <c r="L51" i="281"/>
  <c r="J55" i="281"/>
  <c r="J59" i="281"/>
  <c r="J63" i="281"/>
  <c r="J77" i="281"/>
  <c r="J78" i="281"/>
  <c r="J79" i="281"/>
  <c r="J81" i="281"/>
  <c r="G85" i="281"/>
  <c r="G88" i="281" s="1"/>
  <c r="I85" i="281"/>
  <c r="S85" i="281"/>
  <c r="S88" i="281" s="1"/>
  <c r="I87" i="281"/>
  <c r="J87" i="281" s="1"/>
  <c r="AV87" i="281"/>
  <c r="AW87" i="281" s="1"/>
  <c r="L93" i="281"/>
  <c r="L98" i="281"/>
  <c r="AV100" i="281"/>
  <c r="L103" i="281"/>
  <c r="K106" i="281"/>
  <c r="L105" i="281"/>
  <c r="L110" i="281"/>
  <c r="S112" i="281"/>
  <c r="W112" i="281"/>
  <c r="I112" i="281"/>
  <c r="J115" i="281"/>
  <c r="J117" i="281"/>
  <c r="K117" i="281"/>
  <c r="K119" i="281" s="1"/>
  <c r="J123" i="281"/>
  <c r="L123" i="281"/>
  <c r="I140" i="281"/>
  <c r="L135" i="281"/>
  <c r="J135" i="281"/>
  <c r="W140" i="281"/>
  <c r="X135" i="281"/>
  <c r="X140" i="281" s="1"/>
  <c r="J139" i="281"/>
  <c r="L139" i="281"/>
  <c r="K143" i="281"/>
  <c r="K147" i="281" s="1"/>
  <c r="J143" i="281"/>
  <c r="W154" i="281"/>
  <c r="X150" i="281"/>
  <c r="X154" i="281" s="1"/>
  <c r="J173" i="281"/>
  <c r="L173" i="281"/>
  <c r="J203" i="281"/>
  <c r="L203" i="281"/>
  <c r="J208" i="281"/>
  <c r="L208" i="281"/>
  <c r="I45" i="281"/>
  <c r="S91" i="281"/>
  <c r="S94" i="281" s="1"/>
  <c r="AW91" i="281"/>
  <c r="AW94" i="281" s="1"/>
  <c r="X100" i="281"/>
  <c r="J103" i="281"/>
  <c r="J106" i="281" s="1"/>
  <c r="X103" i="281"/>
  <c r="X106" i="281" s="1"/>
  <c r="X110" i="281"/>
  <c r="X112" i="281" s="1"/>
  <c r="W119" i="281"/>
  <c r="R125" i="281"/>
  <c r="R132" i="281"/>
  <c r="AV140" i="281"/>
  <c r="AW154" i="281"/>
  <c r="AW115" i="281"/>
  <c r="AW119" i="281" s="1"/>
  <c r="J116" i="281"/>
  <c r="J122" i="281"/>
  <c r="S122" i="281"/>
  <c r="S125" i="281" s="1"/>
  <c r="J128" i="281"/>
  <c r="S128" i="281"/>
  <c r="S132" i="281" s="1"/>
  <c r="AW128" i="281"/>
  <c r="AW132" i="281" s="1"/>
  <c r="J129" i="281"/>
  <c r="L131" i="281"/>
  <c r="I132" i="281"/>
  <c r="L136" i="281"/>
  <c r="L137" i="281"/>
  <c r="I144" i="281"/>
  <c r="J144" i="281" s="1"/>
  <c r="AV147" i="281"/>
  <c r="K150" i="281"/>
  <c r="K152" i="281"/>
  <c r="L153" i="281"/>
  <c r="L154" i="281" s="1"/>
  <c r="R154" i="281"/>
  <c r="AV154" i="281"/>
  <c r="L158" i="281"/>
  <c r="K157" i="281"/>
  <c r="I158" i="281"/>
  <c r="W158" i="281"/>
  <c r="J163" i="281"/>
  <c r="J165" i="281" s="1"/>
  <c r="AV165" i="281"/>
  <c r="AH168" i="281"/>
  <c r="AH169" i="281" s="1"/>
  <c r="AW172" i="281"/>
  <c r="AW174" i="281" s="1"/>
  <c r="AH188" i="281"/>
  <c r="AH189" i="281" s="1"/>
  <c r="AW198" i="281"/>
  <c r="AW199" i="281" s="1"/>
  <c r="S135" i="281"/>
  <c r="S140" i="281" s="1"/>
  <c r="AW135" i="281"/>
  <c r="AW140" i="281" s="1"/>
  <c r="I145" i="281"/>
  <c r="J145" i="281" s="1"/>
  <c r="J150" i="281"/>
  <c r="AW158" i="281"/>
  <c r="AV208" i="281"/>
  <c r="AX18" i="281" l="1"/>
  <c r="AZ18" i="281"/>
  <c r="AW31" i="281"/>
  <c r="J154" i="281"/>
  <c r="AV31" i="281"/>
  <c r="I119" i="281"/>
  <c r="L112" i="281"/>
  <c r="J125" i="281"/>
  <c r="L132" i="281"/>
  <c r="AV132" i="281"/>
  <c r="J24" i="281"/>
  <c r="J31" i="281" s="1"/>
  <c r="L24" i="281"/>
  <c r="L31" i="281" s="1"/>
  <c r="K154" i="281"/>
  <c r="J147" i="281"/>
  <c r="I147" i="281"/>
  <c r="L140" i="281"/>
  <c r="J119" i="281"/>
  <c r="L94" i="281"/>
  <c r="AW88" i="281"/>
  <c r="AV209" i="281"/>
  <c r="AW208" i="281"/>
  <c r="AW209" i="281" s="1"/>
  <c r="I100" i="281"/>
  <c r="J100" i="281"/>
  <c r="L45" i="281"/>
  <c r="J45" i="281"/>
  <c r="J85" i="281"/>
  <c r="J88" i="281" s="1"/>
  <c r="I88" i="281"/>
  <c r="K158" i="281"/>
  <c r="J132" i="281"/>
  <c r="J140" i="281"/>
  <c r="I125" i="281"/>
  <c r="L106" i="281"/>
  <c r="L100" i="281"/>
  <c r="J94" i="281"/>
  <c r="AV88" i="281"/>
  <c r="J190" i="281" l="1"/>
  <c r="D26" i="223" l="1"/>
  <c r="D35" i="250"/>
  <c r="D35" i="249"/>
  <c r="D35" i="248"/>
  <c r="D47" i="248" s="1"/>
  <c r="D35" i="247"/>
  <c r="D35" i="246"/>
  <c r="D35" i="245"/>
  <c r="D35" i="244"/>
  <c r="D52" i="243"/>
  <c r="D51" i="243"/>
  <c r="D35" i="243"/>
  <c r="D52" i="242"/>
  <c r="D51" i="242"/>
  <c r="D35" i="242"/>
  <c r="D52" i="241"/>
  <c r="D51" i="241"/>
  <c r="D35" i="241"/>
  <c r="D47" i="241" s="1"/>
  <c r="D52" i="240"/>
  <c r="D51" i="240"/>
  <c r="D35" i="240"/>
  <c r="D51" i="239"/>
  <c r="D35" i="239"/>
  <c r="D52" i="238"/>
  <c r="D51" i="238"/>
  <c r="D35" i="238"/>
  <c r="D36" i="238" s="1"/>
  <c r="D35" i="237"/>
  <c r="D47" i="237" s="1"/>
  <c r="D35" i="236"/>
  <c r="D47" i="236" s="1"/>
  <c r="D35" i="235"/>
  <c r="D47" i="235" s="1"/>
  <c r="D35" i="234"/>
  <c r="D47" i="234"/>
  <c r="D35" i="233"/>
  <c r="D47" i="233" s="1"/>
  <c r="D54" i="233" s="1"/>
  <c r="D147" i="233" s="1"/>
  <c r="D47" i="232"/>
  <c r="D35" i="232"/>
  <c r="D35" i="231"/>
  <c r="D47" i="231" s="1"/>
  <c r="D47" i="230"/>
  <c r="D35" i="230"/>
  <c r="D35" i="229"/>
  <c r="D47" i="229" s="1"/>
  <c r="D35" i="228"/>
  <c r="D47" i="228" s="1"/>
  <c r="D35" i="227"/>
  <c r="D35" i="226"/>
  <c r="D47" i="226" s="1"/>
  <c r="D35" i="224"/>
  <c r="D48" i="225"/>
  <c r="D48" i="226"/>
  <c r="D48" i="227"/>
  <c r="D48" i="228"/>
  <c r="D48" i="229"/>
  <c r="D48" i="230"/>
  <c r="D48" i="231"/>
  <c r="D48" i="232"/>
  <c r="D48" i="233"/>
  <c r="D48" i="234"/>
  <c r="D48" i="235"/>
  <c r="D48" i="236"/>
  <c r="D48" i="237"/>
  <c r="D48" i="244"/>
  <c r="D48" i="245"/>
  <c r="D48" i="246"/>
  <c r="D48" i="247"/>
  <c r="D48" i="248"/>
  <c r="D48" i="249"/>
  <c r="D48" i="250"/>
  <c r="D48" i="224"/>
  <c r="D47" i="227"/>
  <c r="D47" i="238"/>
  <c r="D47" i="239"/>
  <c r="D47" i="240"/>
  <c r="D54" i="240" s="1"/>
  <c r="D147" i="240" s="1"/>
  <c r="D47" i="242"/>
  <c r="D47" i="243"/>
  <c r="D47" i="244"/>
  <c r="D47" i="245"/>
  <c r="D47" i="246"/>
  <c r="D47" i="247"/>
  <c r="D47" i="249"/>
  <c r="D47" i="250"/>
  <c r="D54" i="250" s="1"/>
  <c r="D147" i="250" s="1"/>
  <c r="D47" i="224"/>
  <c r="D47" i="223"/>
  <c r="D35" i="223"/>
  <c r="D48" i="223"/>
  <c r="D35" i="191"/>
  <c r="D47" i="191" s="1"/>
  <c r="D26" i="250"/>
  <c r="E149" i="250"/>
  <c r="E150" i="250" s="1"/>
  <c r="C113" i="250"/>
  <c r="C112" i="250"/>
  <c r="C111" i="250"/>
  <c r="C110" i="250"/>
  <c r="C109" i="250"/>
  <c r="C102" i="250"/>
  <c r="C104" i="250" s="1"/>
  <c r="C101" i="250"/>
  <c r="C99" i="250"/>
  <c r="C92" i="250"/>
  <c r="C85" i="250"/>
  <c r="C84" i="250"/>
  <c r="C78" i="250"/>
  <c r="D43" i="250"/>
  <c r="D54" i="249"/>
  <c r="D147" i="249" s="1"/>
  <c r="D26" i="249"/>
  <c r="E149" i="249"/>
  <c r="E150" i="249" s="1"/>
  <c r="C113" i="249"/>
  <c r="C112" i="249"/>
  <c r="C111" i="249"/>
  <c r="C110" i="249"/>
  <c r="C109" i="249"/>
  <c r="C115" i="249" s="1"/>
  <c r="C102" i="249"/>
  <c r="C104" i="249" s="1"/>
  <c r="C101" i="249"/>
  <c r="C99" i="249"/>
  <c r="C92" i="249"/>
  <c r="C85" i="249"/>
  <c r="C84" i="249"/>
  <c r="C86" i="249" s="1"/>
  <c r="C78" i="249"/>
  <c r="D43" i="249"/>
  <c r="E149" i="248"/>
  <c r="E150" i="248" s="1"/>
  <c r="C113" i="248"/>
  <c r="C112" i="248"/>
  <c r="C111" i="248"/>
  <c r="C110" i="248"/>
  <c r="C109" i="248"/>
  <c r="C115" i="248" s="1"/>
  <c r="C102" i="248"/>
  <c r="C104" i="248" s="1"/>
  <c r="C101" i="248"/>
  <c r="C99" i="248"/>
  <c r="C92" i="248"/>
  <c r="C85" i="248"/>
  <c r="C84" i="248"/>
  <c r="C86" i="248" s="1"/>
  <c r="C78" i="248"/>
  <c r="D26" i="248"/>
  <c r="E149" i="247"/>
  <c r="E150" i="247" s="1"/>
  <c r="D26" i="247"/>
  <c r="C113" i="247"/>
  <c r="C112" i="247"/>
  <c r="C111" i="247"/>
  <c r="C110" i="247"/>
  <c r="C109" i="247"/>
  <c r="C102" i="247"/>
  <c r="C104" i="247" s="1"/>
  <c r="C101" i="247"/>
  <c r="C99" i="247"/>
  <c r="C92" i="247"/>
  <c r="C85" i="247"/>
  <c r="C84" i="247"/>
  <c r="C78" i="247"/>
  <c r="D54" i="247"/>
  <c r="D147" i="247" s="1"/>
  <c r="D43" i="247"/>
  <c r="E149" i="246"/>
  <c r="E150" i="246" s="1"/>
  <c r="C113" i="246"/>
  <c r="C112" i="246"/>
  <c r="C111" i="246"/>
  <c r="C110" i="246"/>
  <c r="C109" i="246"/>
  <c r="C115" i="246" s="1"/>
  <c r="C102" i="246"/>
  <c r="C104" i="246" s="1"/>
  <c r="C101" i="246"/>
  <c r="C99" i="246"/>
  <c r="C92" i="246"/>
  <c r="C85" i="246"/>
  <c r="C84" i="246"/>
  <c r="C86" i="246" s="1"/>
  <c r="C78" i="246"/>
  <c r="D43" i="246"/>
  <c r="D26" i="246"/>
  <c r="E149" i="245"/>
  <c r="E150" i="245" s="1"/>
  <c r="C113" i="245"/>
  <c r="C112" i="245"/>
  <c r="C111" i="245"/>
  <c r="C110" i="245"/>
  <c r="C109" i="245"/>
  <c r="C102" i="245"/>
  <c r="C104" i="245" s="1"/>
  <c r="C101" i="245"/>
  <c r="C99" i="245"/>
  <c r="C92" i="245"/>
  <c r="C85" i="245"/>
  <c r="C84" i="245"/>
  <c r="C78" i="245"/>
  <c r="D54" i="245"/>
  <c r="D147" i="245" s="1"/>
  <c r="D26" i="245"/>
  <c r="D26" i="244"/>
  <c r="E149" i="244"/>
  <c r="E150" i="244" s="1"/>
  <c r="C113" i="244"/>
  <c r="C112" i="244"/>
  <c r="C111" i="244"/>
  <c r="C110" i="244"/>
  <c r="C109" i="244"/>
  <c r="C102" i="244"/>
  <c r="C104" i="244" s="1"/>
  <c r="C101" i="244"/>
  <c r="C99" i="244"/>
  <c r="C92" i="244"/>
  <c r="C85" i="244"/>
  <c r="C84" i="244"/>
  <c r="C78" i="244"/>
  <c r="D54" i="244"/>
  <c r="D147" i="244" s="1"/>
  <c r="D43" i="244"/>
  <c r="E149" i="243"/>
  <c r="E150" i="243" s="1"/>
  <c r="C113" i="243"/>
  <c r="C112" i="243"/>
  <c r="C111" i="243"/>
  <c r="C110" i="243"/>
  <c r="C109" i="243"/>
  <c r="C115" i="243" s="1"/>
  <c r="C102" i="243"/>
  <c r="C104" i="243" s="1"/>
  <c r="C101" i="243"/>
  <c r="C99" i="243"/>
  <c r="C92" i="243"/>
  <c r="C85" i="243"/>
  <c r="C84" i="243"/>
  <c r="C86" i="243" s="1"/>
  <c r="C78" i="243"/>
  <c r="D54" i="243"/>
  <c r="D147" i="243" s="1"/>
  <c r="D43" i="243"/>
  <c r="D26" i="243"/>
  <c r="E149" i="242"/>
  <c r="E150" i="242" s="1"/>
  <c r="C113" i="242"/>
  <c r="C112" i="242"/>
  <c r="C111" i="242"/>
  <c r="C110" i="242"/>
  <c r="C109" i="242"/>
  <c r="C115" i="242" s="1"/>
  <c r="C102" i="242"/>
  <c r="C104" i="242" s="1"/>
  <c r="C101" i="242"/>
  <c r="C99" i="242"/>
  <c r="C92" i="242"/>
  <c r="C85" i="242"/>
  <c r="C84" i="242"/>
  <c r="C86" i="242" s="1"/>
  <c r="C78" i="242"/>
  <c r="D54" i="242"/>
  <c r="D147" i="242" s="1"/>
  <c r="D43" i="242"/>
  <c r="D26" i="242"/>
  <c r="E149" i="241"/>
  <c r="E150" i="241" s="1"/>
  <c r="C113" i="241"/>
  <c r="C112" i="241"/>
  <c r="C111" i="241"/>
  <c r="C110" i="241"/>
  <c r="C109" i="241"/>
  <c r="C115" i="241" s="1"/>
  <c r="C102" i="241"/>
  <c r="C104" i="241" s="1"/>
  <c r="C101" i="241"/>
  <c r="C99" i="241"/>
  <c r="C92" i="241"/>
  <c r="C85" i="241"/>
  <c r="C84" i="241"/>
  <c r="C86" i="241" s="1"/>
  <c r="C78" i="241"/>
  <c r="D26" i="241"/>
  <c r="D26" i="240"/>
  <c r="E149" i="240"/>
  <c r="E150" i="240" s="1"/>
  <c r="C113" i="240"/>
  <c r="C112" i="240"/>
  <c r="C111" i="240"/>
  <c r="C110" i="240"/>
  <c r="C109" i="240"/>
  <c r="C102" i="240"/>
  <c r="C104" i="240" s="1"/>
  <c r="C101" i="240"/>
  <c r="C99" i="240"/>
  <c r="C92" i="240"/>
  <c r="C85" i="240"/>
  <c r="C84" i="240"/>
  <c r="C78" i="240"/>
  <c r="D26" i="239"/>
  <c r="E149" i="239"/>
  <c r="E150" i="239" s="1"/>
  <c r="C113" i="239"/>
  <c r="C112" i="239"/>
  <c r="C111" i="239"/>
  <c r="C110" i="239"/>
  <c r="C109" i="239"/>
  <c r="C102" i="239"/>
  <c r="C104" i="239" s="1"/>
  <c r="C101" i="239"/>
  <c r="C99" i="239"/>
  <c r="C92" i="239"/>
  <c r="C85" i="239"/>
  <c r="C84" i="239"/>
  <c r="C78" i="239"/>
  <c r="D54" i="239"/>
  <c r="D147" i="239" s="1"/>
  <c r="D43" i="239"/>
  <c r="D26" i="238"/>
  <c r="E149" i="238"/>
  <c r="E150" i="238" s="1"/>
  <c r="C113" i="238"/>
  <c r="C112" i="238"/>
  <c r="C111" i="238"/>
  <c r="C110" i="238"/>
  <c r="C109" i="238"/>
  <c r="C102" i="238"/>
  <c r="C104" i="238" s="1"/>
  <c r="C101" i="238"/>
  <c r="C99" i="238"/>
  <c r="C92" i="238"/>
  <c r="C85" i="238"/>
  <c r="C84" i="238"/>
  <c r="C78" i="238"/>
  <c r="D54" i="238"/>
  <c r="D147" i="238" s="1"/>
  <c r="E149" i="237"/>
  <c r="E150" i="237" s="1"/>
  <c r="C113" i="237"/>
  <c r="C112" i="237"/>
  <c r="C111" i="237"/>
  <c r="C110" i="237"/>
  <c r="C109" i="237"/>
  <c r="C102" i="237"/>
  <c r="C104" i="237" s="1"/>
  <c r="C101" i="237"/>
  <c r="C99" i="237"/>
  <c r="C92" i="237"/>
  <c r="C85" i="237"/>
  <c r="C84" i="237"/>
  <c r="C78" i="237"/>
  <c r="D26" i="237"/>
  <c r="E149" i="236"/>
  <c r="E150" i="236" s="1"/>
  <c r="C113" i="236"/>
  <c r="C112" i="236"/>
  <c r="C111" i="236"/>
  <c r="C110" i="236"/>
  <c r="C109" i="236"/>
  <c r="C115" i="236" s="1"/>
  <c r="C102" i="236"/>
  <c r="C104" i="236" s="1"/>
  <c r="C101" i="236"/>
  <c r="C99" i="236"/>
  <c r="C92" i="236"/>
  <c r="C85" i="236"/>
  <c r="C84" i="236"/>
  <c r="C86" i="236" s="1"/>
  <c r="C78" i="236"/>
  <c r="D26" i="236"/>
  <c r="E149" i="235"/>
  <c r="E150" i="235" s="1"/>
  <c r="C113" i="235"/>
  <c r="C112" i="235"/>
  <c r="C111" i="235"/>
  <c r="C110" i="235"/>
  <c r="C109" i="235"/>
  <c r="C115" i="235" s="1"/>
  <c r="C102" i="235"/>
  <c r="C104" i="235" s="1"/>
  <c r="C101" i="235"/>
  <c r="C99" i="235"/>
  <c r="C92" i="235"/>
  <c r="C85" i="235"/>
  <c r="C84" i="235"/>
  <c r="C86" i="235" s="1"/>
  <c r="C78" i="235"/>
  <c r="D43" i="235"/>
  <c r="D26" i="235"/>
  <c r="D26" i="234"/>
  <c r="C113" i="234"/>
  <c r="C112" i="234"/>
  <c r="C111" i="234"/>
  <c r="C110" i="234"/>
  <c r="C109" i="234"/>
  <c r="C102" i="234"/>
  <c r="C104" i="234" s="1"/>
  <c r="C101" i="234"/>
  <c r="C99" i="234"/>
  <c r="C92" i="234"/>
  <c r="C85" i="234"/>
  <c r="C84" i="234"/>
  <c r="C78" i="234"/>
  <c r="E149" i="233"/>
  <c r="E150" i="233" s="1"/>
  <c r="C113" i="233"/>
  <c r="C112" i="233"/>
  <c r="C111" i="233"/>
  <c r="C110" i="233"/>
  <c r="C109" i="233"/>
  <c r="C115" i="233" s="1"/>
  <c r="C102" i="233"/>
  <c r="C104" i="233" s="1"/>
  <c r="C101" i="233"/>
  <c r="C99" i="233"/>
  <c r="C92" i="233"/>
  <c r="C85" i="233"/>
  <c r="C84" i="233"/>
  <c r="C86" i="233" s="1"/>
  <c r="C78" i="233"/>
  <c r="D26" i="233"/>
  <c r="E149" i="232"/>
  <c r="E150" i="232" s="1"/>
  <c r="C113" i="232"/>
  <c r="C112" i="232"/>
  <c r="C111" i="232"/>
  <c r="C110" i="232"/>
  <c r="C109" i="232"/>
  <c r="C102" i="232"/>
  <c r="C104" i="232" s="1"/>
  <c r="C101" i="232"/>
  <c r="C99" i="232"/>
  <c r="C92" i="232"/>
  <c r="C85" i="232"/>
  <c r="C84" i="232"/>
  <c r="C78" i="232"/>
  <c r="D54" i="232"/>
  <c r="D147" i="232" s="1"/>
  <c r="D26" i="232"/>
  <c r="E149" i="231"/>
  <c r="E150" i="231" s="1"/>
  <c r="C113" i="231"/>
  <c r="C112" i="231"/>
  <c r="C111" i="231"/>
  <c r="C110" i="231"/>
  <c r="C109" i="231"/>
  <c r="C115" i="231" s="1"/>
  <c r="C102" i="231"/>
  <c r="C104" i="231" s="1"/>
  <c r="C101" i="231"/>
  <c r="C99" i="231"/>
  <c r="C92" i="231"/>
  <c r="C85" i="231"/>
  <c r="C84" i="231"/>
  <c r="C86" i="231" s="1"/>
  <c r="C78" i="231"/>
  <c r="D43" i="231"/>
  <c r="D26" i="231"/>
  <c r="D26" i="230"/>
  <c r="C113" i="230"/>
  <c r="C112" i="230"/>
  <c r="C111" i="230"/>
  <c r="C110" i="230"/>
  <c r="C109" i="230"/>
  <c r="C102" i="230"/>
  <c r="C104" i="230" s="1"/>
  <c r="C101" i="230"/>
  <c r="C99" i="230"/>
  <c r="C92" i="230"/>
  <c r="C85" i="230"/>
  <c r="C84" i="230"/>
  <c r="C78" i="230"/>
  <c r="D54" i="230"/>
  <c r="D147" i="230" s="1"/>
  <c r="D43" i="230"/>
  <c r="E149" i="229"/>
  <c r="E150" i="229" s="1"/>
  <c r="C113" i="229"/>
  <c r="C112" i="229"/>
  <c r="C111" i="229"/>
  <c r="C110" i="229"/>
  <c r="C109" i="229"/>
  <c r="C115" i="229" s="1"/>
  <c r="C102" i="229"/>
  <c r="C104" i="229" s="1"/>
  <c r="C101" i="229"/>
  <c r="C99" i="229"/>
  <c r="C92" i="229"/>
  <c r="C85" i="229"/>
  <c r="C84" i="229"/>
  <c r="C86" i="229" s="1"/>
  <c r="C78" i="229"/>
  <c r="D26" i="229"/>
  <c r="E149" i="228"/>
  <c r="E150" i="228" s="1"/>
  <c r="D26" i="228"/>
  <c r="C113" i="228"/>
  <c r="C112" i="228"/>
  <c r="C111" i="228"/>
  <c r="C110" i="228"/>
  <c r="C109" i="228"/>
  <c r="C102" i="228"/>
  <c r="C104" i="228" s="1"/>
  <c r="C101" i="228"/>
  <c r="C99" i="228"/>
  <c r="C92" i="228"/>
  <c r="C85" i="228"/>
  <c r="C84" i="228"/>
  <c r="C78" i="228"/>
  <c r="D26" i="227"/>
  <c r="C113" i="227"/>
  <c r="C112" i="227"/>
  <c r="C111" i="227"/>
  <c r="C110" i="227"/>
  <c r="C109" i="227"/>
  <c r="C115" i="227" s="1"/>
  <c r="C102" i="227"/>
  <c r="C104" i="227" s="1"/>
  <c r="C101" i="227"/>
  <c r="C99" i="227"/>
  <c r="C92" i="227"/>
  <c r="C85" i="227"/>
  <c r="C84" i="227"/>
  <c r="C86" i="227" s="1"/>
  <c r="C78" i="227"/>
  <c r="D26" i="226"/>
  <c r="E149" i="226"/>
  <c r="E150" i="226" s="1"/>
  <c r="C113" i="226"/>
  <c r="C112" i="226"/>
  <c r="C111" i="226"/>
  <c r="C110" i="226"/>
  <c r="C109" i="226"/>
  <c r="C115" i="226" s="1"/>
  <c r="C102" i="226"/>
  <c r="C104" i="226" s="1"/>
  <c r="C101" i="226"/>
  <c r="C99" i="226"/>
  <c r="C92" i="226"/>
  <c r="C85" i="226"/>
  <c r="C84" i="226"/>
  <c r="C86" i="226" s="1"/>
  <c r="C78" i="226"/>
  <c r="E149" i="225"/>
  <c r="E150" i="225" s="1"/>
  <c r="D26" i="225"/>
  <c r="D26" i="224"/>
  <c r="C113" i="225"/>
  <c r="C112" i="225"/>
  <c r="C111" i="225"/>
  <c r="C110" i="225"/>
  <c r="C109" i="225"/>
  <c r="C115" i="225" s="1"/>
  <c r="C102" i="225"/>
  <c r="C104" i="225" s="1"/>
  <c r="C101" i="225"/>
  <c r="C99" i="225"/>
  <c r="C92" i="225"/>
  <c r="C85" i="225"/>
  <c r="C84" i="225"/>
  <c r="C86" i="225" s="1"/>
  <c r="C78" i="225"/>
  <c r="D35" i="225"/>
  <c r="D47" i="225" s="1"/>
  <c r="D54" i="225" s="1"/>
  <c r="D147" i="225" s="1"/>
  <c r="E149" i="224"/>
  <c r="E150" i="224" s="1"/>
  <c r="C113" i="224"/>
  <c r="C112" i="224"/>
  <c r="C111" i="224"/>
  <c r="C110" i="224"/>
  <c r="C109" i="224"/>
  <c r="C115" i="224" s="1"/>
  <c r="C102" i="224"/>
  <c r="C104" i="224" s="1"/>
  <c r="C101" i="224"/>
  <c r="C99" i="224"/>
  <c r="C92" i="224"/>
  <c r="C85" i="224"/>
  <c r="C84" i="224"/>
  <c r="C86" i="224" s="1"/>
  <c r="C78" i="224"/>
  <c r="D54" i="224"/>
  <c r="D147" i="224" s="1"/>
  <c r="C113" i="223"/>
  <c r="C112" i="223"/>
  <c r="C111" i="223"/>
  <c r="C110" i="223"/>
  <c r="C109" i="223"/>
  <c r="C102" i="223"/>
  <c r="C104" i="223" s="1"/>
  <c r="C101" i="223"/>
  <c r="C99" i="223"/>
  <c r="C92" i="223"/>
  <c r="C85" i="223"/>
  <c r="C84" i="223"/>
  <c r="C78" i="223"/>
  <c r="D43" i="223"/>
  <c r="D26" i="191"/>
  <c r="D67" i="221"/>
  <c r="D66" i="221"/>
  <c r="D65" i="221"/>
  <c r="D64" i="221"/>
  <c r="D63" i="221"/>
  <c r="D62" i="221"/>
  <c r="D68" i="221" s="1"/>
  <c r="D69" i="221" s="1"/>
  <c r="D61" i="221"/>
  <c r="D53" i="221"/>
  <c r="D52" i="221"/>
  <c r="D51" i="221"/>
  <c r="D50" i="221"/>
  <c r="D49" i="221"/>
  <c r="D48" i="221"/>
  <c r="D54" i="221" s="1"/>
  <c r="D55" i="221" s="1"/>
  <c r="D41" i="221"/>
  <c r="D40" i="221"/>
  <c r="D39" i="221"/>
  <c r="D38" i="221"/>
  <c r="D37" i="221"/>
  <c r="B37" i="221"/>
  <c r="D36" i="221"/>
  <c r="D35" i="221"/>
  <c r="D28" i="221"/>
  <c r="D27" i="221"/>
  <c r="D26" i="221"/>
  <c r="B25" i="221"/>
  <c r="D25" i="221" s="1"/>
  <c r="D29" i="221" s="1"/>
  <c r="D30" i="221" s="1"/>
  <c r="D24" i="221"/>
  <c r="D23" i="221"/>
  <c r="D17" i="221"/>
  <c r="D16" i="221"/>
  <c r="B15" i="221"/>
  <c r="D15" i="221" s="1"/>
  <c r="D18" i="221" s="1"/>
  <c r="D19" i="221" s="1"/>
  <c r="D14" i="221"/>
  <c r="D13" i="221"/>
  <c r="D138" i="220"/>
  <c r="D137" i="220"/>
  <c r="D136" i="220"/>
  <c r="D135" i="220"/>
  <c r="D133" i="220"/>
  <c r="D132" i="220"/>
  <c r="D139" i="220" s="1"/>
  <c r="D140" i="220" s="1"/>
  <c r="D127" i="220"/>
  <c r="D126" i="220"/>
  <c r="D125" i="220"/>
  <c r="D124" i="220"/>
  <c r="D123" i="220"/>
  <c r="D122" i="220"/>
  <c r="D121" i="220"/>
  <c r="D120" i="220"/>
  <c r="D119" i="220"/>
  <c r="D118" i="220"/>
  <c r="D117" i="220"/>
  <c r="D116" i="220"/>
  <c r="D115" i="220"/>
  <c r="D114" i="220"/>
  <c r="D113" i="220"/>
  <c r="D112" i="220"/>
  <c r="D111" i="220"/>
  <c r="D110" i="220"/>
  <c r="D109" i="220"/>
  <c r="D108" i="220"/>
  <c r="D107" i="220"/>
  <c r="D106" i="220"/>
  <c r="D105" i="220"/>
  <c r="D104" i="220"/>
  <c r="D103" i="220"/>
  <c r="D102" i="220"/>
  <c r="D101" i="220"/>
  <c r="D100" i="220"/>
  <c r="D99" i="220"/>
  <c r="D98" i="220"/>
  <c r="D97" i="220"/>
  <c r="D96" i="220"/>
  <c r="D95" i="220"/>
  <c r="D94" i="220"/>
  <c r="D93" i="220"/>
  <c r="D92" i="220"/>
  <c r="D91" i="220"/>
  <c r="D90" i="220"/>
  <c r="D89" i="220"/>
  <c r="D88" i="220"/>
  <c r="D87" i="220"/>
  <c r="D86" i="220"/>
  <c r="D85" i="220"/>
  <c r="D84" i="220"/>
  <c r="D83" i="220"/>
  <c r="D82" i="220"/>
  <c r="D81" i="220"/>
  <c r="D80" i="220"/>
  <c r="D79" i="220"/>
  <c r="D78" i="220"/>
  <c r="D77" i="220"/>
  <c r="D76" i="220"/>
  <c r="D75" i="220"/>
  <c r="D74" i="220"/>
  <c r="D73" i="220"/>
  <c r="D72" i="220"/>
  <c r="D71" i="220"/>
  <c r="D70" i="220"/>
  <c r="D69" i="220"/>
  <c r="D68" i="220"/>
  <c r="D67" i="220"/>
  <c r="D66" i="220"/>
  <c r="D65" i="220"/>
  <c r="D128" i="220" s="1"/>
  <c r="E60" i="220"/>
  <c r="E59" i="220"/>
  <c r="E61" i="220" s="1"/>
  <c r="E58" i="220"/>
  <c r="E53" i="220"/>
  <c r="E52" i="220"/>
  <c r="E51" i="220"/>
  <c r="E50" i="220"/>
  <c r="E49" i="220"/>
  <c r="E48" i="220"/>
  <c r="E47" i="220"/>
  <c r="E46" i="220"/>
  <c r="E45" i="220"/>
  <c r="E44" i="220"/>
  <c r="E43" i="220"/>
  <c r="E42" i="220"/>
  <c r="E41" i="220"/>
  <c r="E40" i="220"/>
  <c r="E39" i="220"/>
  <c r="E38" i="220"/>
  <c r="E37" i="220"/>
  <c r="E36" i="220"/>
  <c r="E54" i="220" s="1"/>
  <c r="E35" i="220"/>
  <c r="E29" i="220"/>
  <c r="E28" i="220"/>
  <c r="E27" i="220"/>
  <c r="E26" i="220"/>
  <c r="E25" i="220"/>
  <c r="E24" i="220"/>
  <c r="E23" i="220"/>
  <c r="E22" i="220"/>
  <c r="E21" i="220"/>
  <c r="E20" i="220"/>
  <c r="E19" i="220"/>
  <c r="E18" i="220"/>
  <c r="E17" i="220"/>
  <c r="E16" i="220"/>
  <c r="E15" i="220"/>
  <c r="E14" i="220"/>
  <c r="E13" i="220"/>
  <c r="E12" i="220"/>
  <c r="E30" i="220" s="1"/>
  <c r="E11" i="220"/>
  <c r="E10" i="220"/>
  <c r="B10" i="220"/>
  <c r="B11" i="220" s="1"/>
  <c r="B12" i="220" s="1"/>
  <c r="B13" i="220" s="1"/>
  <c r="B14" i="220" s="1"/>
  <c r="B15" i="220" s="1"/>
  <c r="B16" i="220" s="1"/>
  <c r="B17" i="220" s="1"/>
  <c r="B18" i="220" s="1"/>
  <c r="B19" i="220" s="1"/>
  <c r="B20" i="220" s="1"/>
  <c r="B21" i="220" s="1"/>
  <c r="B22" i="220" s="1"/>
  <c r="B23" i="220" s="1"/>
  <c r="B24" i="220" s="1"/>
  <c r="B25" i="220" s="1"/>
  <c r="E6" i="220"/>
  <c r="E7" i="220" s="1"/>
  <c r="D62" i="247" l="1"/>
  <c r="D62" i="248"/>
  <c r="D62" i="246"/>
  <c r="D62" i="245"/>
  <c r="D62" i="244"/>
  <c r="D62" i="243"/>
  <c r="D62" i="242"/>
  <c r="D62" i="241"/>
  <c r="D62" i="240"/>
  <c r="D62" i="239"/>
  <c r="D62" i="238"/>
  <c r="D59" i="238"/>
  <c r="D59" i="246"/>
  <c r="D59" i="245"/>
  <c r="D59" i="244"/>
  <c r="D59" i="243"/>
  <c r="D59" i="242"/>
  <c r="D59" i="241"/>
  <c r="D59" i="240"/>
  <c r="D60" i="246"/>
  <c r="D60" i="245"/>
  <c r="D60" i="244"/>
  <c r="D60" i="243"/>
  <c r="D60" i="242"/>
  <c r="D60" i="241"/>
  <c r="D60" i="240"/>
  <c r="D59" i="248"/>
  <c r="D59" i="239"/>
  <c r="D59" i="234"/>
  <c r="D59" i="247"/>
  <c r="D59" i="237"/>
  <c r="D64" i="237" s="1"/>
  <c r="D148" i="237" s="1"/>
  <c r="D59" i="236"/>
  <c r="D59" i="235"/>
  <c r="D59" i="233"/>
  <c r="D64" i="233" s="1"/>
  <c r="D148" i="233" s="1"/>
  <c r="D59" i="231"/>
  <c r="D59" i="226"/>
  <c r="D59" i="225"/>
  <c r="D59" i="224"/>
  <c r="D64" i="224" s="1"/>
  <c r="D148" i="224" s="1"/>
  <c r="D59" i="250"/>
  <c r="D59" i="249"/>
  <c r="D59" i="232"/>
  <c r="D59" i="230"/>
  <c r="D59" i="223"/>
  <c r="D59" i="191"/>
  <c r="C86" i="223"/>
  <c r="C115" i="223"/>
  <c r="C86" i="228"/>
  <c r="C115" i="228"/>
  <c r="C86" i="230"/>
  <c r="C115" i="230"/>
  <c r="C86" i="232"/>
  <c r="C115" i="232"/>
  <c r="C86" i="234"/>
  <c r="C115" i="234"/>
  <c r="C86" i="237"/>
  <c r="C115" i="237"/>
  <c r="C86" i="238"/>
  <c r="C115" i="238"/>
  <c r="C86" i="239"/>
  <c r="C115" i="239"/>
  <c r="C86" i="240"/>
  <c r="C115" i="240"/>
  <c r="C86" i="244"/>
  <c r="C115" i="244"/>
  <c r="C86" i="245"/>
  <c r="C115" i="245"/>
  <c r="C86" i="247"/>
  <c r="C115" i="247"/>
  <c r="C86" i="250"/>
  <c r="C115" i="250"/>
  <c r="D54" i="226"/>
  <c r="D147" i="226" s="1"/>
  <c r="D54" i="228"/>
  <c r="D147" i="228" s="1"/>
  <c r="D54" i="229"/>
  <c r="D147" i="229" s="1"/>
  <c r="D54" i="248"/>
  <c r="D147" i="248" s="1"/>
  <c r="D42" i="221"/>
  <c r="D43" i="221" s="1"/>
  <c r="D54" i="236"/>
  <c r="D147" i="236" s="1"/>
  <c r="D43" i="240"/>
  <c r="D54" i="241"/>
  <c r="D147" i="241" s="1"/>
  <c r="D43" i="241"/>
  <c r="D43" i="237"/>
  <c r="D113" i="237" s="1"/>
  <c r="D43" i="225"/>
  <c r="D64" i="225"/>
  <c r="D148" i="225" s="1"/>
  <c r="D43" i="226"/>
  <c r="D43" i="228"/>
  <c r="D43" i="229"/>
  <c r="D64" i="230"/>
  <c r="D148" i="230" s="1"/>
  <c r="D64" i="231"/>
  <c r="D148" i="231" s="1"/>
  <c r="D64" i="232"/>
  <c r="D148" i="232" s="1"/>
  <c r="D64" i="234"/>
  <c r="D148" i="234" s="1"/>
  <c r="D54" i="235"/>
  <c r="D147" i="235" s="1"/>
  <c r="D64" i="235"/>
  <c r="D148" i="235" s="1"/>
  <c r="D64" i="239"/>
  <c r="D148" i="239" s="1"/>
  <c r="D64" i="241"/>
  <c r="D148" i="241" s="1"/>
  <c r="D64" i="243"/>
  <c r="D148" i="243" s="1"/>
  <c r="D54" i="246"/>
  <c r="D147" i="246" s="1"/>
  <c r="D43" i="248"/>
  <c r="D64" i="226"/>
  <c r="D148" i="226" s="1"/>
  <c r="D54" i="231"/>
  <c r="D147" i="231" s="1"/>
  <c r="D43" i="232"/>
  <c r="D43" i="233"/>
  <c r="D54" i="234"/>
  <c r="D147" i="234" s="1"/>
  <c r="D43" i="236"/>
  <c r="D64" i="236"/>
  <c r="D148" i="236" s="1"/>
  <c r="D54" i="237"/>
  <c r="D147" i="237" s="1"/>
  <c r="D43" i="245"/>
  <c r="C126" i="250"/>
  <c r="D113" i="250"/>
  <c r="D112" i="250"/>
  <c r="D111" i="250"/>
  <c r="D110" i="250"/>
  <c r="D109" i="250"/>
  <c r="D104" i="250"/>
  <c r="D102" i="250"/>
  <c r="D101" i="250"/>
  <c r="D99" i="250"/>
  <c r="D92" i="250"/>
  <c r="D85" i="250"/>
  <c r="D84" i="250"/>
  <c r="D77" i="250"/>
  <c r="D75" i="250"/>
  <c r="D100" i="250" s="1"/>
  <c r="C100" i="250" s="1"/>
  <c r="D73" i="250"/>
  <c r="D71" i="250"/>
  <c r="D146" i="250"/>
  <c r="D114" i="250"/>
  <c r="D76" i="250"/>
  <c r="D74" i="250"/>
  <c r="D72" i="250"/>
  <c r="D70" i="250"/>
  <c r="C126" i="249"/>
  <c r="D113" i="249"/>
  <c r="D112" i="249"/>
  <c r="D111" i="249"/>
  <c r="D110" i="249"/>
  <c r="D109" i="249"/>
  <c r="D104" i="249"/>
  <c r="D102" i="249"/>
  <c r="D101" i="249"/>
  <c r="D99" i="249"/>
  <c r="D92" i="249"/>
  <c r="D85" i="249"/>
  <c r="D84" i="249"/>
  <c r="D77" i="249"/>
  <c r="D75" i="249"/>
  <c r="D100" i="249" s="1"/>
  <c r="C100" i="249" s="1"/>
  <c r="D73" i="249"/>
  <c r="D71" i="249"/>
  <c r="D146" i="249"/>
  <c r="D114" i="249"/>
  <c r="D76" i="249"/>
  <c r="D74" i="249"/>
  <c r="D72" i="249"/>
  <c r="D70" i="249"/>
  <c r="C126" i="248"/>
  <c r="D113" i="248"/>
  <c r="D112" i="248"/>
  <c r="D111" i="248"/>
  <c r="D110" i="248"/>
  <c r="D109" i="248"/>
  <c r="D104" i="248"/>
  <c r="D102" i="248"/>
  <c r="D101" i="248"/>
  <c r="D99" i="248"/>
  <c r="D92" i="248"/>
  <c r="D85" i="248"/>
  <c r="D84" i="248"/>
  <c r="D77" i="248"/>
  <c r="D75" i="248"/>
  <c r="D100" i="248" s="1"/>
  <c r="C100" i="248" s="1"/>
  <c r="D73" i="248"/>
  <c r="D71" i="248"/>
  <c r="D146" i="248"/>
  <c r="D114" i="248"/>
  <c r="D76" i="248"/>
  <c r="D74" i="248"/>
  <c r="D72" i="248"/>
  <c r="D70" i="248"/>
  <c r="C126" i="247"/>
  <c r="D113" i="247"/>
  <c r="D112" i="247"/>
  <c r="D111" i="247"/>
  <c r="D110" i="247"/>
  <c r="D109" i="247"/>
  <c r="D104" i="247"/>
  <c r="D102" i="247"/>
  <c r="D101" i="247"/>
  <c r="D99" i="247"/>
  <c r="D92" i="247"/>
  <c r="D85" i="247"/>
  <c r="D84" i="247"/>
  <c r="D77" i="247"/>
  <c r="D75" i="247"/>
  <c r="D100" i="247" s="1"/>
  <c r="C100" i="247" s="1"/>
  <c r="D73" i="247"/>
  <c r="D71" i="247"/>
  <c r="D146" i="247"/>
  <c r="D114" i="247"/>
  <c r="D76" i="247"/>
  <c r="D74" i="247"/>
  <c r="D72" i="247"/>
  <c r="D70" i="247"/>
  <c r="D78" i="247" s="1"/>
  <c r="C126" i="246"/>
  <c r="D113" i="246"/>
  <c r="D112" i="246"/>
  <c r="D111" i="246"/>
  <c r="D110" i="246"/>
  <c r="D109" i="246"/>
  <c r="D104" i="246"/>
  <c r="D102" i="246"/>
  <c r="D101" i="246"/>
  <c r="D99" i="246"/>
  <c r="D92" i="246"/>
  <c r="D85" i="246"/>
  <c r="D84" i="246"/>
  <c r="D77" i="246"/>
  <c r="D75" i="246"/>
  <c r="D100" i="246" s="1"/>
  <c r="C100" i="246" s="1"/>
  <c r="D73" i="246"/>
  <c r="D71" i="246"/>
  <c r="D146" i="246"/>
  <c r="D114" i="246"/>
  <c r="D76" i="246"/>
  <c r="D74" i="246"/>
  <c r="D72" i="246"/>
  <c r="D70" i="246"/>
  <c r="C126" i="245"/>
  <c r="D113" i="245"/>
  <c r="D112" i="245"/>
  <c r="D111" i="245"/>
  <c r="D110" i="245"/>
  <c r="D109" i="245"/>
  <c r="D104" i="245"/>
  <c r="D102" i="245"/>
  <c r="D101" i="245"/>
  <c r="D99" i="245"/>
  <c r="D92" i="245"/>
  <c r="D85" i="245"/>
  <c r="D84" i="245"/>
  <c r="D86" i="245" s="1"/>
  <c r="D77" i="245"/>
  <c r="D75" i="245"/>
  <c r="D100" i="245" s="1"/>
  <c r="C100" i="245" s="1"/>
  <c r="D73" i="245"/>
  <c r="D71" i="245"/>
  <c r="D146" i="245"/>
  <c r="D114" i="245"/>
  <c r="D76" i="245"/>
  <c r="D74" i="245"/>
  <c r="D72" i="245"/>
  <c r="D70" i="245"/>
  <c r="C126" i="244"/>
  <c r="D113" i="244"/>
  <c r="D112" i="244"/>
  <c r="D111" i="244"/>
  <c r="D110" i="244"/>
  <c r="D109" i="244"/>
  <c r="D104" i="244"/>
  <c r="D102" i="244"/>
  <c r="D101" i="244"/>
  <c r="D99" i="244"/>
  <c r="D92" i="244"/>
  <c r="D85" i="244"/>
  <c r="D84" i="244"/>
  <c r="D77" i="244"/>
  <c r="D75" i="244"/>
  <c r="D100" i="244" s="1"/>
  <c r="C100" i="244" s="1"/>
  <c r="D73" i="244"/>
  <c r="D71" i="244"/>
  <c r="D146" i="244"/>
  <c r="D114" i="244"/>
  <c r="D76" i="244"/>
  <c r="D74" i="244"/>
  <c r="D72" i="244"/>
  <c r="D70" i="244"/>
  <c r="C126" i="243"/>
  <c r="D113" i="243"/>
  <c r="D112" i="243"/>
  <c r="D111" i="243"/>
  <c r="D110" i="243"/>
  <c r="D109" i="243"/>
  <c r="D104" i="243"/>
  <c r="D102" i="243"/>
  <c r="D101" i="243"/>
  <c r="D99" i="243"/>
  <c r="D92" i="243"/>
  <c r="D85" i="243"/>
  <c r="D84" i="243"/>
  <c r="D86" i="243" s="1"/>
  <c r="D77" i="243"/>
  <c r="D75" i="243"/>
  <c r="D100" i="243" s="1"/>
  <c r="C100" i="243" s="1"/>
  <c r="D73" i="243"/>
  <c r="D71" i="243"/>
  <c r="D146" i="243"/>
  <c r="D114" i="243"/>
  <c r="D76" i="243"/>
  <c r="D74" i="243"/>
  <c r="D72" i="243"/>
  <c r="D70" i="243"/>
  <c r="D64" i="242"/>
  <c r="D148" i="242" s="1"/>
  <c r="C126" i="242"/>
  <c r="D113" i="242"/>
  <c r="D112" i="242"/>
  <c r="D111" i="242"/>
  <c r="D110" i="242"/>
  <c r="D109" i="242"/>
  <c r="D104" i="242"/>
  <c r="D102" i="242"/>
  <c r="D101" i="242"/>
  <c r="D99" i="242"/>
  <c r="D92" i="242"/>
  <c r="D85" i="242"/>
  <c r="D84" i="242"/>
  <c r="D86" i="242" s="1"/>
  <c r="D77" i="242"/>
  <c r="D75" i="242"/>
  <c r="D100" i="242" s="1"/>
  <c r="C100" i="242" s="1"/>
  <c r="D73" i="242"/>
  <c r="D71" i="242"/>
  <c r="D146" i="242"/>
  <c r="D114" i="242"/>
  <c r="D76" i="242"/>
  <c r="D74" i="242"/>
  <c r="D72" i="242"/>
  <c r="D70" i="242"/>
  <c r="C126" i="241"/>
  <c r="D113" i="241"/>
  <c r="D112" i="241"/>
  <c r="D111" i="241"/>
  <c r="D110" i="241"/>
  <c r="D109" i="241"/>
  <c r="D104" i="241"/>
  <c r="D102" i="241"/>
  <c r="D101" i="241"/>
  <c r="D99" i="241"/>
  <c r="D92" i="241"/>
  <c r="D85" i="241"/>
  <c r="D84" i="241"/>
  <c r="D77" i="241"/>
  <c r="D75" i="241"/>
  <c r="D100" i="241" s="1"/>
  <c r="C100" i="241" s="1"/>
  <c r="D73" i="241"/>
  <c r="D71" i="241"/>
  <c r="D146" i="241"/>
  <c r="D114" i="241"/>
  <c r="D76" i="241"/>
  <c r="D74" i="241"/>
  <c r="D72" i="241"/>
  <c r="D70" i="241"/>
  <c r="C126" i="240"/>
  <c r="D113" i="240"/>
  <c r="D112" i="240"/>
  <c r="D111" i="240"/>
  <c r="D110" i="240"/>
  <c r="D109" i="240"/>
  <c r="D104" i="240"/>
  <c r="D102" i="240"/>
  <c r="D101" i="240"/>
  <c r="D99" i="240"/>
  <c r="D92" i="240"/>
  <c r="D85" i="240"/>
  <c r="D84" i="240"/>
  <c r="D77" i="240"/>
  <c r="D75" i="240"/>
  <c r="D100" i="240" s="1"/>
  <c r="C100" i="240" s="1"/>
  <c r="D73" i="240"/>
  <c r="D71" i="240"/>
  <c r="D146" i="240"/>
  <c r="D114" i="240"/>
  <c r="D76" i="240"/>
  <c r="D74" i="240"/>
  <c r="D72" i="240"/>
  <c r="D70" i="240"/>
  <c r="C126" i="239"/>
  <c r="D113" i="239"/>
  <c r="D112" i="239"/>
  <c r="D111" i="239"/>
  <c r="D110" i="239"/>
  <c r="D109" i="239"/>
  <c r="D104" i="239"/>
  <c r="D102" i="239"/>
  <c r="D101" i="239"/>
  <c r="D99" i="239"/>
  <c r="D92" i="239"/>
  <c r="D85" i="239"/>
  <c r="D84" i="239"/>
  <c r="D77" i="239"/>
  <c r="D75" i="239"/>
  <c r="D100" i="239" s="1"/>
  <c r="C100" i="239" s="1"/>
  <c r="D73" i="239"/>
  <c r="D71" i="239"/>
  <c r="D146" i="239"/>
  <c r="D114" i="239"/>
  <c r="D76" i="239"/>
  <c r="D74" i="239"/>
  <c r="D72" i="239"/>
  <c r="D70" i="239"/>
  <c r="D43" i="238"/>
  <c r="C126" i="238" s="1"/>
  <c r="C126" i="237"/>
  <c r="D112" i="237"/>
  <c r="D110" i="237"/>
  <c r="D104" i="237"/>
  <c r="D101" i="237"/>
  <c r="D92" i="237"/>
  <c r="D84" i="237"/>
  <c r="D75" i="237"/>
  <c r="D100" i="237" s="1"/>
  <c r="C100" i="237" s="1"/>
  <c r="D71" i="237"/>
  <c r="D114" i="237"/>
  <c r="D74" i="237"/>
  <c r="D70" i="237"/>
  <c r="D146" i="236"/>
  <c r="D114" i="236"/>
  <c r="D76" i="236"/>
  <c r="D74" i="236"/>
  <c r="D72" i="236"/>
  <c r="D70" i="236"/>
  <c r="C126" i="236"/>
  <c r="D113" i="236"/>
  <c r="D112" i="236"/>
  <c r="D111" i="236"/>
  <c r="D110" i="236"/>
  <c r="D109" i="236"/>
  <c r="D104" i="236"/>
  <c r="D102" i="236"/>
  <c r="D101" i="236"/>
  <c r="D99" i="236"/>
  <c r="D92" i="236"/>
  <c r="D85" i="236"/>
  <c r="D84" i="236"/>
  <c r="D77" i="236"/>
  <c r="D75" i="236"/>
  <c r="D100" i="236" s="1"/>
  <c r="C100" i="236" s="1"/>
  <c r="D73" i="236"/>
  <c r="D71" i="236"/>
  <c r="C126" i="235"/>
  <c r="D113" i="235"/>
  <c r="D112" i="235"/>
  <c r="D111" i="235"/>
  <c r="D110" i="235"/>
  <c r="D109" i="235"/>
  <c r="D104" i="235"/>
  <c r="D102" i="235"/>
  <c r="D101" i="235"/>
  <c r="D99" i="235"/>
  <c r="D92" i="235"/>
  <c r="D85" i="235"/>
  <c r="D84" i="235"/>
  <c r="D77" i="235"/>
  <c r="D75" i="235"/>
  <c r="D100" i="235" s="1"/>
  <c r="C100" i="235" s="1"/>
  <c r="D73" i="235"/>
  <c r="D71" i="235"/>
  <c r="D146" i="235"/>
  <c r="D114" i="235"/>
  <c r="D76" i="235"/>
  <c r="D74" i="235"/>
  <c r="D72" i="235"/>
  <c r="D70" i="235"/>
  <c r="D43" i="234"/>
  <c r="C126" i="234" s="1"/>
  <c r="C126" i="233"/>
  <c r="D113" i="233"/>
  <c r="D112" i="233"/>
  <c r="D111" i="233"/>
  <c r="D110" i="233"/>
  <c r="D109" i="233"/>
  <c r="D104" i="233"/>
  <c r="D102" i="233"/>
  <c r="D101" i="233"/>
  <c r="D99" i="233"/>
  <c r="D92" i="233"/>
  <c r="D85" i="233"/>
  <c r="D84" i="233"/>
  <c r="D77" i="233"/>
  <c r="D75" i="233"/>
  <c r="D100" i="233" s="1"/>
  <c r="C100" i="233" s="1"/>
  <c r="D73" i="233"/>
  <c r="D71" i="233"/>
  <c r="D146" i="233"/>
  <c r="D114" i="233"/>
  <c r="D76" i="233"/>
  <c r="D74" i="233"/>
  <c r="D72" i="233"/>
  <c r="D70" i="233"/>
  <c r="D78" i="233" s="1"/>
  <c r="C126" i="232"/>
  <c r="D113" i="232"/>
  <c r="D112" i="232"/>
  <c r="D111" i="232"/>
  <c r="D110" i="232"/>
  <c r="D109" i="232"/>
  <c r="D104" i="232"/>
  <c r="D102" i="232"/>
  <c r="D101" i="232"/>
  <c r="D99" i="232"/>
  <c r="D92" i="232"/>
  <c r="D85" i="232"/>
  <c r="D84" i="232"/>
  <c r="D77" i="232"/>
  <c r="D75" i="232"/>
  <c r="D100" i="232" s="1"/>
  <c r="C100" i="232" s="1"/>
  <c r="D73" i="232"/>
  <c r="D71" i="232"/>
  <c r="D146" i="232"/>
  <c r="D114" i="232"/>
  <c r="D76" i="232"/>
  <c r="D74" i="232"/>
  <c r="D72" i="232"/>
  <c r="D70" i="232"/>
  <c r="C126" i="231"/>
  <c r="D113" i="231"/>
  <c r="D112" i="231"/>
  <c r="D111" i="231"/>
  <c r="D110" i="231"/>
  <c r="D109" i="231"/>
  <c r="D104" i="231"/>
  <c r="D102" i="231"/>
  <c r="D101" i="231"/>
  <c r="D99" i="231"/>
  <c r="D92" i="231"/>
  <c r="D85" i="231"/>
  <c r="D84" i="231"/>
  <c r="D77" i="231"/>
  <c r="D75" i="231"/>
  <c r="D100" i="231" s="1"/>
  <c r="C100" i="231" s="1"/>
  <c r="D73" i="231"/>
  <c r="D71" i="231"/>
  <c r="D146" i="231"/>
  <c r="D114" i="231"/>
  <c r="D76" i="231"/>
  <c r="D74" i="231"/>
  <c r="D72" i="231"/>
  <c r="D70" i="231"/>
  <c r="D78" i="231" s="1"/>
  <c r="C126" i="230"/>
  <c r="D113" i="230"/>
  <c r="D112" i="230"/>
  <c r="D111" i="230"/>
  <c r="D110" i="230"/>
  <c r="D109" i="230"/>
  <c r="D104" i="230"/>
  <c r="D102" i="230"/>
  <c r="D101" i="230"/>
  <c r="D99" i="230"/>
  <c r="D92" i="230"/>
  <c r="D85" i="230"/>
  <c r="D84" i="230"/>
  <c r="D77" i="230"/>
  <c r="D75" i="230"/>
  <c r="D100" i="230" s="1"/>
  <c r="C100" i="230" s="1"/>
  <c r="D73" i="230"/>
  <c r="D71" i="230"/>
  <c r="D146" i="230"/>
  <c r="D114" i="230"/>
  <c r="D76" i="230"/>
  <c r="D74" i="230"/>
  <c r="D72" i="230"/>
  <c r="D70" i="230"/>
  <c r="C126" i="229"/>
  <c r="D113" i="229"/>
  <c r="D112" i="229"/>
  <c r="D111" i="229"/>
  <c r="D110" i="229"/>
  <c r="D109" i="229"/>
  <c r="D104" i="229"/>
  <c r="D102" i="229"/>
  <c r="D101" i="229"/>
  <c r="D99" i="229"/>
  <c r="D92" i="229"/>
  <c r="D85" i="229"/>
  <c r="D84" i="229"/>
  <c r="D77" i="229"/>
  <c r="D75" i="229"/>
  <c r="D100" i="229" s="1"/>
  <c r="C100" i="229" s="1"/>
  <c r="D73" i="229"/>
  <c r="D71" i="229"/>
  <c r="D146" i="229"/>
  <c r="D114" i="229"/>
  <c r="D76" i="229"/>
  <c r="D74" i="229"/>
  <c r="D72" i="229"/>
  <c r="D70" i="229"/>
  <c r="D78" i="229" s="1"/>
  <c r="C126" i="228"/>
  <c r="D113" i="228"/>
  <c r="D112" i="228"/>
  <c r="D111" i="228"/>
  <c r="D110" i="228"/>
  <c r="D109" i="228"/>
  <c r="D104" i="228"/>
  <c r="D102" i="228"/>
  <c r="D101" i="228"/>
  <c r="D99" i="228"/>
  <c r="D92" i="228"/>
  <c r="D85" i="228"/>
  <c r="D84" i="228"/>
  <c r="D77" i="228"/>
  <c r="D75" i="228"/>
  <c r="D100" i="228" s="1"/>
  <c r="C100" i="228" s="1"/>
  <c r="D73" i="228"/>
  <c r="D71" i="228"/>
  <c r="D146" i="228"/>
  <c r="D114" i="228"/>
  <c r="D76" i="228"/>
  <c r="D74" i="228"/>
  <c r="D72" i="228"/>
  <c r="D70" i="228"/>
  <c r="D54" i="227"/>
  <c r="D147" i="227" s="1"/>
  <c r="D43" i="227"/>
  <c r="C126" i="227" s="1"/>
  <c r="C126" i="226"/>
  <c r="D113" i="226"/>
  <c r="D112" i="226"/>
  <c r="D111" i="226"/>
  <c r="D110" i="226"/>
  <c r="D109" i="226"/>
  <c r="D104" i="226"/>
  <c r="D102" i="226"/>
  <c r="D101" i="226"/>
  <c r="D99" i="226"/>
  <c r="D92" i="226"/>
  <c r="D85" i="226"/>
  <c r="D84" i="226"/>
  <c r="D86" i="226" s="1"/>
  <c r="D77" i="226"/>
  <c r="D75" i="226"/>
  <c r="D100" i="226" s="1"/>
  <c r="C100" i="226" s="1"/>
  <c r="D73" i="226"/>
  <c r="D71" i="226"/>
  <c r="D146" i="226"/>
  <c r="D114" i="226"/>
  <c r="D76" i="226"/>
  <c r="D74" i="226"/>
  <c r="D72" i="226"/>
  <c r="D70" i="226"/>
  <c r="C126" i="225"/>
  <c r="D113" i="225"/>
  <c r="D112" i="225"/>
  <c r="D111" i="225"/>
  <c r="D110" i="225"/>
  <c r="D109" i="225"/>
  <c r="D104" i="225"/>
  <c r="D102" i="225"/>
  <c r="D101" i="225"/>
  <c r="D99" i="225"/>
  <c r="D92" i="225"/>
  <c r="D85" i="225"/>
  <c r="D84" i="225"/>
  <c r="D77" i="225"/>
  <c r="D75" i="225"/>
  <c r="D100" i="225" s="1"/>
  <c r="C100" i="225" s="1"/>
  <c r="D73" i="225"/>
  <c r="D71" i="225"/>
  <c r="D146" i="225"/>
  <c r="D114" i="225"/>
  <c r="D76" i="225"/>
  <c r="D74" i="225"/>
  <c r="D72" i="225"/>
  <c r="D70" i="225"/>
  <c r="D54" i="223"/>
  <c r="D147" i="223" s="1"/>
  <c r="D64" i="223"/>
  <c r="D148" i="223" s="1"/>
  <c r="D43" i="224"/>
  <c r="D113" i="224" s="1"/>
  <c r="D101" i="224"/>
  <c r="D75" i="224"/>
  <c r="D100" i="224" s="1"/>
  <c r="C100" i="224" s="1"/>
  <c r="D114" i="224"/>
  <c r="D70" i="224"/>
  <c r="C126" i="223"/>
  <c r="D113" i="223"/>
  <c r="D112" i="223"/>
  <c r="D111" i="223"/>
  <c r="D110" i="223"/>
  <c r="D109" i="223"/>
  <c r="D104" i="223"/>
  <c r="D102" i="223"/>
  <c r="D101" i="223"/>
  <c r="D99" i="223"/>
  <c r="D92" i="223"/>
  <c r="D85" i="223"/>
  <c r="D84" i="223"/>
  <c r="D77" i="223"/>
  <c r="D75" i="223"/>
  <c r="D100" i="223" s="1"/>
  <c r="C100" i="223" s="1"/>
  <c r="D73" i="223"/>
  <c r="D71" i="223"/>
  <c r="D146" i="223"/>
  <c r="D114" i="223"/>
  <c r="D76" i="223"/>
  <c r="D74" i="223"/>
  <c r="D72" i="223"/>
  <c r="D70" i="223"/>
  <c r="D64" i="238" l="1"/>
  <c r="D148" i="238" s="1"/>
  <c r="D78" i="223"/>
  <c r="D74" i="224"/>
  <c r="D71" i="224"/>
  <c r="D84" i="224"/>
  <c r="D110" i="224"/>
  <c r="D78" i="225"/>
  <c r="D86" i="228"/>
  <c r="D78" i="230"/>
  <c r="D72" i="234"/>
  <c r="D86" i="235"/>
  <c r="D115" i="236"/>
  <c r="D70" i="238"/>
  <c r="D78" i="239"/>
  <c r="D78" i="244"/>
  <c r="D86" i="248"/>
  <c r="D78" i="250"/>
  <c r="D59" i="229"/>
  <c r="D64" i="229" s="1"/>
  <c r="D148" i="229" s="1"/>
  <c r="D59" i="228"/>
  <c r="D64" i="228" s="1"/>
  <c r="D148" i="228" s="1"/>
  <c r="D59" i="227"/>
  <c r="D64" i="227" s="1"/>
  <c r="D148" i="227" s="1"/>
  <c r="D75" i="238"/>
  <c r="D100" i="238" s="1"/>
  <c r="C100" i="238" s="1"/>
  <c r="D114" i="238"/>
  <c r="D92" i="238"/>
  <c r="D146" i="234"/>
  <c r="D70" i="234"/>
  <c r="D76" i="234"/>
  <c r="D85" i="234"/>
  <c r="D76" i="227"/>
  <c r="D70" i="227"/>
  <c r="D77" i="227"/>
  <c r="D72" i="224"/>
  <c r="D76" i="224"/>
  <c r="D146" i="224"/>
  <c r="D73" i="224"/>
  <c r="D77" i="224"/>
  <c r="D92" i="224"/>
  <c r="D104" i="224"/>
  <c r="C126" i="224"/>
  <c r="D78" i="224"/>
  <c r="D72" i="227"/>
  <c r="D146" i="227"/>
  <c r="D102" i="227"/>
  <c r="D74" i="238"/>
  <c r="D71" i="238"/>
  <c r="D84" i="238"/>
  <c r="D101" i="238"/>
  <c r="D104" i="238"/>
  <c r="D111" i="238"/>
  <c r="D72" i="237"/>
  <c r="D76" i="237"/>
  <c r="D146" i="237"/>
  <c r="D73" i="237"/>
  <c r="D77" i="237"/>
  <c r="D85" i="237"/>
  <c r="D86" i="237" s="1"/>
  <c r="D99" i="237"/>
  <c r="D102" i="237"/>
  <c r="D109" i="237"/>
  <c r="D111" i="237"/>
  <c r="D73" i="234"/>
  <c r="D102" i="234"/>
  <c r="D111" i="234"/>
  <c r="D85" i="224"/>
  <c r="D99" i="224"/>
  <c r="D102" i="224"/>
  <c r="D109" i="224"/>
  <c r="D112" i="224"/>
  <c r="D111" i="224"/>
  <c r="D86" i="232"/>
  <c r="D73" i="227"/>
  <c r="D85" i="227"/>
  <c r="D111" i="227"/>
  <c r="D86" i="241"/>
  <c r="D64" i="240"/>
  <c r="D148" i="240" s="1"/>
  <c r="D86" i="250"/>
  <c r="D103" i="250"/>
  <c r="C103" i="250" s="1"/>
  <c r="C105" i="250" s="1"/>
  <c r="D93" i="250"/>
  <c r="C93" i="250" s="1"/>
  <c r="C94" i="250" s="1"/>
  <c r="D87" i="250"/>
  <c r="C87" i="250" s="1"/>
  <c r="C88" i="250" s="1"/>
  <c r="D122" i="250"/>
  <c r="C122" i="250" s="1"/>
  <c r="D116" i="250"/>
  <c r="D115" i="250"/>
  <c r="D86" i="249"/>
  <c r="D78" i="249"/>
  <c r="D115" i="249"/>
  <c r="D78" i="248"/>
  <c r="D115" i="248"/>
  <c r="D86" i="247"/>
  <c r="D103" i="247"/>
  <c r="C103" i="247" s="1"/>
  <c r="C105" i="247" s="1"/>
  <c r="D93" i="247"/>
  <c r="C93" i="247" s="1"/>
  <c r="C94" i="247" s="1"/>
  <c r="D87" i="247"/>
  <c r="C87" i="247" s="1"/>
  <c r="C88" i="247" s="1"/>
  <c r="D122" i="247"/>
  <c r="C122" i="247" s="1"/>
  <c r="D116" i="247"/>
  <c r="D115" i="247"/>
  <c r="D86" i="246"/>
  <c r="D78" i="246"/>
  <c r="D115" i="246"/>
  <c r="D78" i="245"/>
  <c r="D115" i="245"/>
  <c r="D86" i="244"/>
  <c r="D103" i="244"/>
  <c r="C103" i="244" s="1"/>
  <c r="C105" i="244" s="1"/>
  <c r="D93" i="244"/>
  <c r="C93" i="244" s="1"/>
  <c r="C94" i="244" s="1"/>
  <c r="D87" i="244"/>
  <c r="C87" i="244" s="1"/>
  <c r="C88" i="244" s="1"/>
  <c r="D122" i="244"/>
  <c r="C122" i="244" s="1"/>
  <c r="D116" i="244"/>
  <c r="D115" i="244"/>
  <c r="D78" i="243"/>
  <c r="D115" i="243"/>
  <c r="D78" i="242"/>
  <c r="D115" i="242"/>
  <c r="D78" i="241"/>
  <c r="D115" i="241"/>
  <c r="D78" i="240"/>
  <c r="D115" i="240"/>
  <c r="D86" i="240"/>
  <c r="D86" i="239"/>
  <c r="D103" i="239"/>
  <c r="C103" i="239" s="1"/>
  <c r="C105" i="239" s="1"/>
  <c r="D93" i="239"/>
  <c r="C93" i="239" s="1"/>
  <c r="C94" i="239" s="1"/>
  <c r="D87" i="239"/>
  <c r="C87" i="239" s="1"/>
  <c r="C88" i="239" s="1"/>
  <c r="D122" i="239"/>
  <c r="C122" i="239" s="1"/>
  <c r="D116" i="239"/>
  <c r="D105" i="239"/>
  <c r="D124" i="239" s="1"/>
  <c r="C124" i="239" s="1"/>
  <c r="D115" i="239"/>
  <c r="D72" i="238"/>
  <c r="D76" i="238"/>
  <c r="D146" i="238"/>
  <c r="D73" i="238"/>
  <c r="D77" i="238"/>
  <c r="D85" i="238"/>
  <c r="D99" i="238"/>
  <c r="D102" i="238"/>
  <c r="D109" i="238"/>
  <c r="D113" i="238"/>
  <c r="D86" i="238"/>
  <c r="D110" i="238"/>
  <c r="D112" i="238"/>
  <c r="D78" i="237"/>
  <c r="D78" i="236"/>
  <c r="D86" i="236"/>
  <c r="D78" i="235"/>
  <c r="D115" i="235"/>
  <c r="D74" i="234"/>
  <c r="D114" i="234"/>
  <c r="D71" i="234"/>
  <c r="D77" i="234"/>
  <c r="D99" i="234"/>
  <c r="D109" i="234"/>
  <c r="D113" i="234"/>
  <c r="D75" i="234"/>
  <c r="D100" i="234" s="1"/>
  <c r="C100" i="234" s="1"/>
  <c r="D84" i="234"/>
  <c r="D86" i="234" s="1"/>
  <c r="D92" i="234"/>
  <c r="D101" i="234"/>
  <c r="D104" i="234"/>
  <c r="D110" i="234"/>
  <c r="D112" i="234"/>
  <c r="D78" i="234"/>
  <c r="D86" i="233"/>
  <c r="D103" i="233"/>
  <c r="C103" i="233" s="1"/>
  <c r="C105" i="233" s="1"/>
  <c r="D93" i="233"/>
  <c r="C93" i="233" s="1"/>
  <c r="C94" i="233" s="1"/>
  <c r="D87" i="233"/>
  <c r="C87" i="233" s="1"/>
  <c r="C88" i="233" s="1"/>
  <c r="D122" i="233"/>
  <c r="C122" i="233" s="1"/>
  <c r="D116" i="233"/>
  <c r="D115" i="233"/>
  <c r="D78" i="232"/>
  <c r="D115" i="232"/>
  <c r="D86" i="231"/>
  <c r="D103" i="231"/>
  <c r="C103" i="231" s="1"/>
  <c r="C105" i="231" s="1"/>
  <c r="D93" i="231"/>
  <c r="C93" i="231" s="1"/>
  <c r="C94" i="231" s="1"/>
  <c r="D87" i="231"/>
  <c r="C87" i="231" s="1"/>
  <c r="C88" i="231" s="1"/>
  <c r="D122" i="231"/>
  <c r="C122" i="231" s="1"/>
  <c r="D116" i="231"/>
  <c r="D115" i="231"/>
  <c r="D86" i="230"/>
  <c r="D103" i="230"/>
  <c r="C103" i="230" s="1"/>
  <c r="C105" i="230" s="1"/>
  <c r="D93" i="230"/>
  <c r="C93" i="230" s="1"/>
  <c r="C94" i="230" s="1"/>
  <c r="D87" i="230"/>
  <c r="C87" i="230" s="1"/>
  <c r="C88" i="230" s="1"/>
  <c r="D122" i="230"/>
  <c r="C122" i="230" s="1"/>
  <c r="D116" i="230"/>
  <c r="D115" i="230"/>
  <c r="D86" i="229"/>
  <c r="D103" i="229"/>
  <c r="C103" i="229" s="1"/>
  <c r="C105" i="229" s="1"/>
  <c r="D93" i="229"/>
  <c r="C93" i="229" s="1"/>
  <c r="C94" i="229" s="1"/>
  <c r="D87" i="229"/>
  <c r="C87" i="229" s="1"/>
  <c r="C88" i="229" s="1"/>
  <c r="D122" i="229"/>
  <c r="C122" i="229" s="1"/>
  <c r="D116" i="229"/>
  <c r="D115" i="229"/>
  <c r="D78" i="228"/>
  <c r="D115" i="228"/>
  <c r="D74" i="227"/>
  <c r="D114" i="227"/>
  <c r="D71" i="227"/>
  <c r="D75" i="227"/>
  <c r="D100" i="227" s="1"/>
  <c r="C100" i="227" s="1"/>
  <c r="D84" i="227"/>
  <c r="D99" i="227"/>
  <c r="D109" i="227"/>
  <c r="D113" i="227"/>
  <c r="D86" i="227"/>
  <c r="D92" i="227"/>
  <c r="D101" i="227"/>
  <c r="D104" i="227"/>
  <c r="D110" i="227"/>
  <c r="D112" i="227"/>
  <c r="D115" i="227" s="1"/>
  <c r="D78" i="226"/>
  <c r="D115" i="226"/>
  <c r="D86" i="225"/>
  <c r="D103" i="225"/>
  <c r="C103" i="225" s="1"/>
  <c r="C105" i="225" s="1"/>
  <c r="D93" i="225"/>
  <c r="C93" i="225" s="1"/>
  <c r="C94" i="225" s="1"/>
  <c r="D87" i="225"/>
  <c r="C87" i="225" s="1"/>
  <c r="C88" i="225" s="1"/>
  <c r="D122" i="225"/>
  <c r="C122" i="225" s="1"/>
  <c r="D116" i="225"/>
  <c r="D115" i="225"/>
  <c r="D86" i="224"/>
  <c r="D103" i="224"/>
  <c r="C103" i="224" s="1"/>
  <c r="C105" i="224" s="1"/>
  <c r="D93" i="224"/>
  <c r="C93" i="224" s="1"/>
  <c r="C94" i="224" s="1"/>
  <c r="D87" i="224"/>
  <c r="C87" i="224" s="1"/>
  <c r="C88" i="224" s="1"/>
  <c r="D122" i="224"/>
  <c r="C122" i="224" s="1"/>
  <c r="D116" i="224"/>
  <c r="D115" i="224"/>
  <c r="D86" i="223"/>
  <c r="D103" i="223"/>
  <c r="C103" i="223" s="1"/>
  <c r="C105" i="223" s="1"/>
  <c r="D93" i="223"/>
  <c r="C93" i="223" s="1"/>
  <c r="C94" i="223" s="1"/>
  <c r="D87" i="223"/>
  <c r="C87" i="223" s="1"/>
  <c r="C88" i="223" s="1"/>
  <c r="D122" i="223"/>
  <c r="C122" i="223" s="1"/>
  <c r="D116" i="223"/>
  <c r="D115" i="223"/>
  <c r="D78" i="227" l="1"/>
  <c r="D105" i="229"/>
  <c r="D124" i="229" s="1"/>
  <c r="C124" i="229" s="1"/>
  <c r="D105" i="230"/>
  <c r="D124" i="230" s="1"/>
  <c r="C124" i="230" s="1"/>
  <c r="D105" i="231"/>
  <c r="D124" i="231" s="1"/>
  <c r="C124" i="231" s="1"/>
  <c r="D105" i="233"/>
  <c r="D124" i="233" s="1"/>
  <c r="C124" i="233" s="1"/>
  <c r="D105" i="247"/>
  <c r="D124" i="247" s="1"/>
  <c r="C124" i="247" s="1"/>
  <c r="D115" i="237"/>
  <c r="D115" i="238"/>
  <c r="D115" i="234"/>
  <c r="D105" i="225"/>
  <c r="D124" i="225" s="1"/>
  <c r="C124" i="225" s="1"/>
  <c r="D78" i="238"/>
  <c r="D105" i="244"/>
  <c r="D124" i="244" s="1"/>
  <c r="C124" i="244" s="1"/>
  <c r="D105" i="250"/>
  <c r="D124" i="250" s="1"/>
  <c r="C124" i="250" s="1"/>
  <c r="D94" i="250"/>
  <c r="D123" i="250" s="1"/>
  <c r="C123" i="250" s="1"/>
  <c r="C116" i="250"/>
  <c r="C117" i="250" s="1"/>
  <c r="D117" i="250"/>
  <c r="D125" i="250" s="1"/>
  <c r="C125" i="250" s="1"/>
  <c r="D88" i="250"/>
  <c r="D103" i="249"/>
  <c r="D93" i="249"/>
  <c r="D87" i="249"/>
  <c r="C87" i="249" s="1"/>
  <c r="C88" i="249" s="1"/>
  <c r="D122" i="249"/>
  <c r="C122" i="249" s="1"/>
  <c r="D116" i="249"/>
  <c r="D103" i="248"/>
  <c r="D93" i="248"/>
  <c r="D87" i="248"/>
  <c r="D122" i="248"/>
  <c r="C122" i="248" s="1"/>
  <c r="D116" i="248"/>
  <c r="D94" i="247"/>
  <c r="D123" i="247" s="1"/>
  <c r="C123" i="247" s="1"/>
  <c r="C116" i="247"/>
  <c r="C117" i="247" s="1"/>
  <c r="D117" i="247"/>
  <c r="D125" i="247" s="1"/>
  <c r="C125" i="247" s="1"/>
  <c r="D88" i="247"/>
  <c r="D103" i="246"/>
  <c r="D93" i="246"/>
  <c r="D87" i="246"/>
  <c r="C87" i="246" s="1"/>
  <c r="C88" i="246" s="1"/>
  <c r="D122" i="246"/>
  <c r="C122" i="246" s="1"/>
  <c r="D116" i="246"/>
  <c r="D103" i="245"/>
  <c r="D93" i="245"/>
  <c r="D87" i="245"/>
  <c r="D122" i="245"/>
  <c r="C122" i="245" s="1"/>
  <c r="D116" i="245"/>
  <c r="D94" i="244"/>
  <c r="D123" i="244" s="1"/>
  <c r="C123" i="244" s="1"/>
  <c r="C116" i="244"/>
  <c r="C117" i="244" s="1"/>
  <c r="D117" i="244"/>
  <c r="D125" i="244" s="1"/>
  <c r="C125" i="244" s="1"/>
  <c r="D88" i="244"/>
  <c r="D103" i="243"/>
  <c r="D93" i="243"/>
  <c r="D87" i="243"/>
  <c r="D122" i="243"/>
  <c r="C122" i="243" s="1"/>
  <c r="D116" i="243"/>
  <c r="D103" i="242"/>
  <c r="D93" i="242"/>
  <c r="D87" i="242"/>
  <c r="D122" i="242"/>
  <c r="C122" i="242" s="1"/>
  <c r="D116" i="242"/>
  <c r="D103" i="241"/>
  <c r="D93" i="241"/>
  <c r="D87" i="241"/>
  <c r="D122" i="241"/>
  <c r="C122" i="241" s="1"/>
  <c r="D116" i="241"/>
  <c r="D103" i="240"/>
  <c r="D93" i="240"/>
  <c r="D87" i="240"/>
  <c r="C87" i="240" s="1"/>
  <c r="C88" i="240" s="1"/>
  <c r="D122" i="240"/>
  <c r="C122" i="240" s="1"/>
  <c r="D116" i="240"/>
  <c r="D94" i="239"/>
  <c r="D123" i="239" s="1"/>
  <c r="C123" i="239" s="1"/>
  <c r="C116" i="239"/>
  <c r="C117" i="239" s="1"/>
  <c r="D117" i="239"/>
  <c r="D125" i="239" s="1"/>
  <c r="C125" i="239" s="1"/>
  <c r="D88" i="239"/>
  <c r="D103" i="238"/>
  <c r="D93" i="238"/>
  <c r="D87" i="238"/>
  <c r="D122" i="238"/>
  <c r="C122" i="238" s="1"/>
  <c r="D116" i="238"/>
  <c r="D103" i="237"/>
  <c r="D93" i="237"/>
  <c r="D87" i="237"/>
  <c r="D122" i="237"/>
  <c r="C122" i="237" s="1"/>
  <c r="D116" i="237"/>
  <c r="D122" i="236"/>
  <c r="C122" i="236" s="1"/>
  <c r="D116" i="236"/>
  <c r="D103" i="236"/>
  <c r="D93" i="236"/>
  <c r="D87" i="236"/>
  <c r="C87" i="236" s="1"/>
  <c r="C88" i="236" s="1"/>
  <c r="D103" i="235"/>
  <c r="D93" i="235"/>
  <c r="D87" i="235"/>
  <c r="D122" i="235"/>
  <c r="C122" i="235" s="1"/>
  <c r="D116" i="235"/>
  <c r="D103" i="234"/>
  <c r="D93" i="234"/>
  <c r="D87" i="234"/>
  <c r="D122" i="234"/>
  <c r="C122" i="234" s="1"/>
  <c r="D116" i="234"/>
  <c r="D94" i="233"/>
  <c r="D123" i="233" s="1"/>
  <c r="C123" i="233" s="1"/>
  <c r="C116" i="233"/>
  <c r="C117" i="233" s="1"/>
  <c r="D117" i="233"/>
  <c r="D125" i="233" s="1"/>
  <c r="C125" i="233" s="1"/>
  <c r="D88" i="233"/>
  <c r="D103" i="232"/>
  <c r="D93" i="232"/>
  <c r="D87" i="232"/>
  <c r="D122" i="232"/>
  <c r="C122" i="232" s="1"/>
  <c r="D116" i="232"/>
  <c r="D94" i="231"/>
  <c r="D123" i="231" s="1"/>
  <c r="C123" i="231" s="1"/>
  <c r="C116" i="231"/>
  <c r="C117" i="231" s="1"/>
  <c r="D117" i="231"/>
  <c r="D125" i="231" s="1"/>
  <c r="C125" i="231" s="1"/>
  <c r="D88" i="231"/>
  <c r="D94" i="230"/>
  <c r="D123" i="230" s="1"/>
  <c r="C123" i="230" s="1"/>
  <c r="C116" i="230"/>
  <c r="C117" i="230" s="1"/>
  <c r="D117" i="230"/>
  <c r="D125" i="230" s="1"/>
  <c r="C125" i="230" s="1"/>
  <c r="D88" i="230"/>
  <c r="D94" i="229"/>
  <c r="D123" i="229" s="1"/>
  <c r="C123" i="229" s="1"/>
  <c r="C116" i="229"/>
  <c r="C117" i="229" s="1"/>
  <c r="D117" i="229"/>
  <c r="D125" i="229" s="1"/>
  <c r="C125" i="229" s="1"/>
  <c r="D88" i="229"/>
  <c r="D103" i="228"/>
  <c r="D93" i="228"/>
  <c r="D87" i="228"/>
  <c r="D122" i="228"/>
  <c r="C122" i="228" s="1"/>
  <c r="D116" i="228"/>
  <c r="D103" i="227"/>
  <c r="D93" i="227"/>
  <c r="D87" i="227"/>
  <c r="D122" i="227"/>
  <c r="C122" i="227" s="1"/>
  <c r="D116" i="227"/>
  <c r="D103" i="226"/>
  <c r="D93" i="226"/>
  <c r="D87" i="226"/>
  <c r="D122" i="226"/>
  <c r="C122" i="226" s="1"/>
  <c r="D116" i="226"/>
  <c r="D94" i="225"/>
  <c r="D123" i="225" s="1"/>
  <c r="C123" i="225" s="1"/>
  <c r="C116" i="225"/>
  <c r="C117" i="225" s="1"/>
  <c r="D117" i="225"/>
  <c r="D125" i="225" s="1"/>
  <c r="C125" i="225" s="1"/>
  <c r="D88" i="225"/>
  <c r="D105" i="223"/>
  <c r="D124" i="223" s="1"/>
  <c r="C124" i="223" s="1"/>
  <c r="D105" i="224"/>
  <c r="D124" i="224" s="1"/>
  <c r="C124" i="224" s="1"/>
  <c r="D94" i="224"/>
  <c r="D123" i="224" s="1"/>
  <c r="C123" i="224" s="1"/>
  <c r="C116" i="224"/>
  <c r="C117" i="224" s="1"/>
  <c r="D117" i="224"/>
  <c r="D125" i="224" s="1"/>
  <c r="C125" i="224" s="1"/>
  <c r="D88" i="224"/>
  <c r="D94" i="223"/>
  <c r="D123" i="223" s="1"/>
  <c r="C123" i="223" s="1"/>
  <c r="C116" i="223"/>
  <c r="C117" i="223" s="1"/>
  <c r="D117" i="223"/>
  <c r="D125" i="223" s="1"/>
  <c r="C125" i="223" s="1"/>
  <c r="D88" i="223"/>
  <c r="D88" i="246" l="1"/>
  <c r="D121" i="246" s="1"/>
  <c r="D121" i="250"/>
  <c r="D88" i="249"/>
  <c r="D121" i="249" s="1"/>
  <c r="C121" i="249" s="1"/>
  <c r="C116" i="249"/>
  <c r="C117" i="249" s="1"/>
  <c r="D117" i="249"/>
  <c r="D125" i="249" s="1"/>
  <c r="C125" i="249" s="1"/>
  <c r="C103" i="249"/>
  <c r="C105" i="249" s="1"/>
  <c r="D105" i="249"/>
  <c r="D124" i="249" s="1"/>
  <c r="C124" i="249" s="1"/>
  <c r="C93" i="249"/>
  <c r="C94" i="249" s="1"/>
  <c r="D94" i="249"/>
  <c r="D123" i="249" s="1"/>
  <c r="C123" i="249" s="1"/>
  <c r="C116" i="248"/>
  <c r="C117" i="248" s="1"/>
  <c r="D117" i="248"/>
  <c r="D125" i="248" s="1"/>
  <c r="C125" i="248" s="1"/>
  <c r="C87" i="248"/>
  <c r="C88" i="248" s="1"/>
  <c r="D88" i="248"/>
  <c r="C103" i="248"/>
  <c r="C105" i="248" s="1"/>
  <c r="D105" i="248"/>
  <c r="D124" i="248" s="1"/>
  <c r="C124" i="248" s="1"/>
  <c r="C93" i="248"/>
  <c r="C94" i="248" s="1"/>
  <c r="D94" i="248"/>
  <c r="D123" i="248" s="1"/>
  <c r="C123" i="248" s="1"/>
  <c r="D121" i="247"/>
  <c r="C121" i="246"/>
  <c r="C116" i="246"/>
  <c r="C117" i="246" s="1"/>
  <c r="D117" i="246"/>
  <c r="D125" i="246" s="1"/>
  <c r="C125" i="246" s="1"/>
  <c r="C103" i="246"/>
  <c r="C105" i="246" s="1"/>
  <c r="D105" i="246"/>
  <c r="D124" i="246" s="1"/>
  <c r="C124" i="246" s="1"/>
  <c r="C93" i="246"/>
  <c r="C94" i="246" s="1"/>
  <c r="D94" i="246"/>
  <c r="D123" i="246" s="1"/>
  <c r="C123" i="246" s="1"/>
  <c r="C116" i="245"/>
  <c r="C117" i="245" s="1"/>
  <c r="D117" i="245"/>
  <c r="D125" i="245" s="1"/>
  <c r="C125" i="245" s="1"/>
  <c r="C87" i="245"/>
  <c r="C88" i="245" s="1"/>
  <c r="D88" i="245"/>
  <c r="C103" i="245"/>
  <c r="C105" i="245" s="1"/>
  <c r="D105" i="245"/>
  <c r="D124" i="245" s="1"/>
  <c r="C124" i="245" s="1"/>
  <c r="C93" i="245"/>
  <c r="C94" i="245" s="1"/>
  <c r="D94" i="245"/>
  <c r="D123" i="245" s="1"/>
  <c r="C123" i="245" s="1"/>
  <c r="D121" i="244"/>
  <c r="C116" i="243"/>
  <c r="C117" i="243" s="1"/>
  <c r="D117" i="243"/>
  <c r="D125" i="243" s="1"/>
  <c r="C125" i="243" s="1"/>
  <c r="C87" i="243"/>
  <c r="C88" i="243" s="1"/>
  <c r="D88" i="243"/>
  <c r="C103" i="243"/>
  <c r="C105" i="243" s="1"/>
  <c r="D105" i="243"/>
  <c r="D124" i="243" s="1"/>
  <c r="C124" i="243" s="1"/>
  <c r="C93" i="243"/>
  <c r="C94" i="243" s="1"/>
  <c r="D94" i="243"/>
  <c r="D123" i="243" s="1"/>
  <c r="C123" i="243" s="1"/>
  <c r="C116" i="242"/>
  <c r="C117" i="242" s="1"/>
  <c r="D117" i="242"/>
  <c r="D125" i="242" s="1"/>
  <c r="C125" i="242" s="1"/>
  <c r="C87" i="242"/>
  <c r="C88" i="242" s="1"/>
  <c r="D88" i="242"/>
  <c r="C103" i="242"/>
  <c r="C105" i="242" s="1"/>
  <c r="D105" i="242"/>
  <c r="D124" i="242" s="1"/>
  <c r="C124" i="242" s="1"/>
  <c r="C93" i="242"/>
  <c r="C94" i="242" s="1"/>
  <c r="D94" i="242"/>
  <c r="D123" i="242" s="1"/>
  <c r="C123" i="242" s="1"/>
  <c r="C116" i="241"/>
  <c r="C117" i="241" s="1"/>
  <c r="D117" i="241"/>
  <c r="D125" i="241" s="1"/>
  <c r="C125" i="241" s="1"/>
  <c r="C87" i="241"/>
  <c r="C88" i="241" s="1"/>
  <c r="D88" i="241"/>
  <c r="C103" i="241"/>
  <c r="C105" i="241" s="1"/>
  <c r="D105" i="241"/>
  <c r="D124" i="241" s="1"/>
  <c r="C124" i="241" s="1"/>
  <c r="C93" i="241"/>
  <c r="C94" i="241" s="1"/>
  <c r="D94" i="241"/>
  <c r="D123" i="241" s="1"/>
  <c r="C123" i="241" s="1"/>
  <c r="D88" i="240"/>
  <c r="D121" i="240" s="1"/>
  <c r="C121" i="240" s="1"/>
  <c r="C116" i="240"/>
  <c r="C117" i="240" s="1"/>
  <c r="D117" i="240"/>
  <c r="D125" i="240" s="1"/>
  <c r="C125" i="240" s="1"/>
  <c r="C103" i="240"/>
  <c r="C105" i="240" s="1"/>
  <c r="D105" i="240"/>
  <c r="D124" i="240" s="1"/>
  <c r="C124" i="240" s="1"/>
  <c r="C93" i="240"/>
  <c r="C94" i="240" s="1"/>
  <c r="D94" i="240"/>
  <c r="D123" i="240" s="1"/>
  <c r="C123" i="240" s="1"/>
  <c r="D121" i="239"/>
  <c r="E130" i="239"/>
  <c r="C116" i="238"/>
  <c r="C117" i="238" s="1"/>
  <c r="D117" i="238"/>
  <c r="D125" i="238" s="1"/>
  <c r="C125" i="238" s="1"/>
  <c r="C87" i="238"/>
  <c r="C88" i="238" s="1"/>
  <c r="D88" i="238"/>
  <c r="C103" i="238"/>
  <c r="C105" i="238" s="1"/>
  <c r="D105" i="238"/>
  <c r="D124" i="238" s="1"/>
  <c r="C124" i="238" s="1"/>
  <c r="C93" i="238"/>
  <c r="C94" i="238" s="1"/>
  <c r="D94" i="238"/>
  <c r="D123" i="238" s="1"/>
  <c r="C123" i="238" s="1"/>
  <c r="C116" i="237"/>
  <c r="C117" i="237" s="1"/>
  <c r="D117" i="237"/>
  <c r="D125" i="237" s="1"/>
  <c r="C125" i="237" s="1"/>
  <c r="C87" i="237"/>
  <c r="C88" i="237" s="1"/>
  <c r="D88" i="237"/>
  <c r="C103" i="237"/>
  <c r="C105" i="237" s="1"/>
  <c r="D105" i="237"/>
  <c r="D124" i="237" s="1"/>
  <c r="C124" i="237" s="1"/>
  <c r="C93" i="237"/>
  <c r="C94" i="237" s="1"/>
  <c r="D94" i="237"/>
  <c r="D123" i="237" s="1"/>
  <c r="C123" i="237" s="1"/>
  <c r="C93" i="236"/>
  <c r="C94" i="236" s="1"/>
  <c r="D94" i="236"/>
  <c r="D123" i="236" s="1"/>
  <c r="C123" i="236" s="1"/>
  <c r="D117" i="236"/>
  <c r="D125" i="236" s="1"/>
  <c r="C125" i="236" s="1"/>
  <c r="C116" i="236"/>
  <c r="C117" i="236" s="1"/>
  <c r="D88" i="236"/>
  <c r="C103" i="236"/>
  <c r="C105" i="236" s="1"/>
  <c r="D105" i="236"/>
  <c r="D124" i="236" s="1"/>
  <c r="C124" i="236" s="1"/>
  <c r="C116" i="235"/>
  <c r="C117" i="235" s="1"/>
  <c r="D117" i="235"/>
  <c r="D125" i="235" s="1"/>
  <c r="C125" i="235" s="1"/>
  <c r="C87" i="235"/>
  <c r="C88" i="235" s="1"/>
  <c r="D88" i="235"/>
  <c r="C103" i="235"/>
  <c r="C105" i="235" s="1"/>
  <c r="D105" i="235"/>
  <c r="D124" i="235" s="1"/>
  <c r="C124" i="235" s="1"/>
  <c r="C93" i="235"/>
  <c r="C94" i="235" s="1"/>
  <c r="D94" i="235"/>
  <c r="D123" i="235" s="1"/>
  <c r="C123" i="235" s="1"/>
  <c r="C116" i="234"/>
  <c r="C117" i="234" s="1"/>
  <c r="D117" i="234"/>
  <c r="D125" i="234" s="1"/>
  <c r="C125" i="234" s="1"/>
  <c r="C87" i="234"/>
  <c r="C88" i="234" s="1"/>
  <c r="D88" i="234"/>
  <c r="C103" i="234"/>
  <c r="C105" i="234" s="1"/>
  <c r="D105" i="234"/>
  <c r="D124" i="234" s="1"/>
  <c r="C124" i="234" s="1"/>
  <c r="C93" i="234"/>
  <c r="C94" i="234" s="1"/>
  <c r="D94" i="234"/>
  <c r="D123" i="234" s="1"/>
  <c r="C123" i="234" s="1"/>
  <c r="D121" i="233"/>
  <c r="E130" i="233"/>
  <c r="C116" i="232"/>
  <c r="C117" i="232" s="1"/>
  <c r="D117" i="232"/>
  <c r="D125" i="232" s="1"/>
  <c r="C125" i="232" s="1"/>
  <c r="C87" i="232"/>
  <c r="C88" i="232" s="1"/>
  <c r="D88" i="232"/>
  <c r="C103" i="232"/>
  <c r="C105" i="232" s="1"/>
  <c r="D105" i="232"/>
  <c r="D124" i="232" s="1"/>
  <c r="C124" i="232" s="1"/>
  <c r="C93" i="232"/>
  <c r="C94" i="232" s="1"/>
  <c r="D94" i="232"/>
  <c r="D123" i="232" s="1"/>
  <c r="C123" i="232" s="1"/>
  <c r="D121" i="231"/>
  <c r="E130" i="231"/>
  <c r="D121" i="230"/>
  <c r="E130" i="230"/>
  <c r="D121" i="229"/>
  <c r="E130" i="229"/>
  <c r="C116" i="228"/>
  <c r="C117" i="228" s="1"/>
  <c r="D117" i="228"/>
  <c r="D125" i="228" s="1"/>
  <c r="C125" i="228" s="1"/>
  <c r="C87" i="228"/>
  <c r="C88" i="228" s="1"/>
  <c r="D88" i="228"/>
  <c r="C103" i="228"/>
  <c r="C105" i="228" s="1"/>
  <c r="D105" i="228"/>
  <c r="D124" i="228" s="1"/>
  <c r="C124" i="228" s="1"/>
  <c r="C93" i="228"/>
  <c r="C94" i="228" s="1"/>
  <c r="D94" i="228"/>
  <c r="D123" i="228" s="1"/>
  <c r="C123" i="228" s="1"/>
  <c r="C116" i="227"/>
  <c r="C117" i="227" s="1"/>
  <c r="D117" i="227"/>
  <c r="D125" i="227" s="1"/>
  <c r="C125" i="227" s="1"/>
  <c r="C87" i="227"/>
  <c r="C88" i="227" s="1"/>
  <c r="D88" i="227"/>
  <c r="C103" i="227"/>
  <c r="C105" i="227" s="1"/>
  <c r="D105" i="227"/>
  <c r="D124" i="227" s="1"/>
  <c r="C124" i="227" s="1"/>
  <c r="C93" i="227"/>
  <c r="C94" i="227" s="1"/>
  <c r="D94" i="227"/>
  <c r="D123" i="227" s="1"/>
  <c r="C123" i="227" s="1"/>
  <c r="C116" i="226"/>
  <c r="C117" i="226" s="1"/>
  <c r="D117" i="226"/>
  <c r="D125" i="226" s="1"/>
  <c r="C125" i="226" s="1"/>
  <c r="C87" i="226"/>
  <c r="C88" i="226" s="1"/>
  <c r="D88" i="226"/>
  <c r="C103" i="226"/>
  <c r="C105" i="226" s="1"/>
  <c r="D105" i="226"/>
  <c r="D124" i="226" s="1"/>
  <c r="C124" i="226" s="1"/>
  <c r="C93" i="226"/>
  <c r="C94" i="226" s="1"/>
  <c r="D94" i="226"/>
  <c r="D123" i="226" s="1"/>
  <c r="C123" i="226" s="1"/>
  <c r="D121" i="225"/>
  <c r="E130" i="225"/>
  <c r="D121" i="224"/>
  <c r="E130" i="224"/>
  <c r="D121" i="223"/>
  <c r="E130" i="223"/>
  <c r="D127" i="250" l="1"/>
  <c r="D149" i="250" s="1"/>
  <c r="C121" i="250"/>
  <c r="C127" i="250" s="1"/>
  <c r="D127" i="249"/>
  <c r="D149" i="249" s="1"/>
  <c r="C127" i="249"/>
  <c r="D121" i="248"/>
  <c r="D127" i="247"/>
  <c r="D149" i="247" s="1"/>
  <c r="C121" i="247"/>
  <c r="C127" i="247" s="1"/>
  <c r="D127" i="246"/>
  <c r="D149" i="246" s="1"/>
  <c r="C127" i="246"/>
  <c r="D121" i="245"/>
  <c r="D127" i="244"/>
  <c r="D149" i="244" s="1"/>
  <c r="C121" i="244"/>
  <c r="C127" i="244" s="1"/>
  <c r="D121" i="243"/>
  <c r="E130" i="243"/>
  <c r="D121" i="242"/>
  <c r="E130" i="242"/>
  <c r="D121" i="241"/>
  <c r="E130" i="241"/>
  <c r="E130" i="240"/>
  <c r="D127" i="240"/>
  <c r="D149" i="240" s="1"/>
  <c r="C127" i="240"/>
  <c r="D127" i="239"/>
  <c r="D149" i="239" s="1"/>
  <c r="C121" i="239"/>
  <c r="C127" i="239" s="1"/>
  <c r="D131" i="239"/>
  <c r="E139" i="239" s="1"/>
  <c r="D139" i="239" s="1"/>
  <c r="D121" i="238"/>
  <c r="E130" i="238"/>
  <c r="D121" i="237"/>
  <c r="E130" i="237"/>
  <c r="D121" i="236"/>
  <c r="E130" i="236"/>
  <c r="D121" i="235"/>
  <c r="E130" i="235"/>
  <c r="D121" i="234"/>
  <c r="E130" i="234"/>
  <c r="D127" i="233"/>
  <c r="D149" i="233" s="1"/>
  <c r="C121" i="233"/>
  <c r="C127" i="233" s="1"/>
  <c r="D131" i="233"/>
  <c r="E139" i="233" s="1"/>
  <c r="D139" i="233" s="1"/>
  <c r="D121" i="232"/>
  <c r="E130" i="232"/>
  <c r="D127" i="231"/>
  <c r="D149" i="231" s="1"/>
  <c r="C121" i="231"/>
  <c r="C127" i="231" s="1"/>
  <c r="D131" i="231"/>
  <c r="E139" i="231" s="1"/>
  <c r="D139" i="231" s="1"/>
  <c r="D127" i="230"/>
  <c r="D149" i="230" s="1"/>
  <c r="C121" i="230"/>
  <c r="C127" i="230" s="1"/>
  <c r="D131" i="230"/>
  <c r="E139" i="230" s="1"/>
  <c r="D139" i="230" s="1"/>
  <c r="D127" i="229"/>
  <c r="D149" i="229" s="1"/>
  <c r="C121" i="229"/>
  <c r="C127" i="229" s="1"/>
  <c r="D131" i="229"/>
  <c r="E139" i="229" s="1"/>
  <c r="D139" i="229" s="1"/>
  <c r="D121" i="228"/>
  <c r="E130" i="228"/>
  <c r="D121" i="227"/>
  <c r="E130" i="227"/>
  <c r="D121" i="226"/>
  <c r="E130" i="226"/>
  <c r="D127" i="225"/>
  <c r="D149" i="225" s="1"/>
  <c r="C121" i="225"/>
  <c r="C127" i="225" s="1"/>
  <c r="D131" i="225"/>
  <c r="E139" i="225" s="1"/>
  <c r="D139" i="225" s="1"/>
  <c r="D127" i="224"/>
  <c r="D149" i="224" s="1"/>
  <c r="C121" i="224"/>
  <c r="C127" i="224" s="1"/>
  <c r="D131" i="224"/>
  <c r="E139" i="224" s="1"/>
  <c r="D139" i="224" s="1"/>
  <c r="D127" i="223"/>
  <c r="D149" i="223" s="1"/>
  <c r="C121" i="223"/>
  <c r="C127" i="223" s="1"/>
  <c r="D131" i="223"/>
  <c r="E139" i="223" s="1"/>
  <c r="D139" i="223" s="1"/>
  <c r="D127" i="248" l="1"/>
  <c r="D149" i="248" s="1"/>
  <c r="C121" i="248"/>
  <c r="C127" i="248" s="1"/>
  <c r="D127" i="245"/>
  <c r="D149" i="245" s="1"/>
  <c r="C121" i="245"/>
  <c r="C127" i="245" s="1"/>
  <c r="D127" i="243"/>
  <c r="D149" i="243" s="1"/>
  <c r="C121" i="243"/>
  <c r="C127" i="243" s="1"/>
  <c r="D131" i="243"/>
  <c r="E139" i="243" s="1"/>
  <c r="D139" i="243" s="1"/>
  <c r="D127" i="242"/>
  <c r="D149" i="242" s="1"/>
  <c r="C121" i="242"/>
  <c r="C127" i="242" s="1"/>
  <c r="D131" i="242"/>
  <c r="E139" i="242" s="1"/>
  <c r="D139" i="242" s="1"/>
  <c r="D127" i="241"/>
  <c r="D149" i="241" s="1"/>
  <c r="C121" i="241"/>
  <c r="C127" i="241" s="1"/>
  <c r="D131" i="241"/>
  <c r="E139" i="241" s="1"/>
  <c r="D139" i="241" s="1"/>
  <c r="D131" i="240"/>
  <c r="E139" i="240" s="1"/>
  <c r="D139" i="240" s="1"/>
  <c r="D150" i="240"/>
  <c r="D150" i="239"/>
  <c r="D152" i="239" s="1"/>
  <c r="D127" i="238"/>
  <c r="D149" i="238" s="1"/>
  <c r="C121" i="238"/>
  <c r="C127" i="238" s="1"/>
  <c r="D131" i="238"/>
  <c r="E139" i="238" s="1"/>
  <c r="D139" i="238" s="1"/>
  <c r="D127" i="237"/>
  <c r="D149" i="237" s="1"/>
  <c r="C121" i="237"/>
  <c r="C127" i="237" s="1"/>
  <c r="D131" i="237"/>
  <c r="E139" i="237" s="1"/>
  <c r="D139" i="237" s="1"/>
  <c r="D127" i="236"/>
  <c r="D149" i="236" s="1"/>
  <c r="C121" i="236"/>
  <c r="C127" i="236" s="1"/>
  <c r="D131" i="236"/>
  <c r="E139" i="236" s="1"/>
  <c r="D139" i="236" s="1"/>
  <c r="D131" i="235"/>
  <c r="D127" i="235"/>
  <c r="D149" i="235" s="1"/>
  <c r="C121" i="235"/>
  <c r="C127" i="235" s="1"/>
  <c r="D127" i="234"/>
  <c r="D149" i="234" s="1"/>
  <c r="C121" i="234"/>
  <c r="C127" i="234" s="1"/>
  <c r="D131" i="234"/>
  <c r="E139" i="234" s="1"/>
  <c r="D139" i="234" s="1"/>
  <c r="D150" i="233"/>
  <c r="D152" i="233" s="1"/>
  <c r="D127" i="232"/>
  <c r="D149" i="232" s="1"/>
  <c r="C121" i="232"/>
  <c r="C127" i="232" s="1"/>
  <c r="D131" i="232"/>
  <c r="E139" i="232" s="1"/>
  <c r="D139" i="232" s="1"/>
  <c r="D150" i="231"/>
  <c r="D152" i="231" s="1"/>
  <c r="D150" i="230"/>
  <c r="D152" i="230" s="1"/>
  <c r="D150" i="229"/>
  <c r="D152" i="229" s="1"/>
  <c r="D127" i="228"/>
  <c r="D149" i="228" s="1"/>
  <c r="C121" i="228"/>
  <c r="C127" i="228" s="1"/>
  <c r="D131" i="228"/>
  <c r="E139" i="228" s="1"/>
  <c r="D139" i="228" s="1"/>
  <c r="D127" i="227"/>
  <c r="D149" i="227" s="1"/>
  <c r="C121" i="227"/>
  <c r="C127" i="227" s="1"/>
  <c r="D131" i="227"/>
  <c r="E139" i="227" s="1"/>
  <c r="D139" i="227" s="1"/>
  <c r="D127" i="226"/>
  <c r="D149" i="226" s="1"/>
  <c r="C121" i="226"/>
  <c r="C127" i="226" s="1"/>
  <c r="D131" i="226"/>
  <c r="E139" i="226" s="1"/>
  <c r="D139" i="226" s="1"/>
  <c r="D150" i="225"/>
  <c r="D152" i="225" s="1"/>
  <c r="D150" i="224"/>
  <c r="D152" i="224" s="1"/>
  <c r="D150" i="223"/>
  <c r="C110" i="191"/>
  <c r="BA26" i="281" l="1"/>
  <c r="BA208" i="281"/>
  <c r="BB208" i="281" s="1"/>
  <c r="BA161" i="281"/>
  <c r="BA135" i="281"/>
  <c r="BB135" i="281" s="1"/>
  <c r="BA115" i="281"/>
  <c r="BA85" i="281"/>
  <c r="BA198" i="281"/>
  <c r="BB198" i="281" s="1"/>
  <c r="BA188" i="281"/>
  <c r="BA150" i="281"/>
  <c r="BB150" i="281" s="1"/>
  <c r="BA143" i="281"/>
  <c r="BB143" i="281" s="1"/>
  <c r="BA128" i="281"/>
  <c r="BB128" i="281" s="1"/>
  <c r="BA163" i="281"/>
  <c r="BB163" i="281" s="1"/>
  <c r="BC163" i="281" s="1"/>
  <c r="BA97" i="281"/>
  <c r="BA151" i="281"/>
  <c r="BA136" i="281"/>
  <c r="BB136" i="281" s="1"/>
  <c r="BC136" i="281" s="1"/>
  <c r="BA116" i="281"/>
  <c r="BB116" i="281" s="1"/>
  <c r="BC116" i="281" s="1"/>
  <c r="BA86" i="281"/>
  <c r="BB86" i="281" s="1"/>
  <c r="BC86" i="281" s="1"/>
  <c r="BA109" i="281"/>
  <c r="BB109" i="281" s="1"/>
  <c r="BA28" i="281"/>
  <c r="D150" i="243"/>
  <c r="D152" i="243" s="1"/>
  <c r="D150" i="242"/>
  <c r="D152" i="242" s="1"/>
  <c r="D150" i="241"/>
  <c r="D152" i="241" s="1"/>
  <c r="D152" i="240"/>
  <c r="E148" i="240"/>
  <c r="C150" i="239"/>
  <c r="E148" i="239"/>
  <c r="D150" i="238"/>
  <c r="D152" i="238" s="1"/>
  <c r="D150" i="237"/>
  <c r="D152" i="237" s="1"/>
  <c r="D150" i="236"/>
  <c r="D152" i="236" s="1"/>
  <c r="D150" i="235"/>
  <c r="E139" i="235"/>
  <c r="D139" i="235" s="1"/>
  <c r="D150" i="234"/>
  <c r="D152" i="234" s="1"/>
  <c r="E148" i="233"/>
  <c r="D150" i="232"/>
  <c r="D152" i="232" s="1"/>
  <c r="E148" i="231"/>
  <c r="C150" i="230"/>
  <c r="E148" i="230"/>
  <c r="C150" i="229"/>
  <c r="E148" i="229"/>
  <c r="D150" i="228"/>
  <c r="D152" i="228" s="1"/>
  <c r="D150" i="227"/>
  <c r="D152" i="227" s="1"/>
  <c r="D150" i="226"/>
  <c r="D152" i="226" s="1"/>
  <c r="C150" i="225"/>
  <c r="E148" i="225"/>
  <c r="E148" i="224"/>
  <c r="D152" i="223"/>
  <c r="E148" i="223"/>
  <c r="C109" i="191"/>
  <c r="C101" i="191"/>
  <c r="C85" i="191"/>
  <c r="C113" i="191"/>
  <c r="C112" i="191"/>
  <c r="C111" i="191"/>
  <c r="C102" i="191"/>
  <c r="C104" i="191" s="1"/>
  <c r="C99" i="191"/>
  <c r="C92" i="191"/>
  <c r="C84" i="191"/>
  <c r="C78" i="191"/>
  <c r="E149" i="230"/>
  <c r="E150" i="230" s="1"/>
  <c r="E149" i="223"/>
  <c r="E150" i="223" s="1"/>
  <c r="B6" i="190"/>
  <c r="B7" i="190" s="1"/>
  <c r="B8" i="190" s="1"/>
  <c r="B9" i="190" s="1"/>
  <c r="BA24" i="281" l="1"/>
  <c r="BA168" i="281"/>
  <c r="BA144" i="281"/>
  <c r="BB144" i="281" s="1"/>
  <c r="BC144" i="281" s="1"/>
  <c r="BA129" i="281"/>
  <c r="BB129" i="281" s="1"/>
  <c r="BC129" i="281" s="1"/>
  <c r="BA91" i="281"/>
  <c r="BA173" i="281"/>
  <c r="BB173" i="281" s="1"/>
  <c r="BC173" i="281" s="1"/>
  <c r="BA27" i="281"/>
  <c r="BA37" i="281" s="1"/>
  <c r="BB37" i="281" s="1"/>
  <c r="BC37" i="281" s="1"/>
  <c r="BA203" i="281"/>
  <c r="BB203" i="281" s="1"/>
  <c r="BA110" i="281"/>
  <c r="BB110" i="281" s="1"/>
  <c r="BC110" i="281" s="1"/>
  <c r="BA138" i="281"/>
  <c r="BB138" i="281" s="1"/>
  <c r="BC138" i="281" s="1"/>
  <c r="BA99" i="281"/>
  <c r="BA87" i="281"/>
  <c r="BB87" i="281" s="1"/>
  <c r="BC87" i="281" s="1"/>
  <c r="BA179" i="281"/>
  <c r="BB179" i="281" s="1"/>
  <c r="BC179" i="281" s="1"/>
  <c r="BA164" i="281"/>
  <c r="BB164" i="281" s="1"/>
  <c r="BC164" i="281" s="1"/>
  <c r="BA153" i="281"/>
  <c r="BA118" i="281"/>
  <c r="BA111" i="281"/>
  <c r="BB111" i="281" s="1"/>
  <c r="BC111" i="281" s="1"/>
  <c r="BA39" i="281"/>
  <c r="BB39" i="281" s="1"/>
  <c r="BC39" i="281" s="1"/>
  <c r="BB28" i="281"/>
  <c r="BC109" i="281"/>
  <c r="BA104" i="281"/>
  <c r="BB104" i="281" s="1"/>
  <c r="BC104" i="281" s="1"/>
  <c r="BB97" i="281"/>
  <c r="BC97" i="281" s="1"/>
  <c r="BC143" i="281"/>
  <c r="BC135" i="281"/>
  <c r="BB209" i="281"/>
  <c r="BC208" i="281"/>
  <c r="BC209" i="281" s="1"/>
  <c r="BA79" i="281"/>
  <c r="BB79" i="281" s="1"/>
  <c r="BC79" i="281" s="1"/>
  <c r="BB26" i="281"/>
  <c r="BA162" i="281"/>
  <c r="BB162" i="281" s="1"/>
  <c r="BC162" i="281" s="1"/>
  <c r="BA25" i="281"/>
  <c r="BA92" i="281"/>
  <c r="BB92" i="281" s="1"/>
  <c r="BC92" i="281" s="1"/>
  <c r="BA145" i="281"/>
  <c r="BB145" i="281" s="1"/>
  <c r="BC145" i="281" s="1"/>
  <c r="BA130" i="281"/>
  <c r="BB130" i="281" s="1"/>
  <c r="BC130" i="281" s="1"/>
  <c r="BA137" i="281"/>
  <c r="BB137" i="281" s="1"/>
  <c r="BC137" i="281" s="1"/>
  <c r="C150" i="240"/>
  <c r="BA193" i="281"/>
  <c r="BA29" i="281"/>
  <c r="BA40" i="281" s="1"/>
  <c r="BB40" i="281" s="1"/>
  <c r="BC40" i="281" s="1"/>
  <c r="BA146" i="281"/>
  <c r="BB146" i="281" s="1"/>
  <c r="BC146" i="281" s="1"/>
  <c r="BA131" i="281"/>
  <c r="BB131" i="281" s="1"/>
  <c r="BC131" i="281" s="1"/>
  <c r="BA93" i="281"/>
  <c r="BB93" i="281" s="1"/>
  <c r="BC93" i="281" s="1"/>
  <c r="BB151" i="281"/>
  <c r="BC151" i="281" s="1"/>
  <c r="BC128" i="281"/>
  <c r="BC150" i="281"/>
  <c r="BB199" i="281"/>
  <c r="BC198" i="281"/>
  <c r="BC199" i="281" s="1"/>
  <c r="BB85" i="281"/>
  <c r="BA122" i="281"/>
  <c r="BB122" i="281" s="1"/>
  <c r="BB115" i="281"/>
  <c r="BB188" i="281"/>
  <c r="BB161" i="281"/>
  <c r="D152" i="235"/>
  <c r="D64" i="250"/>
  <c r="D64" i="249"/>
  <c r="D64" i="247"/>
  <c r="D64" i="248"/>
  <c r="E149" i="234"/>
  <c r="E150" i="234" s="1"/>
  <c r="D64" i="246"/>
  <c r="D64" i="245"/>
  <c r="D64" i="244"/>
  <c r="E149" i="227"/>
  <c r="E150" i="227" s="1"/>
  <c r="E148" i="243"/>
  <c r="E148" i="242"/>
  <c r="C150" i="241"/>
  <c r="E148" i="241"/>
  <c r="D137" i="240"/>
  <c r="E134" i="240"/>
  <c r="D135" i="240"/>
  <c r="D134" i="240"/>
  <c r="C147" i="240"/>
  <c r="C148" i="240"/>
  <c r="C146" i="240"/>
  <c r="C149" i="240"/>
  <c r="D137" i="239"/>
  <c r="E134" i="239"/>
  <c r="D135" i="239"/>
  <c r="D134" i="239"/>
  <c r="C148" i="239"/>
  <c r="C147" i="239"/>
  <c r="C146" i="239"/>
  <c r="C149" i="239"/>
  <c r="E148" i="238"/>
  <c r="E148" i="237"/>
  <c r="C150" i="236"/>
  <c r="E148" i="236"/>
  <c r="C150" i="235"/>
  <c r="E148" i="235"/>
  <c r="E148" i="234"/>
  <c r="D137" i="233"/>
  <c r="E134" i="233"/>
  <c r="D135" i="233"/>
  <c r="D134" i="233"/>
  <c r="C147" i="233"/>
  <c r="C148" i="233"/>
  <c r="C146" i="233"/>
  <c r="C149" i="233"/>
  <c r="C150" i="233"/>
  <c r="E148" i="232"/>
  <c r="D137" i="231"/>
  <c r="E134" i="231"/>
  <c r="D135" i="231"/>
  <c r="D134" i="231"/>
  <c r="C147" i="231"/>
  <c r="C148" i="231"/>
  <c r="C146" i="231"/>
  <c r="C149" i="231"/>
  <c r="C150" i="231"/>
  <c r="D137" i="230"/>
  <c r="E134" i="230"/>
  <c r="D135" i="230"/>
  <c r="D134" i="230"/>
  <c r="C147" i="230"/>
  <c r="C148" i="230"/>
  <c r="C146" i="230"/>
  <c r="C149" i="230"/>
  <c r="D137" i="229"/>
  <c r="E134" i="229"/>
  <c r="D135" i="229"/>
  <c r="D134" i="229"/>
  <c r="C147" i="229"/>
  <c r="C148" i="229"/>
  <c r="C146" i="229"/>
  <c r="C149" i="229"/>
  <c r="E148" i="228"/>
  <c r="E148" i="227"/>
  <c r="E148" i="226"/>
  <c r="D137" i="225"/>
  <c r="E134" i="225"/>
  <c r="D135" i="225"/>
  <c r="D134" i="225"/>
  <c r="C148" i="225"/>
  <c r="C147" i="225"/>
  <c r="C146" i="225"/>
  <c r="C149" i="225"/>
  <c r="D137" i="224"/>
  <c r="E134" i="224"/>
  <c r="D135" i="224"/>
  <c r="D134" i="224"/>
  <c r="C147" i="224"/>
  <c r="C148" i="224"/>
  <c r="C146" i="224"/>
  <c r="C149" i="224"/>
  <c r="C150" i="224"/>
  <c r="D137" i="223"/>
  <c r="E134" i="223"/>
  <c r="D135" i="223"/>
  <c r="D134" i="223"/>
  <c r="C147" i="223"/>
  <c r="C148" i="223"/>
  <c r="C146" i="223"/>
  <c r="C149" i="223"/>
  <c r="C150" i="223"/>
  <c r="C86" i="191"/>
  <c r="B10" i="190"/>
  <c r="B11" i="190" s="1"/>
  <c r="B12" i="190" s="1"/>
  <c r="B13" i="190" s="1"/>
  <c r="B14" i="190" s="1"/>
  <c r="B15" i="190" s="1"/>
  <c r="B16" i="190" s="1"/>
  <c r="B17" i="190" s="1"/>
  <c r="B18" i="190" s="1"/>
  <c r="B19" i="190" s="1"/>
  <c r="B20" i="190" s="1"/>
  <c r="B21" i="190" s="1"/>
  <c r="B22" i="190" s="1"/>
  <c r="B23" i="190" s="1"/>
  <c r="B24" i="190" s="1"/>
  <c r="B25" i="190" s="1"/>
  <c r="B26" i="190" s="1"/>
  <c r="B27" i="190" s="1"/>
  <c r="B28" i="190" s="1"/>
  <c r="B29" i="190" s="1"/>
  <c r="B30" i="190" s="1"/>
  <c r="B31" i="190" s="1"/>
  <c r="B32" i="190" s="1"/>
  <c r="B33" i="190" s="1"/>
  <c r="B34" i="190" s="1"/>
  <c r="C115" i="191"/>
  <c r="E149" i="191"/>
  <c r="E150" i="191" s="1"/>
  <c r="BA88" i="281" l="1"/>
  <c r="BC28" i="281"/>
  <c r="BB13" i="281"/>
  <c r="BC13" i="281" s="1"/>
  <c r="BC26" i="281"/>
  <c r="BC147" i="281"/>
  <c r="BC161" i="281"/>
  <c r="BA194" i="281"/>
  <c r="BB193" i="281"/>
  <c r="BA157" i="281"/>
  <c r="BB157" i="281" s="1"/>
  <c r="BC157" i="281" s="1"/>
  <c r="BB153" i="281"/>
  <c r="BC153" i="281" s="1"/>
  <c r="BB204" i="281"/>
  <c r="BC203" i="281"/>
  <c r="BC204" i="281" s="1"/>
  <c r="BA178" i="281"/>
  <c r="BA152" i="281"/>
  <c r="BA117" i="281"/>
  <c r="BA98" i="281"/>
  <c r="BB189" i="281"/>
  <c r="BC188" i="281"/>
  <c r="BC189" i="281" s="1"/>
  <c r="BC122" i="281"/>
  <c r="BC85" i="281"/>
  <c r="BC88" i="281" s="1"/>
  <c r="BB88" i="281"/>
  <c r="BA78" i="281"/>
  <c r="BB78" i="281" s="1"/>
  <c r="BC78" i="281" s="1"/>
  <c r="BA50" i="281"/>
  <c r="BB50" i="281" s="1"/>
  <c r="BC50" i="281" s="1"/>
  <c r="BA51" i="281"/>
  <c r="BB51" i="281" s="1"/>
  <c r="BC51" i="281" s="1"/>
  <c r="BB25" i="281"/>
  <c r="BB103" i="281"/>
  <c r="BB118" i="281"/>
  <c r="BC118" i="281" s="1"/>
  <c r="BA124" i="281"/>
  <c r="BB124" i="281" s="1"/>
  <c r="BC124" i="281" s="1"/>
  <c r="BA80" i="281"/>
  <c r="BB80" i="281" s="1"/>
  <c r="BC80" i="281" s="1"/>
  <c r="BA72" i="281"/>
  <c r="BB72" i="281" s="1"/>
  <c r="BC72" i="281" s="1"/>
  <c r="BA38" i="281"/>
  <c r="BB38" i="281" s="1"/>
  <c r="BC38" i="281" s="1"/>
  <c r="BB27" i="281"/>
  <c r="BA48" i="281"/>
  <c r="BA35" i="281"/>
  <c r="BB35" i="281" s="1"/>
  <c r="BC35" i="281" s="1"/>
  <c r="BA77" i="281"/>
  <c r="BA71" i="281"/>
  <c r="BA49" i="281"/>
  <c r="BA36" i="281"/>
  <c r="BB36" i="281" s="1"/>
  <c r="BC36" i="281" s="1"/>
  <c r="BB24" i="281"/>
  <c r="BB147" i="281"/>
  <c r="BC115" i="281"/>
  <c r="BA81" i="281"/>
  <c r="BB81" i="281" s="1"/>
  <c r="BC81" i="281" s="1"/>
  <c r="BA73" i="281"/>
  <c r="BB73" i="281" s="1"/>
  <c r="BC73" i="281" s="1"/>
  <c r="BB29" i="281"/>
  <c r="BA105" i="281"/>
  <c r="BB105" i="281" s="1"/>
  <c r="BC105" i="281" s="1"/>
  <c r="BB99" i="281"/>
  <c r="BC99" i="281" s="1"/>
  <c r="BB91" i="281"/>
  <c r="BB11" i="281" s="1"/>
  <c r="BC11" i="281" s="1"/>
  <c r="BA94" i="281"/>
  <c r="BA172" i="281"/>
  <c r="BB172" i="281" s="1"/>
  <c r="BB174" i="281" s="1"/>
  <c r="BB168" i="281"/>
  <c r="D148" i="244"/>
  <c r="E130" i="244"/>
  <c r="D131" i="244" s="1"/>
  <c r="E139" i="244" s="1"/>
  <c r="D139" i="244" s="1"/>
  <c r="D148" i="246"/>
  <c r="E130" i="246"/>
  <c r="D131" i="246" s="1"/>
  <c r="E139" i="246" s="1"/>
  <c r="D139" i="246" s="1"/>
  <c r="D148" i="247"/>
  <c r="E130" i="247"/>
  <c r="D131" i="247" s="1"/>
  <c r="E139" i="247" s="1"/>
  <c r="D139" i="247" s="1"/>
  <c r="D148" i="250"/>
  <c r="E130" i="250"/>
  <c r="D131" i="250" s="1"/>
  <c r="E139" i="250" s="1"/>
  <c r="D139" i="250" s="1"/>
  <c r="D148" i="245"/>
  <c r="D150" i="245" s="1"/>
  <c r="E130" i="245"/>
  <c r="D131" i="245" s="1"/>
  <c r="E139" i="245" s="1"/>
  <c r="D139" i="245" s="1"/>
  <c r="D152" i="245" s="1"/>
  <c r="D148" i="248"/>
  <c r="D150" i="248" s="1"/>
  <c r="E130" i="248"/>
  <c r="D131" i="248" s="1"/>
  <c r="E139" i="248" s="1"/>
  <c r="D139" i="248" s="1"/>
  <c r="D152" i="248" s="1"/>
  <c r="D148" i="249"/>
  <c r="E130" i="249"/>
  <c r="D131" i="249" s="1"/>
  <c r="E139" i="249" s="1"/>
  <c r="D139" i="249" s="1"/>
  <c r="D137" i="243"/>
  <c r="E134" i="243"/>
  <c r="D135" i="243"/>
  <c r="D134" i="243"/>
  <c r="C147" i="243"/>
  <c r="C148" i="243"/>
  <c r="C146" i="243"/>
  <c r="C149" i="243"/>
  <c r="C150" i="243"/>
  <c r="D137" i="242"/>
  <c r="E134" i="242"/>
  <c r="D135" i="242"/>
  <c r="D134" i="242"/>
  <c r="C147" i="242"/>
  <c r="C148" i="242"/>
  <c r="C146" i="242"/>
  <c r="C149" i="242"/>
  <c r="C150" i="242"/>
  <c r="D137" i="241"/>
  <c r="E134" i="241"/>
  <c r="D135" i="241"/>
  <c r="D134" i="241"/>
  <c r="C147" i="241"/>
  <c r="C148" i="241"/>
  <c r="C146" i="241"/>
  <c r="C149" i="241"/>
  <c r="D140" i="240"/>
  <c r="D151" i="240" s="1"/>
  <c r="D140" i="239"/>
  <c r="D151" i="239" s="1"/>
  <c r="D137" i="238"/>
  <c r="E134" i="238"/>
  <c r="D135" i="238"/>
  <c r="D134" i="238"/>
  <c r="C147" i="238"/>
  <c r="C148" i="238"/>
  <c r="C146" i="238"/>
  <c r="C149" i="238"/>
  <c r="C150" i="238"/>
  <c r="D137" i="237"/>
  <c r="E134" i="237"/>
  <c r="D135" i="237"/>
  <c r="D134" i="237"/>
  <c r="C147" i="237"/>
  <c r="C148" i="237"/>
  <c r="C146" i="237"/>
  <c r="C149" i="237"/>
  <c r="C150" i="237"/>
  <c r="D135" i="236"/>
  <c r="D134" i="236"/>
  <c r="D137" i="236"/>
  <c r="E134" i="236"/>
  <c r="C148" i="236"/>
  <c r="C147" i="236"/>
  <c r="C146" i="236"/>
  <c r="C149" i="236"/>
  <c r="D137" i="235"/>
  <c r="E134" i="235"/>
  <c r="D135" i="235"/>
  <c r="D134" i="235"/>
  <c r="C147" i="235"/>
  <c r="C148" i="235"/>
  <c r="C146" i="235"/>
  <c r="C149" i="235"/>
  <c r="D137" i="234"/>
  <c r="E134" i="234"/>
  <c r="D135" i="234"/>
  <c r="D134" i="234"/>
  <c r="C147" i="234"/>
  <c r="C148" i="234"/>
  <c r="C146" i="234"/>
  <c r="C149" i="234"/>
  <c r="C150" i="234"/>
  <c r="D140" i="233"/>
  <c r="D151" i="233" s="1"/>
  <c r="D137" i="232"/>
  <c r="E134" i="232"/>
  <c r="D135" i="232"/>
  <c r="D134" i="232"/>
  <c r="C147" i="232"/>
  <c r="C148" i="232"/>
  <c r="C146" i="232"/>
  <c r="C149" i="232"/>
  <c r="C150" i="232"/>
  <c r="D140" i="231"/>
  <c r="D151" i="231" s="1"/>
  <c r="D140" i="230"/>
  <c r="D151" i="230" s="1"/>
  <c r="D140" i="229"/>
  <c r="D151" i="229" s="1"/>
  <c r="C151" i="229" s="1"/>
  <c r="C152" i="229" s="1"/>
  <c r="D137" i="228"/>
  <c r="E134" i="228"/>
  <c r="D135" i="228"/>
  <c r="D134" i="228"/>
  <c r="C147" i="228"/>
  <c r="C148" i="228"/>
  <c r="C146" i="228"/>
  <c r="C149" i="228"/>
  <c r="C150" i="228"/>
  <c r="D137" i="227"/>
  <c r="E134" i="227"/>
  <c r="D135" i="227"/>
  <c r="D134" i="227"/>
  <c r="C147" i="227"/>
  <c r="C148" i="227"/>
  <c r="C146" i="227"/>
  <c r="C149" i="227"/>
  <c r="C150" i="227"/>
  <c r="D137" i="226"/>
  <c r="E134" i="226"/>
  <c r="D135" i="226"/>
  <c r="D134" i="226"/>
  <c r="C147" i="226"/>
  <c r="C148" i="226"/>
  <c r="C146" i="226"/>
  <c r="C149" i="226"/>
  <c r="C150" i="226"/>
  <c r="D140" i="225"/>
  <c r="D151" i="225" s="1"/>
  <c r="C151" i="225" s="1"/>
  <c r="C152" i="225" s="1"/>
  <c r="D140" i="224"/>
  <c r="D151" i="224" s="1"/>
  <c r="D140" i="223"/>
  <c r="D151" i="223" s="1"/>
  <c r="C151" i="223" s="1"/>
  <c r="C152" i="223" s="1"/>
  <c r="D64" i="191"/>
  <c r="D148" i="191" s="1"/>
  <c r="B35" i="190"/>
  <c r="B36" i="190" s="1"/>
  <c r="B37" i="190" s="1"/>
  <c r="B38" i="190" s="1"/>
  <c r="B39" i="190" s="1"/>
  <c r="B40" i="190" s="1"/>
  <c r="B41" i="190" s="1"/>
  <c r="B42" i="190" s="1"/>
  <c r="B43" i="190" s="1"/>
  <c r="B44" i="190" s="1"/>
  <c r="B45" i="190" s="1"/>
  <c r="B46" i="190" s="1"/>
  <c r="B47" i="190" s="1"/>
  <c r="B48" i="190" s="1"/>
  <c r="B49" i="190" s="1"/>
  <c r="B50" i="190" s="1"/>
  <c r="B51" i="190" s="1"/>
  <c r="B52" i="190" s="1"/>
  <c r="B53" i="190" s="1"/>
  <c r="B54" i="190" s="1"/>
  <c r="B55" i="190" s="1"/>
  <c r="B56" i="190" s="1"/>
  <c r="B57" i="190" s="1"/>
  <c r="B58" i="190" s="1"/>
  <c r="B59" i="190" s="1"/>
  <c r="B60" i="190" s="1"/>
  <c r="B61" i="190" s="1"/>
  <c r="B62" i="190" s="1"/>
  <c r="B63" i="190" s="1"/>
  <c r="B64" i="190" s="1"/>
  <c r="B65" i="190" s="1"/>
  <c r="B66" i="190" s="1"/>
  <c r="B67" i="190" s="1"/>
  <c r="B68" i="190" s="1"/>
  <c r="B69" i="190" s="1"/>
  <c r="B70" i="190" s="1"/>
  <c r="B71" i="190" s="1"/>
  <c r="B72" i="190" s="1"/>
  <c r="B73" i="190" s="1"/>
  <c r="B74" i="190" s="1"/>
  <c r="B75" i="190" s="1"/>
  <c r="B76" i="190" s="1"/>
  <c r="B77" i="190" s="1"/>
  <c r="B78" i="190" s="1"/>
  <c r="B79" i="190" s="1"/>
  <c r="B80" i="190" s="1"/>
  <c r="B81" i="190" s="1"/>
  <c r="B82" i="190" s="1"/>
  <c r="B83" i="190" s="1"/>
  <c r="B84" i="190" s="1"/>
  <c r="B85" i="190" s="1"/>
  <c r="B86" i="190" s="1"/>
  <c r="B87" i="190" s="1"/>
  <c r="B88" i="190" s="1"/>
  <c r="B89" i="190" s="1"/>
  <c r="B90" i="190" s="1"/>
  <c r="B91" i="190" s="1"/>
  <c r="B92" i="190" s="1"/>
  <c r="B93" i="190" s="1"/>
  <c r="B94" i="190" s="1"/>
  <c r="B95" i="190" s="1"/>
  <c r="B96" i="190" s="1"/>
  <c r="B97" i="190" s="1"/>
  <c r="B98" i="190" s="1"/>
  <c r="B99" i="190" s="1"/>
  <c r="B100" i="190" s="1"/>
  <c r="B101" i="190" s="1"/>
  <c r="B102" i="190" s="1"/>
  <c r="B103" i="190" s="1"/>
  <c r="B104" i="190" s="1"/>
  <c r="B105" i="190" s="1"/>
  <c r="B106" i="190" s="1"/>
  <c r="B107" i="190" s="1"/>
  <c r="B108" i="190" s="1"/>
  <c r="B109" i="190" s="1"/>
  <c r="B110" i="190" s="1"/>
  <c r="B111" i="190" s="1"/>
  <c r="B112" i="190" s="1"/>
  <c r="B113" i="190" s="1"/>
  <c r="B114" i="190" s="1"/>
  <c r="B115" i="190" s="1"/>
  <c r="B116" i="190" s="1"/>
  <c r="B117" i="190" s="1"/>
  <c r="B118" i="190" s="1"/>
  <c r="B119" i="190" s="1"/>
  <c r="B120" i="190" s="1"/>
  <c r="B121" i="190" s="1"/>
  <c r="B122" i="190" s="1"/>
  <c r="B123" i="190" s="1"/>
  <c r="B124" i="190" s="1"/>
  <c r="B125" i="190" s="1"/>
  <c r="B126" i="190" s="1"/>
  <c r="B127" i="190" s="1"/>
  <c r="B128" i="190" s="1"/>
  <c r="B129" i="190" s="1"/>
  <c r="B130" i="190" s="1"/>
  <c r="B131" i="190" s="1"/>
  <c r="B132" i="190" s="1"/>
  <c r="B133" i="190" s="1"/>
  <c r="B134" i="190" s="1"/>
  <c r="B135" i="190" s="1"/>
  <c r="B136" i="190" s="1"/>
  <c r="B137" i="190" s="1"/>
  <c r="B138" i="190" s="1"/>
  <c r="B139" i="190" s="1"/>
  <c r="B140" i="190" s="1"/>
  <c r="B141" i="190" s="1"/>
  <c r="B142" i="190" s="1"/>
  <c r="B143" i="190" s="1"/>
  <c r="B144" i="190" s="1"/>
  <c r="B145" i="190" s="1"/>
  <c r="B146" i="190" s="1"/>
  <c r="B147" i="190" s="1"/>
  <c r="B148" i="190" s="1"/>
  <c r="BB15" i="281" l="1"/>
  <c r="BC15" i="281" s="1"/>
  <c r="BB9" i="281"/>
  <c r="BC9" i="281" s="1"/>
  <c r="BC29" i="281"/>
  <c r="BC27" i="281"/>
  <c r="BC25" i="281"/>
  <c r="BB10" i="281"/>
  <c r="BC10" i="281" s="1"/>
  <c r="BC24" i="281"/>
  <c r="BB169" i="281"/>
  <c r="BC168" i="281"/>
  <c r="BC169" i="281" s="1"/>
  <c r="BB71" i="281"/>
  <c r="BC103" i="281"/>
  <c r="BB98" i="281"/>
  <c r="BA184" i="281"/>
  <c r="BB184" i="281" s="1"/>
  <c r="BB178" i="281"/>
  <c r="D137" i="248"/>
  <c r="D137" i="245"/>
  <c r="BC172" i="281"/>
  <c r="BC174" i="281" s="1"/>
  <c r="BC91" i="281"/>
  <c r="BC94" i="281" s="1"/>
  <c r="BB94" i="281"/>
  <c r="BA55" i="281"/>
  <c r="BB49" i="281"/>
  <c r="BC49" i="281" s="1"/>
  <c r="BB77" i="281"/>
  <c r="BB48" i="281"/>
  <c r="BA123" i="281"/>
  <c r="BB123" i="281" s="1"/>
  <c r="BB117" i="281"/>
  <c r="BB152" i="281"/>
  <c r="BC193" i="281"/>
  <c r="BC194" i="281" s="1"/>
  <c r="BB194" i="281"/>
  <c r="C149" i="245"/>
  <c r="C149" i="248"/>
  <c r="D134" i="245"/>
  <c r="D134" i="248"/>
  <c r="C148" i="245"/>
  <c r="E134" i="245"/>
  <c r="C148" i="248"/>
  <c r="E134" i="248"/>
  <c r="D150" i="249"/>
  <c r="D152" i="249" s="1"/>
  <c r="C150" i="248"/>
  <c r="E148" i="248"/>
  <c r="D150" i="250"/>
  <c r="D150" i="247"/>
  <c r="D152" i="247" s="1"/>
  <c r="D150" i="246"/>
  <c r="D150" i="244"/>
  <c r="D152" i="244" s="1"/>
  <c r="C150" i="245"/>
  <c r="C146" i="245"/>
  <c r="C147" i="245"/>
  <c r="D135" i="245"/>
  <c r="C146" i="248"/>
  <c r="C147" i="248"/>
  <c r="D135" i="248"/>
  <c r="D140" i="248" s="1"/>
  <c r="D151" i="248" s="1"/>
  <c r="C151" i="248" s="1"/>
  <c r="C152" i="248" s="1"/>
  <c r="E148" i="245"/>
  <c r="D152" i="246"/>
  <c r="D140" i="243"/>
  <c r="D151" i="243" s="1"/>
  <c r="D140" i="242"/>
  <c r="D151" i="242" s="1"/>
  <c r="D140" i="241"/>
  <c r="D151" i="241" s="1"/>
  <c r="C151" i="241" s="1"/>
  <c r="C152" i="241" s="1"/>
  <c r="C151" i="240"/>
  <c r="C152" i="240" s="1"/>
  <c r="F152" i="240"/>
  <c r="C151" i="239"/>
  <c r="C152" i="239" s="1"/>
  <c r="F152" i="239"/>
  <c r="D140" i="238"/>
  <c r="D151" i="238" s="1"/>
  <c r="C151" i="238" s="1"/>
  <c r="C152" i="238" s="1"/>
  <c r="D140" i="237"/>
  <c r="D151" i="237" s="1"/>
  <c r="C151" i="237" s="1"/>
  <c r="C152" i="237" s="1"/>
  <c r="D140" i="236"/>
  <c r="D151" i="236" s="1"/>
  <c r="D140" i="235"/>
  <c r="D151" i="235" s="1"/>
  <c r="C151" i="235" s="1"/>
  <c r="C152" i="235" s="1"/>
  <c r="D140" i="234"/>
  <c r="D151" i="234" s="1"/>
  <c r="C151" i="233"/>
  <c r="C152" i="233" s="1"/>
  <c r="F152" i="233"/>
  <c r="D140" i="232"/>
  <c r="D151" i="232" s="1"/>
  <c r="C151" i="231"/>
  <c r="C152" i="231" s="1"/>
  <c r="F152" i="231"/>
  <c r="C151" i="230"/>
  <c r="C152" i="230" s="1"/>
  <c r="F152" i="230"/>
  <c r="F152" i="229"/>
  <c r="D140" i="228"/>
  <c r="D151" i="228" s="1"/>
  <c r="D140" i="227"/>
  <c r="D151" i="227" s="1"/>
  <c r="D140" i="226"/>
  <c r="D151" i="226" s="1"/>
  <c r="C151" i="226" s="1"/>
  <c r="C152" i="226" s="1"/>
  <c r="F152" i="225"/>
  <c r="C151" i="224"/>
  <c r="C152" i="224" s="1"/>
  <c r="F152" i="224"/>
  <c r="F152" i="223"/>
  <c r="BB12" i="281" l="1"/>
  <c r="BC12" i="281" s="1"/>
  <c r="BC152" i="281"/>
  <c r="BC123" i="281"/>
  <c r="BC48" i="281"/>
  <c r="BC77" i="281"/>
  <c r="BB55" i="281"/>
  <c r="BA59" i="281"/>
  <c r="BC132" i="281"/>
  <c r="BB132" i="281"/>
  <c r="BB185" i="281"/>
  <c r="BC184" i="281"/>
  <c r="BC185" i="281" s="1"/>
  <c r="BC71" i="281"/>
  <c r="BC106" i="281"/>
  <c r="BA139" i="281"/>
  <c r="BB139" i="281" s="1"/>
  <c r="BC139" i="281" s="1"/>
  <c r="BA30" i="281"/>
  <c r="BA42" i="281" s="1"/>
  <c r="BB42" i="281" s="1"/>
  <c r="BC42" i="281" s="1"/>
  <c r="BC117" i="281"/>
  <c r="BC178" i="281"/>
  <c r="BC180" i="281" s="1"/>
  <c r="BB180" i="281"/>
  <c r="BC98" i="281"/>
  <c r="BC100" i="281" s="1"/>
  <c r="BB106" i="281"/>
  <c r="D140" i="245"/>
  <c r="D151" i="245" s="1"/>
  <c r="D137" i="246"/>
  <c r="D135" i="246"/>
  <c r="C147" i="246"/>
  <c r="C146" i="246"/>
  <c r="E134" i="246"/>
  <c r="D134" i="246"/>
  <c r="C149" i="246"/>
  <c r="D137" i="249"/>
  <c r="D135" i="249"/>
  <c r="C147" i="249"/>
  <c r="C146" i="249"/>
  <c r="E134" i="249"/>
  <c r="D134" i="249"/>
  <c r="C149" i="249"/>
  <c r="E148" i="244"/>
  <c r="C150" i="244"/>
  <c r="C150" i="246"/>
  <c r="E148" i="246"/>
  <c r="C150" i="247"/>
  <c r="E148" i="247"/>
  <c r="E148" i="250"/>
  <c r="D152" i="250"/>
  <c r="E148" i="249"/>
  <c r="C150" i="249"/>
  <c r="E134" i="244"/>
  <c r="D134" i="244"/>
  <c r="C149" i="244"/>
  <c r="D137" i="244"/>
  <c r="D135" i="244"/>
  <c r="C147" i="244"/>
  <c r="C146" i="244"/>
  <c r="D137" i="247"/>
  <c r="D135" i="247"/>
  <c r="C147" i="247"/>
  <c r="C146" i="247"/>
  <c r="E134" i="247"/>
  <c r="D134" i="247"/>
  <c r="C149" i="247"/>
  <c r="C148" i="244"/>
  <c r="C148" i="246"/>
  <c r="C148" i="247"/>
  <c r="C148" i="249"/>
  <c r="F152" i="248"/>
  <c r="C151" i="245"/>
  <c r="C152" i="245" s="1"/>
  <c r="F152" i="245"/>
  <c r="C151" i="243"/>
  <c r="C152" i="243" s="1"/>
  <c r="F152" i="243"/>
  <c r="C151" i="242"/>
  <c r="C152" i="242" s="1"/>
  <c r="F152" i="242"/>
  <c r="F152" i="241"/>
  <c r="F152" i="238"/>
  <c r="F152" i="237"/>
  <c r="C151" i="236"/>
  <c r="C152" i="236" s="1"/>
  <c r="F152" i="236"/>
  <c r="F152" i="235"/>
  <c r="C151" i="234"/>
  <c r="C152" i="234" s="1"/>
  <c r="F152" i="234"/>
  <c r="C151" i="232"/>
  <c r="C152" i="232" s="1"/>
  <c r="F152" i="232"/>
  <c r="C151" i="228"/>
  <c r="C152" i="228" s="1"/>
  <c r="F152" i="228"/>
  <c r="C151" i="227"/>
  <c r="C152" i="227" s="1"/>
  <c r="F152" i="227"/>
  <c r="F152" i="226"/>
  <c r="D43" i="191"/>
  <c r="D54" i="191"/>
  <c r="D147" i="191" s="1"/>
  <c r="BA52" i="281" l="1"/>
  <c r="BA56" i="281" s="1"/>
  <c r="BA44" i="281"/>
  <c r="BB44" i="281" s="1"/>
  <c r="BC44" i="281" s="1"/>
  <c r="BB52" i="281"/>
  <c r="BC52" i="281" s="1"/>
  <c r="BB100" i="281"/>
  <c r="BC140" i="281"/>
  <c r="BB140" i="281"/>
  <c r="BC55" i="281"/>
  <c r="BA45" i="281"/>
  <c r="BB45" i="281" s="1"/>
  <c r="BC45" i="281" s="1"/>
  <c r="BA43" i="281"/>
  <c r="BB43" i="281" s="1"/>
  <c r="BC43" i="281" s="1"/>
  <c r="BA41" i="281"/>
  <c r="BB41" i="281" s="1"/>
  <c r="BC41" i="281" s="1"/>
  <c r="BB30" i="281"/>
  <c r="BC165" i="281"/>
  <c r="BB165" i="281"/>
  <c r="BB59" i="281"/>
  <c r="BA63" i="281"/>
  <c r="BA67" i="281" s="1"/>
  <c r="BB67" i="281" s="1"/>
  <c r="BC67" i="281" s="1"/>
  <c r="BC112" i="281"/>
  <c r="BB112" i="281"/>
  <c r="D140" i="249"/>
  <c r="D151" i="249" s="1"/>
  <c r="F152" i="249" s="1"/>
  <c r="D140" i="247"/>
  <c r="D151" i="247" s="1"/>
  <c r="F152" i="247" s="1"/>
  <c r="D140" i="246"/>
  <c r="D151" i="246" s="1"/>
  <c r="C151" i="246" s="1"/>
  <c r="C152" i="246" s="1"/>
  <c r="C151" i="247"/>
  <c r="C152" i="247" s="1"/>
  <c r="C151" i="249"/>
  <c r="C152" i="249" s="1"/>
  <c r="C150" i="250"/>
  <c r="D137" i="250"/>
  <c r="D135" i="250"/>
  <c r="C147" i="250"/>
  <c r="C146" i="250"/>
  <c r="E134" i="250"/>
  <c r="D134" i="250"/>
  <c r="C149" i="250"/>
  <c r="C148" i="250"/>
  <c r="F152" i="246"/>
  <c r="D140" i="244"/>
  <c r="D151" i="244" s="1"/>
  <c r="D110" i="191"/>
  <c r="D113" i="191"/>
  <c r="D109" i="191"/>
  <c r="D76" i="191"/>
  <c r="D146" i="191"/>
  <c r="D85" i="191"/>
  <c r="D73" i="191"/>
  <c r="D112" i="191"/>
  <c r="D101" i="191"/>
  <c r="D70" i="191"/>
  <c r="D92" i="191"/>
  <c r="D75" i="191"/>
  <c r="D100" i="191" s="1"/>
  <c r="C100" i="191" s="1"/>
  <c r="D111" i="191"/>
  <c r="D102" i="191"/>
  <c r="D72" i="191"/>
  <c r="D99" i="191"/>
  <c r="D77" i="191"/>
  <c r="C126" i="191"/>
  <c r="D104" i="191"/>
  <c r="D74" i="191"/>
  <c r="D114" i="191"/>
  <c r="D84" i="191"/>
  <c r="D86" i="191" s="1"/>
  <c r="D71" i="191"/>
  <c r="BB56" i="281" l="1"/>
  <c r="BC56" i="281" s="1"/>
  <c r="BA60" i="281"/>
  <c r="BC30" i="281"/>
  <c r="BB17" i="281"/>
  <c r="BC17" i="281" s="1"/>
  <c r="BC59" i="281"/>
  <c r="BC125" i="281"/>
  <c r="BB125" i="281"/>
  <c r="BC154" i="281"/>
  <c r="BB154" i="281"/>
  <c r="BB63" i="281"/>
  <c r="BC119" i="281"/>
  <c r="BB119" i="281"/>
  <c r="BC158" i="281"/>
  <c r="BB158" i="281"/>
  <c r="D140" i="250"/>
  <c r="D151" i="250" s="1"/>
  <c r="C151" i="250" s="1"/>
  <c r="C152" i="250" s="1"/>
  <c r="C151" i="244"/>
  <c r="C152" i="244" s="1"/>
  <c r="F152" i="244"/>
  <c r="D115" i="191"/>
  <c r="D78" i="191"/>
  <c r="BB60" i="281" l="1"/>
  <c r="BC60" i="281" s="1"/>
  <c r="BA64" i="281"/>
  <c r="BC63" i="281"/>
  <c r="F152" i="250"/>
  <c r="D122" i="191"/>
  <c r="C122" i="191" s="1"/>
  <c r="D103" i="191"/>
  <c r="D87" i="191"/>
  <c r="D93" i="191"/>
  <c r="D116" i="191"/>
  <c r="BB64" i="281" l="1"/>
  <c r="BC64" i="281" s="1"/>
  <c r="BA68" i="281"/>
  <c r="BB68" i="281" s="1"/>
  <c r="BC68" i="281" s="1"/>
  <c r="C116" i="191"/>
  <c r="C117" i="191" s="1"/>
  <c r="D117" i="191"/>
  <c r="D125" i="191" s="1"/>
  <c r="C125" i="191" s="1"/>
  <c r="C87" i="191"/>
  <c r="C88" i="191" s="1"/>
  <c r="D88" i="191"/>
  <c r="C93" i="191"/>
  <c r="C94" i="191" s="1"/>
  <c r="D94" i="191"/>
  <c r="D123" i="191" s="1"/>
  <c r="C123" i="191" s="1"/>
  <c r="C103" i="191"/>
  <c r="C105" i="191" s="1"/>
  <c r="D105" i="191"/>
  <c r="D124" i="191" s="1"/>
  <c r="C124" i="191" s="1"/>
  <c r="E130" i="191" l="1"/>
  <c r="D131" i="191" s="1"/>
  <c r="E139" i="191" s="1"/>
  <c r="D139" i="191" s="1"/>
  <c r="D121" i="191"/>
  <c r="E135" i="247" l="1"/>
  <c r="D127" i="191"/>
  <c r="D149" i="191" s="1"/>
  <c r="D150" i="191" s="1"/>
  <c r="E148" i="191" s="1"/>
  <c r="C121" i="191"/>
  <c r="C127" i="191" s="1"/>
  <c r="D152" i="191" l="1"/>
  <c r="E134" i="191" l="1"/>
  <c r="BA23" i="281"/>
  <c r="C147" i="191"/>
  <c r="C150" i="191"/>
  <c r="D134" i="191"/>
  <c r="C149" i="191"/>
  <c r="C146" i="191"/>
  <c r="C148" i="191"/>
  <c r="D137" i="191"/>
  <c r="D135" i="191"/>
  <c r="BB23" i="281" l="1"/>
  <c r="BB8" i="281" s="1"/>
  <c r="BC8" i="281" s="1"/>
  <c r="BA34" i="281"/>
  <c r="D140" i="191"/>
  <c r="D151" i="191" s="1"/>
  <c r="F152" i="191" s="1"/>
  <c r="BC18" i="281" l="1"/>
  <c r="BB18" i="281"/>
  <c r="BC23" i="281"/>
  <c r="BC31" i="281" s="1"/>
  <c r="BE163" i="281" s="1"/>
  <c r="BB31" i="281"/>
  <c r="BB34" i="281"/>
  <c r="C151" i="191"/>
  <c r="C152" i="191" s="1"/>
  <c r="BC34" i="281" l="1"/>
</calcChain>
</file>

<file path=xl/comments1.xml><?xml version="1.0" encoding="utf-8"?>
<comments xmlns="http://schemas.openxmlformats.org/spreadsheetml/2006/main">
  <authors>
    <author>Ondrepsb</author>
  </authors>
  <commentList>
    <comment ref="F7" authorId="0">
      <text>
        <r>
          <rPr>
            <sz val="8"/>
            <color indexed="81"/>
            <rFont val="Tahoma"/>
            <family val="2"/>
          </rPr>
          <t xml:space="preserve"> Datilografia, digitação, estenografia, expediente, secretaria em geral, resposta audível, redação, edição, interpretação, revisão, tradução, apoio e infra - estrutura administrativa e congêneres.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3%</t>
        </r>
      </text>
    </comment>
    <comment ref="M19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Transporte coletivo Morada Amiga</t>
        </r>
      </text>
    </comment>
    <comment ref="K22" authorId="0">
      <text>
        <r>
          <rPr>
            <b/>
            <sz val="8"/>
            <color indexed="81"/>
            <rFont val="Tahoma"/>
            <family val="2"/>
          </rPr>
          <t>Juliana:</t>
        </r>
        <r>
          <rPr>
            <sz val="8"/>
            <color indexed="81"/>
            <rFont val="Tahoma"/>
            <family val="2"/>
          </rPr>
          <t xml:space="preserve">
Varia de 2,00 a 2,50</t>
        </r>
      </text>
    </comment>
    <comment ref="F27" authorId="0">
      <text>
        <r>
          <rPr>
            <sz val="8"/>
            <color indexed="81"/>
            <rFont val="Tahoma"/>
            <family val="2"/>
          </rPr>
          <t xml:space="preserve"> Datilografia, digitação, estenografia, expediente, secretaria em geral, resposta audível, redação, edição, interpretação, revisão, tradução, apoio e infra - estrutura administrativa e congêneres.</t>
        </r>
        <r>
          <rPr>
            <b/>
            <sz val="8"/>
            <color indexed="81"/>
            <rFont val="Tahoma"/>
            <family val="2"/>
          </rPr>
          <t xml:space="preserve">  = 5,0%
</t>
        </r>
        <r>
          <rPr>
            <sz val="8"/>
            <color indexed="81"/>
            <rFont val="Tahoma"/>
            <family val="2"/>
          </rPr>
          <t xml:space="preserve"> Fornecimento de mão - de - obra, mesmo em caráter temporário, inclusive de empregados ou trabalhadores, avulsos ou temporários, contratados pelo prestador de serviço.  </t>
        </r>
        <r>
          <rPr>
            <b/>
            <sz val="8"/>
            <color indexed="81"/>
            <rFont val="Tahoma"/>
            <family val="2"/>
          </rPr>
          <t>= 4,0%</t>
        </r>
      </text>
    </comment>
    <comment ref="F33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Conservação predial 4%</t>
        </r>
      </text>
    </comment>
    <comment ref="F44" authorId="0">
      <text>
        <r>
          <rPr>
            <sz val="8"/>
            <color indexed="81"/>
            <rFont val="Tahoma"/>
            <family val="2"/>
          </rPr>
          <t xml:space="preserve"> Datilografia, digitação, estenografia, expediente, secretaria em geral, resposta audível, redação, edição, interpretação, revisão, tradução, apoio e infra - estrutura administrativa e congêneres.   </t>
        </r>
        <r>
          <rPr>
            <b/>
            <sz val="8"/>
            <color indexed="81"/>
            <rFont val="Tahoma"/>
            <family val="2"/>
          </rPr>
          <t>5,0%</t>
        </r>
      </text>
    </comment>
    <comment ref="J58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2,60 pag. Com cartão
2,90 pag em dinheiro</t>
        </r>
      </text>
    </comment>
    <comment ref="K59" authorId="0">
      <text>
        <r>
          <rPr>
            <b/>
            <sz val="8"/>
            <color indexed="81"/>
            <rFont val="Tahoma"/>
            <family val="2"/>
          </rPr>
          <t>Juliana:</t>
        </r>
        <r>
          <rPr>
            <sz val="8"/>
            <color indexed="81"/>
            <rFont val="Tahoma"/>
            <family val="2"/>
          </rPr>
          <t xml:space="preserve">
VT reajustado em maio/2013.</t>
        </r>
      </text>
    </comment>
    <comment ref="F60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 Datilografia, digitação, estenografia, expediente, secretaria em geral, resposta audível, redação, edição, interpretação, revisão, tradução, apoio e infra - estrutura administrativa e congêneres.   4.0%</t>
        </r>
      </text>
    </comment>
    <comment ref="J62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2,30 Cartão
2,50 Normal</t>
        </r>
      </text>
    </comment>
    <comment ref="F80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Datilografia, digitação, estenografia, expediente, secretaria em geral, resposta audível, redação, edição, interpretação, revisão, tradução, apoio e infra - estrutura administrativa e congêneres.   </t>
        </r>
        <r>
          <rPr>
            <b/>
            <sz val="8"/>
            <color indexed="81"/>
            <rFont val="Tahoma"/>
            <family val="2"/>
          </rPr>
          <t>5.0</t>
        </r>
        <r>
          <rPr>
            <sz val="8"/>
            <color indexed="81"/>
            <rFont val="Tahoma"/>
            <family val="2"/>
          </rPr>
          <t>%</t>
        </r>
      </text>
    </comment>
    <comment ref="F91" authorId="0">
      <text>
        <r>
          <rPr>
            <sz val="8"/>
            <color indexed="81"/>
            <rFont val="Tahoma"/>
            <family val="2"/>
          </rPr>
          <t xml:space="preserve"> Datilografia, digitação, estenografia, expediente, secretaria em geral, resposta audível, redação, edição, interpretação, revisão, tradução, apoio e infra - estrutura administrativa e congêneres</t>
        </r>
        <r>
          <rPr>
            <b/>
            <sz val="8"/>
            <color indexed="81"/>
            <rFont val="Tahoma"/>
            <family val="2"/>
          </rPr>
          <t>.  2%</t>
        </r>
      </text>
    </comment>
    <comment ref="M92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Transportes Paloma</t>
        </r>
      </text>
    </comment>
    <comment ref="J98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2,10 Linha Urbana e 
3,15 Linhas Rurais</t>
        </r>
      </text>
    </comment>
    <comment ref="J99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Somente intermunicipal</t>
        </r>
      </text>
    </comment>
    <comment ref="F110" authorId="0">
      <text>
        <r>
          <rPr>
            <b/>
            <sz val="8"/>
            <color indexed="81"/>
            <rFont val="Tahoma"/>
            <family val="2"/>
          </rPr>
          <t>Juliana:</t>
        </r>
        <r>
          <rPr>
            <sz val="8"/>
            <color indexed="81"/>
            <rFont val="Tahoma"/>
            <family val="2"/>
          </rPr>
          <t xml:space="preserve">
Jardinagem 3%
Datilografia, digitação, estenografia, expediente, secretaria em geral, resposta audível, redação, edição, interpretação, revisão, tradução, apoio e infra - estrutura administrativa e congêneres.  </t>
        </r>
        <r>
          <rPr>
            <b/>
            <sz val="8"/>
            <color indexed="81"/>
            <rFont val="Tahoma"/>
            <family val="2"/>
          </rPr>
          <t>2%</t>
        </r>
      </text>
    </comment>
    <comment ref="G110" authorId="0">
      <text>
        <r>
          <rPr>
            <b/>
            <sz val="8"/>
            <color indexed="81"/>
            <rFont val="Tahoma"/>
            <family val="2"/>
          </rPr>
          <t>Juliana:</t>
        </r>
        <r>
          <rPr>
            <sz val="8"/>
            <color indexed="81"/>
            <rFont val="Tahoma"/>
            <family val="2"/>
          </rPr>
          <t xml:space="preserve">
Escolta :5%</t>
        </r>
      </text>
    </comment>
    <comment ref="F119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Datilografia, digitação, estenografia, expediente, secretaria em geral, resposta audível, redação, edição, interpretação, revisão, tradução, apoio e infra - estrutura administrativa e congêneres.  </t>
        </r>
        <r>
          <rPr>
            <b/>
            <sz val="10"/>
            <color indexed="81"/>
            <rFont val="Tahoma"/>
            <family val="2"/>
          </rPr>
          <t>4%</t>
        </r>
      </text>
    </comment>
    <comment ref="F126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Datilografia, digitação, estenografia, expediente, secretaria em geral, resposta audível, redação, edição, interpretação, revisão, tradução, apoio e infra - estrutura administrativa e congêneres.  </t>
        </r>
        <r>
          <rPr>
            <b/>
            <sz val="10"/>
            <color indexed="81"/>
            <rFont val="Tahoma"/>
            <family val="2"/>
          </rPr>
          <t>5,0%</t>
        </r>
      </text>
    </comment>
    <comment ref="F136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Datilografia, digitação, estenografia, expediente, secretaria em geral, resposta audível, redação, edição, interpretação, revisão, tradução, apoio e infra - estrutura administrativa e congêneres.  </t>
        </r>
        <r>
          <rPr>
            <b/>
            <sz val="8"/>
            <color indexed="81"/>
            <rFont val="Tahoma"/>
            <family val="2"/>
          </rPr>
          <t>3,5%</t>
        </r>
      </text>
    </comment>
    <comment ref="F148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Datilografia, digitação, estenografia, expediente, secretaria em geral, resposta audível, redação, edição, interpretação, revisão, tradução, apoio e infra - estrutura administrativa e congêneres.  </t>
        </r>
        <r>
          <rPr>
            <b/>
            <sz val="10"/>
            <color indexed="81"/>
            <rFont val="Tahoma"/>
            <family val="2"/>
          </rPr>
          <t>3,0%</t>
        </r>
      </text>
    </comment>
  </commentList>
</comments>
</file>

<file path=xl/comments2.xml><?xml version="1.0" encoding="utf-8"?>
<comments xmlns="http://schemas.openxmlformats.org/spreadsheetml/2006/main">
  <authors>
    <author>Usuário</author>
    <author>Nicolly</author>
  </authors>
  <commentList>
    <comment ref="Z40" authorId="0">
      <text>
        <r>
          <rPr>
            <sz val="9"/>
            <color indexed="81"/>
            <rFont val="Tahoma"/>
            <family val="2"/>
          </rPr>
          <t xml:space="preserve">1 posto suprimido e outro transferido para o EAD
</t>
        </r>
      </text>
    </comment>
    <comment ref="AE40" authorId="0">
      <text>
        <r>
          <rPr>
            <sz val="9"/>
            <color indexed="81"/>
            <rFont val="Tahoma"/>
            <family val="2"/>
          </rPr>
          <t xml:space="preserve">1 posto suprimido e outro transferido para o EAD
</t>
        </r>
      </text>
    </comment>
    <comment ref="AO40" authorId="0">
      <text>
        <r>
          <rPr>
            <sz val="9"/>
            <color indexed="81"/>
            <rFont val="Tahoma"/>
            <family val="2"/>
          </rPr>
          <t xml:space="preserve">1 posto suprimido e outro transferido para o EAD
</t>
        </r>
      </text>
    </comment>
    <comment ref="AT40" authorId="0">
      <text>
        <r>
          <rPr>
            <sz val="9"/>
            <color indexed="81"/>
            <rFont val="Tahoma"/>
            <family val="2"/>
          </rPr>
          <t xml:space="preserve">1 posto suprimido e outro transferido para o EAD
</t>
        </r>
      </text>
    </comment>
    <comment ref="Z73" authorId="0">
      <text>
        <r>
          <rPr>
            <b/>
            <sz val="9"/>
            <color indexed="81"/>
            <rFont val="Tahoma"/>
            <family val="2"/>
          </rPr>
          <t>Não foi feito aditivo devido o pedido de supressão do Câmpus Curitiba a aprtir de junho de 2013 JN1285</t>
        </r>
      </text>
    </comment>
    <comment ref="AX79" authorId="1">
      <text>
        <r>
          <rPr>
            <b/>
            <sz val="9"/>
            <color indexed="81"/>
            <rFont val="Tahoma"/>
            <family val="2"/>
          </rPr>
          <t>Nicolly:</t>
        </r>
        <r>
          <rPr>
            <sz val="9"/>
            <color indexed="81"/>
            <rFont val="Tahoma"/>
            <family val="2"/>
          </rPr>
          <t xml:space="preserve">
supressão de 2 postos - 6º termo aditivo
</t>
        </r>
      </text>
    </comment>
    <comment ref="AX123" authorId="1">
      <text>
        <r>
          <rPr>
            <b/>
            <sz val="9"/>
            <color indexed="81"/>
            <rFont val="Tahoma"/>
            <family val="2"/>
          </rPr>
          <t>Nicolly:</t>
        </r>
        <r>
          <rPr>
            <sz val="9"/>
            <color indexed="81"/>
            <rFont val="Tahoma"/>
            <family val="2"/>
          </rPr>
          <t xml:space="preserve">
acréscimo de 1 posto - 6º termo aditivo</t>
        </r>
      </text>
    </comment>
    <comment ref="Z161" authorId="0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não entrou não há recurso</t>
        </r>
      </text>
    </comment>
    <comment ref="AE161" authorId="0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não entrou não há recurso</t>
        </r>
      </text>
    </comment>
    <comment ref="AO161" authorId="0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não entrou não há recurso</t>
        </r>
      </text>
    </comment>
    <comment ref="AT161" authorId="0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não entrou não há recurso</t>
        </r>
      </text>
    </comment>
    <comment ref="Z163" authorId="0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não entrou não há recurso</t>
        </r>
      </text>
    </comment>
    <comment ref="AE163" authorId="0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não entrou não há recurso</t>
        </r>
      </text>
    </comment>
    <comment ref="AO163" authorId="0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não entrou não há recurso</t>
        </r>
      </text>
    </comment>
    <comment ref="AT163" authorId="0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não entrou não há recurso</t>
        </r>
      </text>
    </comment>
    <comment ref="Z168" authorId="0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não entrou não há recurso</t>
        </r>
      </text>
    </comment>
    <comment ref="AE168" authorId="0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não entrou não há recurso</t>
        </r>
      </text>
    </comment>
    <comment ref="AO168" authorId="0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não entrou não há recurso</t>
        </r>
      </text>
    </comment>
    <comment ref="AT168" authorId="0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não entrou não há recurso</t>
        </r>
      </text>
    </comment>
    <comment ref="Z172" authorId="0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não entrou não há recurso</t>
        </r>
      </text>
    </comment>
    <comment ref="AE172" authorId="0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não entrou não há recurso</t>
        </r>
      </text>
    </comment>
    <comment ref="AO172" authorId="0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não entrou não há recurso</t>
        </r>
      </text>
    </comment>
    <comment ref="AT172" authorId="0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não entrou não há recurso</t>
        </r>
      </text>
    </comment>
    <comment ref="AX172" authorId="0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não entrou não há recurso</t>
        </r>
      </text>
    </comment>
    <comment ref="Z188" authorId="0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não entrou não há recurso</t>
        </r>
      </text>
    </comment>
    <comment ref="AE188" authorId="0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não entrou não há recurso</t>
        </r>
      </text>
    </comment>
    <comment ref="AO188" authorId="0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não entrou não há recurso</t>
        </r>
      </text>
    </comment>
    <comment ref="AT188" authorId="0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não entrou não há recurso</t>
        </r>
      </text>
    </comment>
    <comment ref="Z198" authorId="0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não entrou não há recurso</t>
        </r>
      </text>
    </comment>
    <comment ref="AE198" authorId="0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não entrou não há recurso</t>
        </r>
      </text>
    </comment>
    <comment ref="AO198" authorId="0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não entrou não há recurso</t>
        </r>
      </text>
    </comment>
    <comment ref="AT198" authorId="0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não entrou não há recurso</t>
        </r>
      </text>
    </comment>
  </commentList>
</comments>
</file>

<file path=xl/sharedStrings.xml><?xml version="1.0" encoding="utf-8"?>
<sst xmlns="http://schemas.openxmlformats.org/spreadsheetml/2006/main" count="8801" uniqueCount="692">
  <si>
    <t>Copeira</t>
  </si>
  <si>
    <t>Recepcionista</t>
  </si>
  <si>
    <t>Porteiro</t>
  </si>
  <si>
    <t>Valor</t>
  </si>
  <si>
    <t>%</t>
  </si>
  <si>
    <t>Total</t>
  </si>
  <si>
    <t>SDF</t>
  </si>
  <si>
    <t>TOTAL</t>
  </si>
  <si>
    <t>INSS</t>
  </si>
  <si>
    <t>INCRA</t>
  </si>
  <si>
    <t>Salário Educação</t>
  </si>
  <si>
    <t>FGTS</t>
  </si>
  <si>
    <t>SEBRAE</t>
  </si>
  <si>
    <t>Férias</t>
  </si>
  <si>
    <t>Descrição</t>
  </si>
  <si>
    <t>Materiais</t>
  </si>
  <si>
    <t>Lenço</t>
  </si>
  <si>
    <t>Gravata</t>
  </si>
  <si>
    <t>EPI's</t>
  </si>
  <si>
    <t>Seguro de Vida</t>
  </si>
  <si>
    <t>Boné</t>
  </si>
  <si>
    <t>Equipamentos</t>
  </si>
  <si>
    <t>Segunda a Sábado</t>
  </si>
  <si>
    <t>Bota de borracha</t>
  </si>
  <si>
    <t>ALÍQUOTAS DO ISS - MÚNICIPIOS DO PARANÁ</t>
  </si>
  <si>
    <t>Alíquotas confirmadas com a Contabilidade.</t>
  </si>
  <si>
    <t>Nº</t>
  </si>
  <si>
    <t>Múnicipios</t>
  </si>
  <si>
    <t>Cod</t>
  </si>
  <si>
    <t>Limpeza</t>
  </si>
  <si>
    <t>M.Obra</t>
  </si>
  <si>
    <t>Vigilância</t>
  </si>
  <si>
    <t>Data de atualização</t>
  </si>
  <si>
    <t>VT</t>
  </si>
  <si>
    <t xml:space="preserve">Telefone </t>
  </si>
  <si>
    <t>Escalas</t>
  </si>
  <si>
    <t>ADRIANOPOLIS</t>
  </si>
  <si>
    <t>Segunda a Sexta</t>
  </si>
  <si>
    <t>AGUDOS DO SUL</t>
  </si>
  <si>
    <t>ALM. TAMANDARÉ</t>
  </si>
  <si>
    <t>Segunda a Domingo</t>
  </si>
  <si>
    <t>ALTONIA</t>
  </si>
  <si>
    <t>ALTO PARANÁ</t>
  </si>
  <si>
    <t>ANDIRA</t>
  </si>
  <si>
    <t>ANTONINA</t>
  </si>
  <si>
    <t>0378</t>
  </si>
  <si>
    <t>ANTONIO OLINTO</t>
  </si>
  <si>
    <t>APUCARANA (PAR)</t>
  </si>
  <si>
    <t>0379</t>
  </si>
  <si>
    <t>ARAPONGAS</t>
  </si>
  <si>
    <t>0380</t>
  </si>
  <si>
    <t>ARAPOTI</t>
  </si>
  <si>
    <t>3175</t>
  </si>
  <si>
    <t>ARAUCARIA</t>
  </si>
  <si>
    <t>ASSAI</t>
  </si>
  <si>
    <t>ASSIS CHATEAUBRIAN</t>
  </si>
  <si>
    <t>0957</t>
  </si>
  <si>
    <t>ASTORGA</t>
  </si>
  <si>
    <t>1318</t>
  </si>
  <si>
    <t>BALSA NOVA</t>
  </si>
  <si>
    <t>BANDEIRANTES</t>
  </si>
  <si>
    <t>0382</t>
  </si>
  <si>
    <t>BARBOSA FERRAZ</t>
  </si>
  <si>
    <t>BARRACÃO</t>
  </si>
  <si>
    <t>(49) 3644-1215</t>
  </si>
  <si>
    <t>BOCAIUVA DO SUL</t>
  </si>
  <si>
    <t>CAMBARA</t>
  </si>
  <si>
    <t>0383</t>
  </si>
  <si>
    <t>CAMBE</t>
  </si>
  <si>
    <t>0384</t>
  </si>
  <si>
    <t>CAMPINA DA LAGOA</t>
  </si>
  <si>
    <t>CAMPINA GRANDE DO SUL</t>
  </si>
  <si>
    <t>CAMPO DO TENENTE</t>
  </si>
  <si>
    <t xml:space="preserve">CAMPO LARGO </t>
  </si>
  <si>
    <t>0385</t>
  </si>
  <si>
    <t>CAMPO MAGRO</t>
  </si>
  <si>
    <t>CAMPO MOURAO</t>
  </si>
  <si>
    <t>0386</t>
  </si>
  <si>
    <t>CAPANEMA</t>
  </si>
  <si>
    <t>1256</t>
  </si>
  <si>
    <t>CARLÓPOLIS</t>
  </si>
  <si>
    <t xml:space="preserve">CASCAVEL </t>
  </si>
  <si>
    <t>0568</t>
  </si>
  <si>
    <t>http://www.cettrans.com.br/transporte-coletivo.php</t>
  </si>
  <si>
    <t>CASTRO</t>
  </si>
  <si>
    <t>CATANDUVAS</t>
  </si>
  <si>
    <t>CENTENÁRIO DO SUL</t>
  </si>
  <si>
    <t>CEU AZUL</t>
  </si>
  <si>
    <t>CERRO AZUL</t>
  </si>
  <si>
    <t>CHOPINZINHO</t>
  </si>
  <si>
    <t>1932</t>
  </si>
  <si>
    <t>CIANORTE</t>
  </si>
  <si>
    <t>CLEVELÂNDIA</t>
  </si>
  <si>
    <t xml:space="preserve">COLOMBO </t>
  </si>
  <si>
    <t>COLORADO</t>
  </si>
  <si>
    <t>1260</t>
  </si>
  <si>
    <t>CONTENDA</t>
  </si>
  <si>
    <t>CORBELIA</t>
  </si>
  <si>
    <t>CORNELIO PROCOPIO</t>
  </si>
  <si>
    <t>0388</t>
  </si>
  <si>
    <t>CRUZEIRO DO OESTE</t>
  </si>
  <si>
    <t>0369</t>
  </si>
  <si>
    <t>DOIS VIZINHOS</t>
  </si>
  <si>
    <t>0931</t>
  </si>
  <si>
    <t>DOUTOR ULYSSES</t>
  </si>
  <si>
    <t>ENGENHEIRO BELTRÃO</t>
  </si>
  <si>
    <t>FAZENDA RIO GRANDE</t>
  </si>
  <si>
    <t>2864</t>
  </si>
  <si>
    <t>FIGUEIRA</t>
  </si>
  <si>
    <t>FOZ DO IGUACU</t>
  </si>
  <si>
    <t>0589</t>
  </si>
  <si>
    <t>FRANCISCO BELTRAO</t>
  </si>
  <si>
    <t>0601</t>
  </si>
  <si>
    <t>GOIOERE</t>
  </si>
  <si>
    <t>0966</t>
  </si>
  <si>
    <t>GUAIRA</t>
  </si>
  <si>
    <t>0722</t>
  </si>
  <si>
    <t>GUARAPUAVA</t>
  </si>
  <si>
    <t>0389</t>
  </si>
  <si>
    <t>(42) 3621-3000</t>
  </si>
  <si>
    <t>GUARAQUEÇABA</t>
  </si>
  <si>
    <t>GUARATUBA</t>
  </si>
  <si>
    <t>IBAITI</t>
  </si>
  <si>
    <t>IBIPORA</t>
  </si>
  <si>
    <t>ICARAIMA</t>
  </si>
  <si>
    <t>IMBITUVA</t>
  </si>
  <si>
    <t>3173</t>
  </si>
  <si>
    <t>IPORA</t>
  </si>
  <si>
    <t>IRATI</t>
  </si>
  <si>
    <t>0390</t>
  </si>
  <si>
    <t>ITAPERUÇU</t>
  </si>
  <si>
    <t>IVAIPORA</t>
  </si>
  <si>
    <t>Gratuito</t>
  </si>
  <si>
    <t>JACAREZINHO</t>
  </si>
  <si>
    <t>(43) 3911-3023</t>
  </si>
  <si>
    <t>JAGUAPITÃ</t>
  </si>
  <si>
    <t>JAGUARIAIVA</t>
  </si>
  <si>
    <t>JANDAIA DO SUL</t>
  </si>
  <si>
    <t>LAPA</t>
  </si>
  <si>
    <t>LARANJEIRAS DO SUL</t>
  </si>
  <si>
    <t>0932</t>
  </si>
  <si>
    <t>LOANDA</t>
  </si>
  <si>
    <t xml:space="preserve">LONDRINA </t>
  </si>
  <si>
    <t>0394</t>
  </si>
  <si>
    <t>Alterado dia 01/02</t>
  </si>
  <si>
    <t>MAMBORE</t>
  </si>
  <si>
    <t>MANDAGUAÇU</t>
  </si>
  <si>
    <t>MANDAGUARI</t>
  </si>
  <si>
    <t>0969</t>
  </si>
  <si>
    <t>MANDIRITUBA</t>
  </si>
  <si>
    <t>MANGUEIRINHA</t>
  </si>
  <si>
    <t>MAR. CANDIDO RONDON</t>
  </si>
  <si>
    <t>0968</t>
  </si>
  <si>
    <t>MARIALVA</t>
  </si>
  <si>
    <t>MARINGA</t>
  </si>
  <si>
    <t>0395</t>
  </si>
  <si>
    <t>http://www2.maringa.pr.gov.br/site/index.php?sessao=62f88c3591jk62</t>
  </si>
  <si>
    <t>MARMELEIRO</t>
  </si>
  <si>
    <t>1952</t>
  </si>
  <si>
    <t>MATELÂNDIA</t>
  </si>
  <si>
    <t>MATINHOS (PAT)</t>
  </si>
  <si>
    <t>0398</t>
  </si>
  <si>
    <t>MEDIANEIRA</t>
  </si>
  <si>
    <t>0956</t>
  </si>
  <si>
    <t>MORRETES</t>
  </si>
  <si>
    <t>0396</t>
  </si>
  <si>
    <t>NOVA ESPERANCA</t>
  </si>
  <si>
    <t>0865</t>
  </si>
  <si>
    <t xml:space="preserve">NOVA LONDRINA </t>
  </si>
  <si>
    <t>1982</t>
  </si>
  <si>
    <t>PALMAS</t>
  </si>
  <si>
    <t>PALMEIRA</t>
  </si>
  <si>
    <t>0397</t>
  </si>
  <si>
    <t>PALOTINA</t>
  </si>
  <si>
    <t>0955</t>
  </si>
  <si>
    <t>PARAISO DO NORTE</t>
  </si>
  <si>
    <t>PARANAGUA</t>
  </si>
  <si>
    <t>(41) 3420-2728</t>
  </si>
  <si>
    <t>PARANAVAI</t>
  </si>
  <si>
    <t>0399</t>
  </si>
  <si>
    <t>PATO BRANCO</t>
  </si>
  <si>
    <t>PEABIRU</t>
  </si>
  <si>
    <t>PIEN</t>
  </si>
  <si>
    <t>PINHAIS</t>
  </si>
  <si>
    <t>PINHÃO</t>
  </si>
  <si>
    <t>PIRAÍ DO SUL</t>
  </si>
  <si>
    <t>3168</t>
  </si>
  <si>
    <t>PIRAQUARA(PAR)</t>
  </si>
  <si>
    <t>PITANGA</t>
  </si>
  <si>
    <t xml:space="preserve">PONTA GROSSA </t>
  </si>
  <si>
    <t>(42) 3220-1000</t>
  </si>
  <si>
    <t>PONTAL DO PARANÁ</t>
  </si>
  <si>
    <t>PORECATU</t>
  </si>
  <si>
    <t>1148</t>
  </si>
  <si>
    <t>PRUDENTOPOLIS</t>
  </si>
  <si>
    <t>QUATRO BARRAS</t>
  </si>
  <si>
    <t>QUEDAS DO IGUAÇU</t>
  </si>
  <si>
    <t>QUITANDINHA</t>
  </si>
  <si>
    <t>REALEZA</t>
  </si>
  <si>
    <t>RESERVA DO IGUAÇU</t>
  </si>
  <si>
    <t>RIBEIRAO CLARO</t>
  </si>
  <si>
    <t>RIO BONITO DO IGUAÇU</t>
  </si>
  <si>
    <t>RIO BRANCO DO SUL</t>
  </si>
  <si>
    <t>RIO NEGRO</t>
  </si>
  <si>
    <t>ROLANDIA</t>
  </si>
  <si>
    <t>SANTA HELENA</t>
  </si>
  <si>
    <t>1268</t>
  </si>
  <si>
    <t>SÃO JOÃO DO IVAI</t>
  </si>
  <si>
    <t xml:space="preserve">SÃO JOSE DOS PINHAIS </t>
  </si>
  <si>
    <t>0406</t>
  </si>
  <si>
    <t>(41) 3381-6800</t>
  </si>
  <si>
    <t>SAO MATEUS DO SUL</t>
  </si>
  <si>
    <t>2152</t>
  </si>
  <si>
    <t>SÃO MIGUEL DO IGUAÇU</t>
  </si>
  <si>
    <t>SARANDI</t>
  </si>
  <si>
    <t>2919</t>
  </si>
  <si>
    <t>SENGÉS</t>
  </si>
  <si>
    <t>SIQUEIRA CAMPOS</t>
  </si>
  <si>
    <t>1949</t>
  </si>
  <si>
    <t>STA TEREZA DO OESTE</t>
  </si>
  <si>
    <t>STO. ANTONIO DA PLATINA</t>
  </si>
  <si>
    <t>STO ANTONIO DO PARAISO</t>
  </si>
  <si>
    <t>STO. ANTONIO DO SUDOESTE</t>
  </si>
  <si>
    <t>TELEMACO BORBA</t>
  </si>
  <si>
    <t>0725</t>
  </si>
  <si>
    <t>TERRA BOA</t>
  </si>
  <si>
    <t>TERRA RICA</t>
  </si>
  <si>
    <t>TIBAGI</t>
  </si>
  <si>
    <t>TIJUCAS DO SUL</t>
  </si>
  <si>
    <t>TOLEDO</t>
  </si>
  <si>
    <t>TUNAS DO PARANÁ</t>
  </si>
  <si>
    <t>UBIRATÃ</t>
  </si>
  <si>
    <t>UMUARAMA</t>
  </si>
  <si>
    <t>(44) 3621-4141</t>
  </si>
  <si>
    <t>UNIAO DA VITORIA</t>
  </si>
  <si>
    <t>0407</t>
  </si>
  <si>
    <t>(42) 3524-7608</t>
  </si>
  <si>
    <t>VERA CRUZ D'OESTE</t>
  </si>
  <si>
    <t>WENCESLAU BRAZ</t>
  </si>
  <si>
    <t>1951</t>
  </si>
  <si>
    <t>Ñ tem</t>
  </si>
  <si>
    <t>Não há transporte coletivo</t>
  </si>
  <si>
    <t>Não tem transporte público. A única empresa que faz transporte, é contratada pelas empresas para transportar os funcionários.</t>
  </si>
  <si>
    <t>Não tem</t>
  </si>
  <si>
    <t>Não Tem</t>
  </si>
  <si>
    <t xml:space="preserve">CURITIBA </t>
  </si>
  <si>
    <t>ñ tem</t>
  </si>
  <si>
    <t>Ñ Tem</t>
  </si>
  <si>
    <t>Ñ TEM</t>
  </si>
  <si>
    <t>2,50 (não confirmou pois abrirá nova licitação para o transporte coletivo)</t>
  </si>
  <si>
    <t>Serviços</t>
  </si>
  <si>
    <t>M. Obra</t>
  </si>
  <si>
    <t>(44) 3528-4174</t>
  </si>
  <si>
    <t>(45) 3264-2386</t>
  </si>
  <si>
    <t>VIRMOND</t>
  </si>
  <si>
    <t>PLANILHA DE CUSTOS E FORMAÇÃO DE PREÇOS</t>
  </si>
  <si>
    <t>Discriminação dos Serviços (dados referemte à contratação)</t>
  </si>
  <si>
    <t>A</t>
  </si>
  <si>
    <t>Data de aprestação da proposta (dia/mês/ano)</t>
  </si>
  <si>
    <t>B</t>
  </si>
  <si>
    <t>Município/UF</t>
  </si>
  <si>
    <t>C</t>
  </si>
  <si>
    <t>Ano Acordo, Convenção ou Sentença Normativa em Dissídio</t>
  </si>
  <si>
    <t>D</t>
  </si>
  <si>
    <t>TIPO DE SERVIÇO</t>
  </si>
  <si>
    <t>UNID. DE MEDIDA</t>
  </si>
  <si>
    <t>QTDE TOTAL A CONTRATAR</t>
  </si>
  <si>
    <t>Posto</t>
  </si>
  <si>
    <t>Nota: Deverá ser elaborado um quadro para cada tipo de serviço.</t>
  </si>
  <si>
    <t>Anexo III - A - Mão de Obra</t>
  </si>
  <si>
    <t>Módulo de Mão de Obra vinculada a execução contratual</t>
  </si>
  <si>
    <t>Dados complementares para composição dos custos referente à mão de obra</t>
  </si>
  <si>
    <t>Tipo de serviço</t>
  </si>
  <si>
    <t>Salário Normativo da Categoria Profissional (mesmo serviços com características distintas)</t>
  </si>
  <si>
    <t>Categoria Profissional (vinculada a execução contratual)</t>
  </si>
  <si>
    <t>Data base da Categoria (dia/mês/ano)</t>
  </si>
  <si>
    <t>MÓDULO 1 : COMPOSIÇÃO DA REMUNERAÇÃO</t>
  </si>
  <si>
    <t>1-</t>
  </si>
  <si>
    <t>Composição da Remuneração</t>
  </si>
  <si>
    <t>Valor (R$)</t>
  </si>
  <si>
    <t>Salário Base</t>
  </si>
  <si>
    <t>Adicional de periculosidade</t>
  </si>
  <si>
    <t xml:space="preserve">Adicional de insalubridade </t>
  </si>
  <si>
    <t>Adicional noturno</t>
  </si>
  <si>
    <t>E</t>
  </si>
  <si>
    <t>Hora noturna adicional</t>
  </si>
  <si>
    <t>F</t>
  </si>
  <si>
    <t>Adicional de hora extra</t>
  </si>
  <si>
    <t>G</t>
  </si>
  <si>
    <t>Intervalo intrajornada</t>
  </si>
  <si>
    <t>H</t>
  </si>
  <si>
    <t>Outros (especificar)</t>
  </si>
  <si>
    <t>Total da Remuneração</t>
  </si>
  <si>
    <t>MÓDULO 2: BENEFÍCIOS MENSAIS E DIÁRIOS</t>
  </si>
  <si>
    <t>Benefícios Mensais e Diários</t>
  </si>
  <si>
    <t>Transporte</t>
  </si>
  <si>
    <t>Auxílio alimentação (Vales, cesta básica etc.)</t>
  </si>
  <si>
    <t>Auxílio creche</t>
  </si>
  <si>
    <t>Total de Benefícios mensais e diários</t>
  </si>
  <si>
    <t>Nota: o valor informado deverá ser o custo real do insumo (descontado o valor eventualmente pago pelo empregado).</t>
  </si>
  <si>
    <t>MÓDULO 3: INSUMOS DIVERSOS</t>
  </si>
  <si>
    <t>Insumos Diversos</t>
  </si>
  <si>
    <t>Uniformes</t>
  </si>
  <si>
    <t>Total de Insumos diversos</t>
  </si>
  <si>
    <t>Nota: Valores mensais por empregado.</t>
  </si>
  <si>
    <t>MÓDULO 4: ENCARGOS SOCIAIS E TRABALHISTAS</t>
  </si>
  <si>
    <r>
      <t>Submódulo 4.1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– Encargos previdenciários e FGTS:</t>
    </r>
  </si>
  <si>
    <t>4.1</t>
  </si>
  <si>
    <t>Encargos previdenciários e FGTS</t>
  </si>
  <si>
    <t>SESI ou SESC</t>
  </si>
  <si>
    <t>SENAI ou SENAC</t>
  </si>
  <si>
    <t>Nota (1) - Os percentuais dos encargos previdenciários e FGTS são aqueles estabelecidos pela legislação vigente.</t>
  </si>
  <si>
    <t>Nota (2) - Percentuais incidentes sobre a remuneração.</t>
  </si>
  <si>
    <t>Submódulo 4.2 – 13º Salário e Adicional de Férias</t>
  </si>
  <si>
    <t>4.2</t>
  </si>
  <si>
    <t>13º Salário e Adicional de Férias</t>
  </si>
  <si>
    <t xml:space="preserve">13 º Salário </t>
  </si>
  <si>
    <t>Adicional de Férias</t>
  </si>
  <si>
    <t>Subtotal</t>
  </si>
  <si>
    <t>Incidência do Submódulo 4.1 sobre 13º Salário e Adicional de Férias</t>
  </si>
  <si>
    <t>Submódulo 4.3 - Afastamento Maternidade</t>
  </si>
  <si>
    <t>4.3</t>
  </si>
  <si>
    <t>Afastamento Maternidade:</t>
  </si>
  <si>
    <t>Afastamento maternidade</t>
  </si>
  <si>
    <t>Incidência do submódulo 4.1 sobre afastamento maternidade</t>
  </si>
  <si>
    <t>Submódulo 4.4 - Provisão para Rescisão</t>
  </si>
  <si>
    <t>4.4</t>
  </si>
  <si>
    <t>Provisão para Rescisão</t>
  </si>
  <si>
    <t>Aviso prévio indenizado</t>
  </si>
  <si>
    <t>Incidência do FGTS sobre aviso prévio indenizado</t>
  </si>
  <si>
    <t>Multa do FGTS do aviso prévio indenizado</t>
  </si>
  <si>
    <t xml:space="preserve">Aviso prévio trabalhado </t>
  </si>
  <si>
    <t>Incidência do submódulo 4.1 sobre aviso prévio trabalhado</t>
  </si>
  <si>
    <t>Multa do FGTS do aviso prévio trabalhado</t>
  </si>
  <si>
    <r>
      <t>Submódulo 4.5 – Custo de Reposição do Profissional Ausente</t>
    </r>
    <r>
      <rPr>
        <sz val="12"/>
        <rFont val="Times New Roman"/>
        <family val="1"/>
      </rPr>
      <t xml:space="preserve">  </t>
    </r>
  </si>
  <si>
    <t>4.5</t>
  </si>
  <si>
    <t>Composição do Custo de Reposição do Profissional Ausente</t>
  </si>
  <si>
    <t>Licença paternidade</t>
  </si>
  <si>
    <t>Ausências legais</t>
  </si>
  <si>
    <t>Ausência por Acidente de trabalho</t>
  </si>
  <si>
    <t xml:space="preserve">Incidência do submódulo 4.1 sobre o Custo de reposição </t>
  </si>
  <si>
    <t xml:space="preserve">  </t>
  </si>
  <si>
    <r>
      <t> </t>
    </r>
    <r>
      <rPr>
        <b/>
        <sz val="12"/>
        <rFont val="Times New Roman"/>
        <family val="1"/>
      </rPr>
      <t>Quadro - resumo – Módulo 4 - Encargos sociais e trabalhistas</t>
    </r>
  </si>
  <si>
    <t>Módulo 4 - Encargos sociais e trabalhistas</t>
  </si>
  <si>
    <t>13 º salário + Adicional de férias</t>
  </si>
  <si>
    <t>Custo de rescisão</t>
  </si>
  <si>
    <t>Custo de reposição do profissional ausente</t>
  </si>
  <si>
    <t>4.6</t>
  </si>
  <si>
    <t>TOTAL DO MODULO 4 - SOMA DOS SUBMODULOS 4.1 A 4.5</t>
  </si>
  <si>
    <r>
      <t>  </t>
    </r>
    <r>
      <rPr>
        <b/>
        <sz val="12"/>
        <rFont val="Times New Roman"/>
        <family val="1"/>
      </rPr>
      <t>MÓDULO 5 - CUSTOS INDIRETOS, TRIBUTOS E LUCRO</t>
    </r>
  </si>
  <si>
    <r>
      <t> </t>
    </r>
    <r>
      <rPr>
        <b/>
        <sz val="12"/>
        <rFont val="Times New Roman"/>
        <family val="1"/>
      </rPr>
      <t>5</t>
    </r>
  </si>
  <si>
    <t>Custos Indiretos, Tributos e Lucro</t>
  </si>
  <si>
    <t>Custos Indiretos</t>
  </si>
  <si>
    <t>Tributos</t>
  </si>
  <si>
    <t>B1. Tributos Federais (PIS E COFINS)</t>
  </si>
  <si>
    <t>Cofins</t>
  </si>
  <si>
    <t>Pis</t>
  </si>
  <si>
    <t>B.2 Tributos Estaduais (especificar)</t>
  </si>
  <si>
    <t>B.3 Tributos Municipais (ISS)</t>
  </si>
  <si>
    <t>B.4 Outros tributos (especificar)</t>
  </si>
  <si>
    <t>Lucro</t>
  </si>
  <si>
    <t>TOTAL DO MODULO 5 - CUSTOS INDIRETOS, TRIBUTOS E LUCRO</t>
  </si>
  <si>
    <t>Nota (1): Custos Indiretos, Tributos e Lucro por empregado.</t>
  </si>
  <si>
    <t>Nota (2): O valor referente a tributos é obtido aplicando-se o percentual sobre o valor do faturamento.</t>
  </si>
  <si>
    <t>Anexo IV – B - Quadro-resumo do Custo por Empregado</t>
  </si>
  <si>
    <t xml:space="preserve">Mão-de-obra vinculada à execução contratual </t>
  </si>
  <si>
    <t>(R$)</t>
  </si>
  <si>
    <t>Módulo 1 – Composição da Remuneração</t>
  </si>
  <si>
    <t>Módulo 2 – Benefícios Mensais e Diários</t>
  </si>
  <si>
    <t>Módulo 3 – Insumos Diversos (uniformes, materiais, equipamentos e outros)</t>
  </si>
  <si>
    <t>Módulo 4 – Encargos Sociais e Trabalhistas</t>
  </si>
  <si>
    <t>Subtotal (A + B +C+ D)</t>
  </si>
  <si>
    <t>Módulo 5 – Custos indiretos, tributos e lucro</t>
  </si>
  <si>
    <t>PREÇO HOMEM-MÊS</t>
  </si>
  <si>
    <t>Curitiba/PR</t>
  </si>
  <si>
    <t>Limpeza e Conservação</t>
  </si>
  <si>
    <t>Adicional de assiduidade</t>
  </si>
  <si>
    <t>Fundo de formação profissional (clausula 22ª CCT)</t>
  </si>
  <si>
    <t>Seguro acidente do trabalho - RAT x Fator Acidentário de Prevenção  - FAP</t>
  </si>
  <si>
    <t>Ausência por doença*</t>
  </si>
  <si>
    <t>* Auxílio doença alterado de 5,96 para 10,96 em virtude da alteração na legislação</t>
  </si>
  <si>
    <t>AMPERE</t>
  </si>
  <si>
    <t>CAPITÃO LEONIDAS MARQUES</t>
  </si>
  <si>
    <t>ALTERAÇÕES REALIZADAS EM 2016</t>
  </si>
  <si>
    <t>Alterado os salário para CCT 2016</t>
  </si>
  <si>
    <t>Alterado o valor do vale alimentação de R$ 224 para R$ 330,00 conforme CCT 2016</t>
  </si>
  <si>
    <t>Alterado o valor do plano de saúde de R$ 45,00 para R$ 50,00 conforme CCT 2016</t>
  </si>
  <si>
    <t>Alterado o valor do Benefício social de apoio familiar de R$ 14,50 para R$ 16,00 conforme CCT 2016</t>
  </si>
  <si>
    <t>Foi revogada a cláusula de assiduidade.</t>
  </si>
  <si>
    <t>Assistência médica</t>
  </si>
  <si>
    <t>Benefício Social Familiar</t>
  </si>
  <si>
    <t>Alterado o valor base para percentual de Insalubridade para R$ 883,00, conforme Aditivo da CCT/2016.</t>
  </si>
  <si>
    <t>Copeiro</t>
  </si>
  <si>
    <t>OPERADOR DE CALDEIRA</t>
  </si>
  <si>
    <t>Abono Natalino</t>
  </si>
  <si>
    <t>Café da manhã</t>
  </si>
  <si>
    <t>ALMOXARIFE</t>
  </si>
  <si>
    <t>MANUTENÇÃO PREDIAL</t>
  </si>
  <si>
    <t>ORÇAMENTISTA</t>
  </si>
  <si>
    <t>CERIMONIALISTA</t>
  </si>
  <si>
    <t>OPERADOR DE MÁQUINA COSTAL - ROÇADEIRA</t>
  </si>
  <si>
    <t>Materiais de Consumo</t>
  </si>
  <si>
    <t>Especificação</t>
  </si>
  <si>
    <t>Unidade</t>
  </si>
  <si>
    <t>Qtde</t>
  </si>
  <si>
    <t>Preço Unitário</t>
  </si>
  <si>
    <t>Preço Parcial</t>
  </si>
  <si>
    <t>Gasolina</t>
  </si>
  <si>
    <t>Lts</t>
  </si>
  <si>
    <t>Roçadeira</t>
  </si>
  <si>
    <t>Cortador elétrico de grama</t>
  </si>
  <si>
    <t>Adaptadores p/magueira</t>
  </si>
  <si>
    <t>Aspersor</t>
  </si>
  <si>
    <t>Carrinho de mão</t>
  </si>
  <si>
    <t>Cavadeira reta articulada</t>
  </si>
  <si>
    <t>Cavadeira reta com cabo</t>
  </si>
  <si>
    <t>Enxada com cabo</t>
  </si>
  <si>
    <t>Enxadão tamanho médio</t>
  </si>
  <si>
    <t>Enxadeco (enxadilha)</t>
  </si>
  <si>
    <t>Facão (médio)</t>
  </si>
  <si>
    <t>Kit para vaso</t>
  </si>
  <si>
    <t>Mangueira reforçada 50m</t>
  </si>
  <si>
    <t xml:space="preserve">Pá de bico </t>
  </si>
  <si>
    <t>Pá jadrdineira com cabo</t>
  </si>
  <si>
    <t>Picareta</t>
  </si>
  <si>
    <t>Pulverizador</t>
  </si>
  <si>
    <t>Vassoura fixa p/folhagem</t>
  </si>
  <si>
    <t>Serrote para poda</t>
  </si>
  <si>
    <t>tesoura corte de grama 12"</t>
  </si>
  <si>
    <t>Jardineiro - Equipamentos</t>
  </si>
  <si>
    <t>Cortador elétrico</t>
  </si>
  <si>
    <t>Adaptadores para mangueira</t>
  </si>
  <si>
    <t>Enxadão médio</t>
  </si>
  <si>
    <t>Enxadeco</t>
  </si>
  <si>
    <t>Mangueira reforçada</t>
  </si>
  <si>
    <t>Pá de bico com cabo</t>
  </si>
  <si>
    <t>Pá jardinagem</t>
  </si>
  <si>
    <t>Pulverizador, cilindro</t>
  </si>
  <si>
    <t>Vassoura fica para folhagem</t>
  </si>
  <si>
    <t>Tesoura corte de grama</t>
  </si>
  <si>
    <t>Oficial de Manutenção Predial - Materiais de ConSumo</t>
  </si>
  <si>
    <t>Especificações</t>
  </si>
  <si>
    <t>Custo Total</t>
  </si>
  <si>
    <t>Massa Corrida PVA Lata 3,6L</t>
  </si>
  <si>
    <t>Lata</t>
  </si>
  <si>
    <t>Esmalte Brilhante cinza médio</t>
  </si>
  <si>
    <t>Galão</t>
  </si>
  <si>
    <t>Lâmpada Fluorescente 36W</t>
  </si>
  <si>
    <t>Alicate bomba d'água 10'</t>
  </si>
  <si>
    <t>Alicate de bico 1/2 cano reto</t>
  </si>
  <si>
    <t>Alicate de corte</t>
  </si>
  <si>
    <t>Alicate de corte rente</t>
  </si>
  <si>
    <t>Alicate de pressão10</t>
  </si>
  <si>
    <t>Alicate cortador, descascador</t>
  </si>
  <si>
    <t>Alicate para prensar terminais</t>
  </si>
  <si>
    <t>Alicate bico papaguaio</t>
  </si>
  <si>
    <t>Alicate rebitador manual</t>
  </si>
  <si>
    <t>Alicate universal</t>
  </si>
  <si>
    <t>Alicate volt-amperímetro</t>
  </si>
  <si>
    <t>Arco de serra manual</t>
  </si>
  <si>
    <t>Andaime dobrável</t>
  </si>
  <si>
    <t>Desntupidor de esgotos</t>
  </si>
  <si>
    <t>Bomba - Schneider</t>
  </si>
  <si>
    <t>Broxa para pintor</t>
  </si>
  <si>
    <t>Caixa p/ ferramentas plasticas</t>
  </si>
  <si>
    <t>Cavador articulado</t>
  </si>
  <si>
    <t>Chave de fenda 1/4 6'</t>
  </si>
  <si>
    <t>Chave de fenda 3/16 x 4'</t>
  </si>
  <si>
    <t>Chave philips 1/3 x 3</t>
  </si>
  <si>
    <t>Chave philips 3/16 x4</t>
  </si>
  <si>
    <t>Chave phillips 3/16 x3'</t>
  </si>
  <si>
    <t>Chave philips 1/4 x 5'</t>
  </si>
  <si>
    <t>Jogo de chaves de boca</t>
  </si>
  <si>
    <t>Chaves de grifo nº 14</t>
  </si>
  <si>
    <t>Colher de pedreiro</t>
  </si>
  <si>
    <t>Desempenadeira de alumínio</t>
  </si>
  <si>
    <t>Enxada</t>
  </si>
  <si>
    <t>Escada de alumínio de 5 d.</t>
  </si>
  <si>
    <t>Esquadro</t>
  </si>
  <si>
    <t>Estilete (10 laminas)</t>
  </si>
  <si>
    <t>Esmilhadeira</t>
  </si>
  <si>
    <t>Espátula 8cm</t>
  </si>
  <si>
    <t>Formão 1/2</t>
  </si>
  <si>
    <t>Formão 3/4</t>
  </si>
  <si>
    <t>Formão 3/8</t>
  </si>
  <si>
    <t>Furadeira Elétrica</t>
  </si>
  <si>
    <t>Jogo de broca a A/R 1/16'</t>
  </si>
  <si>
    <t>Jogod e chave ALLEN 1,5mm</t>
  </si>
  <si>
    <t>Jogo de chave haxagonal</t>
  </si>
  <si>
    <t>Jogod e chaves combinadas</t>
  </si>
  <si>
    <t>Jodo de chaves de fenda</t>
  </si>
  <si>
    <t>Lanterna recarregável</t>
  </si>
  <si>
    <t>Linha p/ pedreiro</t>
  </si>
  <si>
    <t>Lixadeira elétrica</t>
  </si>
  <si>
    <t>Máquina lava jato industrial</t>
  </si>
  <si>
    <t>Martelo</t>
  </si>
  <si>
    <t>Marreta c/ cabo</t>
  </si>
  <si>
    <t>Mascara protetora de poeira</t>
  </si>
  <si>
    <t>Pá reta com bico</t>
  </si>
  <si>
    <t>Pincel para retoque</t>
  </si>
  <si>
    <t>Pistola / silicone</t>
  </si>
  <si>
    <t>Pistola de alta</t>
  </si>
  <si>
    <t>Pistola de baixa</t>
  </si>
  <si>
    <t>Ponteiro 10'</t>
  </si>
  <si>
    <t>Prumo de pedreiro</t>
  </si>
  <si>
    <t>Acessórios para micro retífica</t>
  </si>
  <si>
    <t>Rolo de lã p/ pintura</t>
  </si>
  <si>
    <t>Serra elétrica tico-tico</t>
  </si>
  <si>
    <t>talhadeira 125 X 14mm</t>
  </si>
  <si>
    <t>Trena 5m</t>
  </si>
  <si>
    <t>Operador de Máquina Costal/Jardineiro/Caldeireiro/Of. De Manutenção</t>
  </si>
  <si>
    <t>Capa para chuva</t>
  </si>
  <si>
    <t>Luva PVC Longa sem forro</t>
  </si>
  <si>
    <t>Luva raspa couro</t>
  </si>
  <si>
    <t>Máscara de proteção s/ filtro</t>
  </si>
  <si>
    <t>Óculos de proteção</t>
  </si>
  <si>
    <t>Protetor Auricular</t>
  </si>
  <si>
    <t>INSTITUTO FEDERAL DO PARANÁ</t>
  </si>
  <si>
    <t>PREGÃO ELETRÔNICO Nº 20/2012</t>
  </si>
  <si>
    <t>ANEXO IV</t>
  </si>
  <si>
    <t>PLANILHA DE PREÇOS UNITÁRIOS E TOTAIS OFERTADOS PARA OS UNIFORMES</t>
  </si>
  <si>
    <t>Recepcionista/Porteiro/Orçamentista/Cerimonialista</t>
  </si>
  <si>
    <t>Masculino</t>
  </si>
  <si>
    <t>Qtde Semestral</t>
  </si>
  <si>
    <t>Valor Semestral</t>
  </si>
  <si>
    <t>Terno</t>
  </si>
  <si>
    <t>Camisa Social</t>
  </si>
  <si>
    <t>Par de Sapatos</t>
  </si>
  <si>
    <t>Par de Meias</t>
  </si>
  <si>
    <t>Valor Mensal</t>
  </si>
  <si>
    <t>Feminino</t>
  </si>
  <si>
    <t>Terno Feminino</t>
  </si>
  <si>
    <t>Laço para cabelo</t>
  </si>
  <si>
    <t>Avental</t>
  </si>
  <si>
    <t>Calça</t>
  </si>
  <si>
    <t>Camiseta</t>
  </si>
  <si>
    <t>Touca</t>
  </si>
  <si>
    <t>Jaqueta</t>
  </si>
  <si>
    <t>Meia</t>
  </si>
  <si>
    <t>Sapato</t>
  </si>
  <si>
    <t>Jardineiro/Auxiliar de Serviços Gerais/Almoxarife</t>
  </si>
  <si>
    <t>Bota</t>
  </si>
  <si>
    <t>Moletom Manga L.</t>
  </si>
  <si>
    <t>Caldeireiro/Operador de Máquina Costal/Of. Manutenção Predial</t>
  </si>
  <si>
    <t>Jaleco</t>
  </si>
  <si>
    <t>Camisa</t>
  </si>
  <si>
    <t>Cinto</t>
  </si>
  <si>
    <t>ONDREPSB PR LIMPEZA E SERVIÇOS ESPECIAIS LTDA</t>
  </si>
  <si>
    <t>Luiz Ermes Bordin</t>
  </si>
  <si>
    <t>Diretor</t>
  </si>
  <si>
    <t>Licitação n° 20/2012</t>
  </si>
  <si>
    <t>Dia: 29 de JUNHO de 2016</t>
  </si>
  <si>
    <t>Adicional de Risco</t>
  </si>
  <si>
    <t xml:space="preserve">AUXILIAR SERVIÇOS GERAIS </t>
  </si>
  <si>
    <t>Curitiba/PR, 29 de junho de 2016.</t>
  </si>
  <si>
    <t>Data de execução contratual</t>
  </si>
  <si>
    <t>SUPERVISOR</t>
  </si>
  <si>
    <t>Dividido por 12 meses</t>
  </si>
  <si>
    <t>Outros</t>
  </si>
  <si>
    <t>MANUENÇÃO PREDIAL</t>
  </si>
  <si>
    <t>OPERADOR DE MAQUINA</t>
  </si>
  <si>
    <t>JARDINEIRO</t>
  </si>
  <si>
    <t>ASG</t>
  </si>
  <si>
    <t>Jardineiro</t>
  </si>
  <si>
    <t>Orçamentista</t>
  </si>
  <si>
    <t>Supervisor</t>
  </si>
  <si>
    <t>Quantidade</t>
  </si>
  <si>
    <t>Ao</t>
  </si>
  <si>
    <t>INSTITUTO FEDERAL DO PARANÁ - IFPR</t>
  </si>
  <si>
    <t xml:space="preserve">Pró-reitoria de Administração </t>
  </si>
  <si>
    <t>Diretoria de Administração</t>
  </si>
  <si>
    <t>2º Termo Aditivo</t>
  </si>
  <si>
    <t>3º Termo de Apostilamento - SIEMACO 2013 retificado pelo 4º Apostilamento</t>
  </si>
  <si>
    <t>3º Termo Aditivo - Prorrogação e acréscimo</t>
  </si>
  <si>
    <t>4º Termo Aditivo - Acréscimo e supressão</t>
  </si>
  <si>
    <t>5º Termo Aditivo - Acréscimo e supressão</t>
  </si>
  <si>
    <t>Curitiba</t>
  </si>
  <si>
    <t>ISS 2%</t>
  </si>
  <si>
    <t>VALOR LICITADO</t>
  </si>
  <si>
    <t>REPACTUADO SINDUSCON</t>
  </si>
  <si>
    <t>LICITADO</t>
  </si>
  <si>
    <t>Item</t>
  </si>
  <si>
    <t>Quantidade Estimada de Postos</t>
  </si>
  <si>
    <t>Valor Mensal unit</t>
  </si>
  <si>
    <t>Valor mensal</t>
  </si>
  <si>
    <t>Valor Anual</t>
  </si>
  <si>
    <t>empenho 2012 (outubro a dezembro)</t>
  </si>
  <si>
    <t>empenho 2012 (novembro a dezembro)</t>
  </si>
  <si>
    <t>observações</t>
  </si>
  <si>
    <t>Valor Mensal unit MÉDIO</t>
  </si>
  <si>
    <t>Quantidade com o 2º Termo Aditivo</t>
  </si>
  <si>
    <t>x</t>
  </si>
  <si>
    <t xml:space="preserve">Copeiro </t>
  </si>
  <si>
    <t xml:space="preserve">Almoxarife </t>
  </si>
  <si>
    <t>Of. de Manut Pred</t>
  </si>
  <si>
    <t>Operador de Maq.</t>
  </si>
  <si>
    <t>-</t>
  </si>
  <si>
    <t xml:space="preserve">PROAD </t>
  </si>
  <si>
    <t>NE</t>
  </si>
  <si>
    <t>Supervisor -DA</t>
  </si>
  <si>
    <t xml:space="preserve">O.S. 01 </t>
  </si>
  <si>
    <t>Recepcionista - DA</t>
  </si>
  <si>
    <t>O.S. 03</t>
  </si>
  <si>
    <t>trasnferida para a DA Do GAB em 01/06/2013</t>
  </si>
  <si>
    <t>Recepcionista - DI</t>
  </si>
  <si>
    <t>NE REFORÇO 802773 DA 802043</t>
  </si>
  <si>
    <t>uma será do Campus Curitiba e outra do Termo aditivo para inicio em 01/11 e outra para incio em Janeiro de 2013</t>
  </si>
  <si>
    <t>NÃO EMPENHAR / das três duas foram transferidas para a Reitoria protocolo</t>
  </si>
  <si>
    <t>EMPENHADO A PARTIR DE 01/06/2013 PARA A DI</t>
  </si>
  <si>
    <t>ASG -DI</t>
  </si>
  <si>
    <t>TRANFERIRI A PARTIR DE 01/07/2013 PARA O CÂMPUS CURITIBA</t>
  </si>
  <si>
    <t>TRANSFERIR A PARTIR DE 01/07/2013 PARA O CÂMPUS CURITIBA</t>
  </si>
  <si>
    <t>ASG -DA</t>
  </si>
  <si>
    <t>ADITIVO A PARTIR DE 12/09/2013 - MUDANÇA ASA - OS 07</t>
  </si>
  <si>
    <t>Almoxarife -DA</t>
  </si>
  <si>
    <t>Of. de Manut Pred - DI</t>
  </si>
  <si>
    <t>UM POSTO SUPRIMIDO A PARTIR DE 01/06/2013 E OUTRO TRANSFERIDO PARA O EAD A PARTIR DE 01/05/2013</t>
  </si>
  <si>
    <t>Orçamentista - DI</t>
  </si>
  <si>
    <t>Orçamentista - DCOF</t>
  </si>
  <si>
    <t>Orçamentista -GAB PROAD</t>
  </si>
  <si>
    <t>Orçamentista - GAB PROAD</t>
  </si>
  <si>
    <t>TRANSFERIDO O POSTO DA PROPLAN EM ABRIL</t>
  </si>
  <si>
    <t>Saiu do Gabinete do Gilmar para o Gabinte do Reitor 01/10/2013</t>
  </si>
  <si>
    <t>Orçamentista - DA</t>
  </si>
  <si>
    <t>O.S. 03 DE 3 E ACRESCRIMO 1º TERMO ADITIVO DE DUAS</t>
  </si>
  <si>
    <t>REITORIA</t>
  </si>
  <si>
    <t>Recepcionista - reitoria</t>
  </si>
  <si>
    <t>Recepcionista - protocolo</t>
  </si>
  <si>
    <t>Transferido da DA em abril de 2013</t>
  </si>
  <si>
    <t>Copeiro - reitoria</t>
  </si>
  <si>
    <t>Copeiro - gabinete</t>
  </si>
  <si>
    <t>Orçamentista - GAB</t>
  </si>
  <si>
    <t>PROENS</t>
  </si>
  <si>
    <t>PROPLAN</t>
  </si>
  <si>
    <t>UM POSTO TRANSFERIDO PARA A PROAD EM ABRIL</t>
  </si>
  <si>
    <t>PROEPI</t>
  </si>
  <si>
    <t>PROGEPE</t>
  </si>
  <si>
    <t>EAD</t>
  </si>
  <si>
    <t xml:space="preserve">Of. de Manut Pred </t>
  </si>
  <si>
    <t>supressão de 1 posto no 4º Termo aditivo -O.S. 8</t>
  </si>
  <si>
    <t>CÂMPUS CURITIBA</t>
  </si>
  <si>
    <t>3º Termo de Apostilamento - SIEMACO 2013</t>
  </si>
  <si>
    <t>802050 - ANULAÇÃO PARCIAL 802716</t>
  </si>
  <si>
    <t>O.S. 03 e não irá contratar de imediato uma receptionista transferido para a outra para a DA</t>
  </si>
  <si>
    <t>ACRÉSCIMO de 1 posto no 4º Termo aditivo -O.S. 8</t>
  </si>
  <si>
    <t>ACRÉSCIMO de 2 postos no 4º Termo aditivo -O.S. 8</t>
  </si>
  <si>
    <t>supressão de 2 postos no 4º Termo aditivo -O.S. 8</t>
  </si>
  <si>
    <t>Campo Largo</t>
  </si>
  <si>
    <t>ISS 3%</t>
  </si>
  <si>
    <t>801645- CANCELADO - 802033</t>
  </si>
  <si>
    <t>NÃO EMPENHAR</t>
  </si>
  <si>
    <t>Paranaguá</t>
  </si>
  <si>
    <t>ISS 4%</t>
  </si>
  <si>
    <t>Acréscimo de 1 posto no 4º Termo aditivo -O.S. 8</t>
  </si>
  <si>
    <t>Foz do Iguaçu</t>
  </si>
  <si>
    <t>empenho 2012 (outubro dezembro)</t>
  </si>
  <si>
    <t>Londrina</t>
  </si>
  <si>
    <t>Jacarezinho</t>
  </si>
  <si>
    <t>ISS 5%</t>
  </si>
  <si>
    <t>1 jardineiro</t>
  </si>
  <si>
    <t>Telêmaco Borba</t>
  </si>
  <si>
    <t>Asg</t>
  </si>
  <si>
    <t>Umuarama</t>
  </si>
  <si>
    <t>Paranavaí</t>
  </si>
  <si>
    <t>REPACTUADO</t>
  </si>
  <si>
    <t>1 jardineiro e 1 asg</t>
  </si>
  <si>
    <t>Palmas</t>
  </si>
  <si>
    <t>Op. De Caldeira</t>
  </si>
  <si>
    <t>Assis Chateaubriand</t>
  </si>
  <si>
    <t>Ivaiporã</t>
  </si>
  <si>
    <t>Irati</t>
  </si>
  <si>
    <t>Cascavel</t>
  </si>
  <si>
    <t>Aditivo a partir de 12/09 - Implantação Cascavel</t>
  </si>
  <si>
    <t>Pinhais</t>
  </si>
  <si>
    <t>Jaguariaiva</t>
  </si>
  <si>
    <t>Pitanga</t>
  </si>
  <si>
    <t>Barracão</t>
  </si>
  <si>
    <t>Capanema</t>
  </si>
  <si>
    <t>Colombo</t>
  </si>
  <si>
    <t>802052 ANULADO 1 POSTO PELA 802721</t>
  </si>
  <si>
    <t>O.S. 03 E não irá contrar de imediato um Oficial de Manutenção</t>
  </si>
  <si>
    <t>NÃO EMPENHAR O.S. 03 E não irá contrar de imediato</t>
  </si>
  <si>
    <t>ocupação REALIZADA PELA O.S. 08 -A PARTIR DE 01/03/2014</t>
  </si>
  <si>
    <t>Astorga</t>
  </si>
  <si>
    <t>Cel. Vivida</t>
  </si>
  <si>
    <t>Quedas do Iguaçu</t>
  </si>
  <si>
    <t>valores totais contratados</t>
  </si>
  <si>
    <t>Quantidade Contratada</t>
  </si>
  <si>
    <t>Quantidade Implementada</t>
  </si>
  <si>
    <t>Quantidade a implementar</t>
  </si>
  <si>
    <t>Valor Total</t>
  </si>
  <si>
    <t>Posto de Colombo - Duplicado na soma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</si>
</sst>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R$&quot;\ #,##0;\-&quot;R$&quot;\ #,##0"/>
    <numFmt numFmtId="7" formatCode="&quot;R$&quot;\ #,##0.00;\-&quot;R$&quot;\ #,##0.0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&quot;R$&quot;#,##0_);\(&quot;R$&quot;#,##0\)"/>
    <numFmt numFmtId="169" formatCode="#,##0.000000_);\(#,##0.000000\)"/>
    <numFmt numFmtId="170" formatCode="_-* #,##0.00\ [$€]_-;\-* #,##0.00\ [$€]_-;_-* &quot;-&quot;??\ [$€]_-;_-@_-"/>
    <numFmt numFmtId="171" formatCode="#,##0.00&quot; &quot;;&quot; (&quot;#,##0.00&quot;)&quot;;&quot; -&quot;#&quot; &quot;;@&quot; &quot;"/>
    <numFmt numFmtId="172" formatCode="[$-416]General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rgb="FF000000"/>
      <name val="Arial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/>
      <sz val="10"/>
      <color indexed="12"/>
      <name val="Arial"/>
      <family val="2"/>
    </font>
    <font>
      <b/>
      <sz val="10"/>
      <color indexed="81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61">
    <xf numFmtId="0" fontId="0" fillId="0" borderId="0"/>
    <xf numFmtId="170" fontId="9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1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9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5" fontId="9" fillId="0" borderId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" fillId="0" borderId="1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ill="0" applyBorder="0" applyAlignment="0" applyProtection="0"/>
    <xf numFmtId="9" fontId="5" fillId="0" borderId="0" applyFont="0" applyFill="0" applyBorder="0" applyAlignment="0" applyProtection="0"/>
    <xf numFmtId="9" fontId="2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1" fillId="0" borderId="0"/>
    <xf numFmtId="0" fontId="7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8" fillId="0" borderId="0"/>
    <xf numFmtId="172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3" fillId="0" borderId="1" applyNumberFormat="0" applyFill="0" applyAlignment="0" applyProtection="0"/>
  </cellStyleXfs>
  <cellXfs count="566">
    <xf numFmtId="0" fontId="0" fillId="0" borderId="0" xfId="0"/>
    <xf numFmtId="4" fontId="21" fillId="0" borderId="0" xfId="0" applyNumberFormat="1" applyFont="1"/>
    <xf numFmtId="4" fontId="21" fillId="0" borderId="0" xfId="0" applyNumberFormat="1" applyFont="1" applyAlignment="1">
      <alignment horizontal="center"/>
    </xf>
    <xf numFmtId="0" fontId="21" fillId="0" borderId="0" xfId="0" applyFont="1"/>
    <xf numFmtId="4" fontId="21" fillId="4" borderId="0" xfId="0" applyNumberFormat="1" applyFont="1" applyFill="1"/>
    <xf numFmtId="0" fontId="22" fillId="5" borderId="2" xfId="0" applyFont="1" applyFill="1" applyBorder="1" applyAlignment="1">
      <alignment horizontal="center"/>
    </xf>
    <xf numFmtId="0" fontId="22" fillId="5" borderId="2" xfId="0" applyFont="1" applyFill="1" applyBorder="1" applyAlignment="1">
      <alignment horizontal="center" wrapText="1"/>
    </xf>
    <xf numFmtId="0" fontId="21" fillId="0" borderId="17" xfId="0" applyFont="1" applyBorder="1" applyAlignment="1">
      <alignment horizontal="center"/>
    </xf>
    <xf numFmtId="0" fontId="21" fillId="0" borderId="17" xfId="0" applyFont="1" applyBorder="1"/>
    <xf numFmtId="3" fontId="21" fillId="0" borderId="17" xfId="0" applyNumberFormat="1" applyFont="1" applyBorder="1" applyAlignment="1">
      <alignment horizontal="center"/>
    </xf>
    <xf numFmtId="10" fontId="21" fillId="0" borderId="17" xfId="69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0" fontId="21" fillId="4" borderId="17" xfId="0" applyFont="1" applyFill="1" applyBorder="1"/>
    <xf numFmtId="3" fontId="21" fillId="4" borderId="17" xfId="0" applyNumberFormat="1" applyFont="1" applyFill="1" applyBorder="1" applyAlignment="1">
      <alignment horizontal="center"/>
    </xf>
    <xf numFmtId="10" fontId="21" fillId="4" borderId="17" xfId="69" applyNumberFormat="1" applyFont="1" applyFill="1" applyBorder="1" applyAlignment="1">
      <alignment horizontal="center"/>
    </xf>
    <xf numFmtId="14" fontId="21" fillId="0" borderId="18" xfId="0" applyNumberFormat="1" applyFont="1" applyBorder="1" applyAlignment="1">
      <alignment horizontal="center"/>
    </xf>
    <xf numFmtId="0" fontId="21" fillId="4" borderId="18" xfId="0" applyFont="1" applyFill="1" applyBorder="1"/>
    <xf numFmtId="3" fontId="21" fillId="4" borderId="18" xfId="0" applyNumberFormat="1" applyFont="1" applyFill="1" applyBorder="1" applyAlignment="1">
      <alignment horizontal="center"/>
    </xf>
    <xf numFmtId="10" fontId="21" fillId="4" borderId="18" xfId="69" applyNumberFormat="1" applyFont="1" applyFill="1" applyBorder="1" applyAlignment="1">
      <alignment horizontal="center"/>
    </xf>
    <xf numFmtId="0" fontId="21" fillId="0" borderId="18" xfId="0" applyFont="1" applyBorder="1"/>
    <xf numFmtId="3" fontId="21" fillId="0" borderId="18" xfId="0" applyNumberFormat="1" applyFont="1" applyBorder="1" applyAlignment="1">
      <alignment horizontal="center"/>
    </xf>
    <xf numFmtId="10" fontId="21" fillId="0" borderId="18" xfId="69" applyNumberFormat="1" applyFont="1" applyBorder="1" applyAlignment="1">
      <alignment horizontal="center"/>
    </xf>
    <xf numFmtId="0" fontId="23" fillId="0" borderId="0" xfId="70" applyAlignment="1" applyProtection="1"/>
    <xf numFmtId="0" fontId="21" fillId="0" borderId="17" xfId="0" applyFont="1" applyFill="1" applyBorder="1" applyAlignment="1">
      <alignment horizontal="center"/>
    </xf>
    <xf numFmtId="0" fontId="21" fillId="0" borderId="19" xfId="0" applyFont="1" applyFill="1" applyBorder="1"/>
    <xf numFmtId="2" fontId="21" fillId="4" borderId="20" xfId="0" applyNumberFormat="1" applyFont="1" applyFill="1" applyBorder="1" applyAlignment="1">
      <alignment horizontal="center"/>
    </xf>
    <xf numFmtId="10" fontId="21" fillId="0" borderId="19" xfId="69" applyNumberFormat="1" applyFont="1" applyFill="1" applyBorder="1" applyAlignment="1">
      <alignment horizontal="center"/>
    </xf>
    <xf numFmtId="10" fontId="21" fillId="0" borderId="19" xfId="69" applyNumberFormat="1" applyFont="1" applyBorder="1" applyAlignment="1">
      <alignment horizontal="center"/>
    </xf>
    <xf numFmtId="2" fontId="21" fillId="0" borderId="19" xfId="0" applyNumberFormat="1" applyFont="1" applyFill="1" applyBorder="1" applyAlignment="1">
      <alignment horizontal="center"/>
    </xf>
    <xf numFmtId="0" fontId="21" fillId="0" borderId="18" xfId="0" applyFont="1" applyFill="1" applyBorder="1"/>
    <xf numFmtId="3" fontId="21" fillId="0" borderId="18" xfId="0" applyNumberFormat="1" applyFont="1" applyFill="1" applyBorder="1" applyAlignment="1">
      <alignment horizontal="center"/>
    </xf>
    <xf numFmtId="10" fontId="21" fillId="0" borderId="18" xfId="69" applyNumberFormat="1" applyFont="1" applyFill="1" applyBorder="1" applyAlignment="1">
      <alignment horizontal="center"/>
    </xf>
    <xf numFmtId="2" fontId="21" fillId="0" borderId="17" xfId="0" applyNumberFormat="1" applyFont="1" applyBorder="1" applyAlignment="1">
      <alignment horizontal="left"/>
    </xf>
    <xf numFmtId="0" fontId="21" fillId="4" borderId="20" xfId="0" applyFont="1" applyFill="1" applyBorder="1"/>
    <xf numFmtId="3" fontId="21" fillId="4" borderId="20" xfId="0" applyNumberFormat="1" applyFont="1" applyFill="1" applyBorder="1" applyAlignment="1">
      <alignment horizontal="center"/>
    </xf>
    <xf numFmtId="10" fontId="21" fillId="4" borderId="20" xfId="69" applyNumberFormat="1" applyFont="1" applyFill="1" applyBorder="1" applyAlignment="1">
      <alignment horizontal="center"/>
    </xf>
    <xf numFmtId="0" fontId="21" fillId="0" borderId="21" xfId="0" applyFont="1" applyBorder="1"/>
    <xf numFmtId="3" fontId="21" fillId="0" borderId="21" xfId="0" applyNumberFormat="1" applyFont="1" applyBorder="1" applyAlignment="1">
      <alignment horizontal="center"/>
    </xf>
    <xf numFmtId="10" fontId="21" fillId="0" borderId="21" xfId="69" applyNumberFormat="1" applyFont="1" applyBorder="1" applyAlignment="1">
      <alignment horizontal="center"/>
    </xf>
    <xf numFmtId="0" fontId="21" fillId="4" borderId="21" xfId="0" applyFont="1" applyFill="1" applyBorder="1"/>
    <xf numFmtId="3" fontId="21" fillId="4" borderId="21" xfId="0" applyNumberFormat="1" applyFont="1" applyFill="1" applyBorder="1" applyAlignment="1">
      <alignment horizontal="center"/>
    </xf>
    <xf numFmtId="10" fontId="21" fillId="4" borderId="21" xfId="69" applyNumberFormat="1" applyFont="1" applyFill="1" applyBorder="1" applyAlignment="1">
      <alignment horizontal="center"/>
    </xf>
    <xf numFmtId="2" fontId="21" fillId="0" borderId="21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3" fontId="21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2" fontId="21" fillId="0" borderId="6" xfId="0" applyNumberFormat="1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14" fontId="21" fillId="0" borderId="20" xfId="0" applyNumberFormat="1" applyFont="1" applyBorder="1" applyAlignment="1">
      <alignment horizontal="center"/>
    </xf>
    <xf numFmtId="0" fontId="25" fillId="0" borderId="0" xfId="60" applyFont="1" applyAlignment="1">
      <alignment wrapText="1"/>
    </xf>
    <xf numFmtId="0" fontId="26" fillId="0" borderId="0" xfId="60" applyFont="1" applyAlignment="1">
      <alignment wrapText="1"/>
    </xf>
    <xf numFmtId="0" fontId="25" fillId="0" borderId="0" xfId="60" applyFont="1" applyAlignment="1"/>
    <xf numFmtId="0" fontId="26" fillId="0" borderId="0" xfId="60" applyFont="1" applyAlignment="1">
      <alignment horizontal="justify" wrapText="1"/>
    </xf>
    <xf numFmtId="0" fontId="26" fillId="0" borderId="0" xfId="60" applyFont="1" applyAlignment="1">
      <alignment horizontal="left" wrapText="1"/>
    </xf>
    <xf numFmtId="0" fontId="25" fillId="0" borderId="0" xfId="60" applyFont="1" applyAlignment="1">
      <alignment horizontal="left"/>
    </xf>
    <xf numFmtId="0" fontId="25" fillId="0" borderId="0" xfId="60" applyFont="1" applyAlignment="1">
      <alignment horizontal="left" wrapText="1"/>
    </xf>
    <xf numFmtId="0" fontId="26" fillId="0" borderId="2" xfId="60" applyFont="1" applyBorder="1" applyAlignment="1">
      <alignment horizontal="center" wrapText="1"/>
    </xf>
    <xf numFmtId="0" fontId="26" fillId="0" borderId="12" xfId="60" applyFont="1" applyBorder="1" applyAlignment="1">
      <alignment wrapText="1"/>
    </xf>
    <xf numFmtId="0" fontId="26" fillId="0" borderId="8" xfId="60" applyFont="1" applyBorder="1" applyAlignment="1">
      <alignment wrapText="1"/>
    </xf>
    <xf numFmtId="0" fontId="26" fillId="0" borderId="12" xfId="60" applyFont="1" applyBorder="1" applyAlignment="1">
      <alignment horizontal="left" wrapText="1"/>
    </xf>
    <xf numFmtId="0" fontId="26" fillId="0" borderId="8" xfId="60" applyFont="1" applyBorder="1" applyAlignment="1">
      <alignment horizontal="left" wrapText="1"/>
    </xf>
    <xf numFmtId="0" fontId="26" fillId="0" borderId="3" xfId="60" applyFont="1" applyBorder="1" applyAlignment="1">
      <alignment horizontal="center" wrapText="1"/>
    </xf>
    <xf numFmtId="0" fontId="26" fillId="0" borderId="15" xfId="60" applyFont="1" applyBorder="1" applyAlignment="1">
      <alignment horizontal="left" wrapText="1"/>
    </xf>
    <xf numFmtId="0" fontId="26" fillId="0" borderId="16" xfId="60" applyFont="1" applyBorder="1" applyAlignment="1">
      <alignment horizontal="left" wrapText="1"/>
    </xf>
    <xf numFmtId="0" fontId="25" fillId="6" borderId="2" xfId="60" applyFont="1" applyFill="1" applyBorder="1" applyAlignment="1">
      <alignment horizontal="center" vertical="top" wrapText="1"/>
    </xf>
    <xf numFmtId="0" fontId="26" fillId="0" borderId="2" xfId="60" applyFont="1" applyBorder="1" applyAlignment="1">
      <alignment horizontal="center" vertical="top" wrapText="1"/>
    </xf>
    <xf numFmtId="0" fontId="26" fillId="0" borderId="7" xfId="60" applyFont="1" applyBorder="1" applyAlignment="1">
      <alignment vertical="top" wrapText="1"/>
    </xf>
    <xf numFmtId="166" fontId="26" fillId="0" borderId="2" xfId="60" applyNumberFormat="1" applyFont="1" applyBorder="1" applyAlignment="1">
      <alignment horizontal="center" vertical="top" wrapText="1"/>
    </xf>
    <xf numFmtId="0" fontId="25" fillId="0" borderId="0" xfId="60" applyFont="1" applyAlignment="1">
      <alignment horizontal="justify" wrapText="1"/>
    </xf>
    <xf numFmtId="0" fontId="25" fillId="0" borderId="7" xfId="60" applyFont="1" applyBorder="1" applyAlignment="1">
      <alignment horizontal="left"/>
    </xf>
    <xf numFmtId="0" fontId="25" fillId="0" borderId="2" xfId="60" applyFont="1" applyBorder="1" applyAlignment="1">
      <alignment horizontal="center" wrapText="1"/>
    </xf>
    <xf numFmtId="0" fontId="26" fillId="0" borderId="10" xfId="60" applyFont="1" applyBorder="1" applyAlignment="1">
      <alignment vertical="center" wrapText="1"/>
    </xf>
    <xf numFmtId="0" fontId="25" fillId="0" borderId="3" xfId="60" applyFont="1" applyBorder="1" applyAlignment="1">
      <alignment horizontal="center" wrapText="1"/>
    </xf>
    <xf numFmtId="0" fontId="26" fillId="0" borderId="15" xfId="60" applyFont="1" applyBorder="1" applyAlignment="1">
      <alignment vertical="center" wrapText="1"/>
    </xf>
    <xf numFmtId="14" fontId="26" fillId="0" borderId="2" xfId="60" applyNumberFormat="1" applyFont="1" applyBorder="1" applyAlignment="1">
      <alignment wrapText="1"/>
    </xf>
    <xf numFmtId="0" fontId="25" fillId="6" borderId="22" xfId="60" applyFont="1" applyFill="1" applyBorder="1" applyAlignment="1">
      <alignment horizontal="right" vertical="top" wrapText="1"/>
    </xf>
    <xf numFmtId="0" fontId="25" fillId="6" borderId="23" xfId="60" applyFont="1" applyFill="1" applyBorder="1" applyAlignment="1">
      <alignment vertical="top" wrapText="1"/>
    </xf>
    <xf numFmtId="0" fontId="25" fillId="6" borderId="24" xfId="60" applyFont="1" applyFill="1" applyBorder="1" applyAlignment="1">
      <alignment horizontal="center" vertical="top" wrapText="1"/>
    </xf>
    <xf numFmtId="0" fontId="25" fillId="6" borderId="25" xfId="60" applyFont="1" applyFill="1" applyBorder="1" applyAlignment="1">
      <alignment wrapText="1"/>
    </xf>
    <xf numFmtId="0" fontId="26" fillId="0" borderId="26" xfId="60" applyFont="1" applyBorder="1" applyAlignment="1">
      <alignment horizontal="center" vertical="top" wrapText="1"/>
    </xf>
    <xf numFmtId="0" fontId="26" fillId="0" borderId="27" xfId="60" applyFont="1" applyBorder="1" applyAlignment="1">
      <alignment wrapText="1"/>
    </xf>
    <xf numFmtId="0" fontId="26" fillId="0" borderId="28" xfId="60" applyFont="1" applyBorder="1" applyAlignment="1">
      <alignment wrapText="1"/>
    </xf>
    <xf numFmtId="166" fontId="26" fillId="0" borderId="29" xfId="71" applyFont="1" applyBorder="1" applyAlignment="1">
      <alignment wrapText="1"/>
    </xf>
    <xf numFmtId="0" fontId="26" fillId="0" borderId="30" xfId="60" applyFont="1" applyBorder="1" applyAlignment="1">
      <alignment horizontal="center" vertical="top" wrapText="1"/>
    </xf>
    <xf numFmtId="0" fontId="26" fillId="0" borderId="31" xfId="60" applyFont="1" applyBorder="1" applyAlignment="1">
      <alignment wrapText="1"/>
    </xf>
    <xf numFmtId="9" fontId="26" fillId="0" borderId="32" xfId="60" applyNumberFormat="1" applyFont="1" applyBorder="1" applyAlignment="1">
      <alignment horizontal="center" wrapText="1"/>
    </xf>
    <xf numFmtId="166" fontId="26" fillId="0" borderId="33" xfId="71" applyFont="1" applyBorder="1" applyAlignment="1">
      <alignment wrapText="1"/>
    </xf>
    <xf numFmtId="0" fontId="26" fillId="0" borderId="32" xfId="60" applyFont="1" applyBorder="1" applyAlignment="1">
      <alignment wrapText="1"/>
    </xf>
    <xf numFmtId="0" fontId="26" fillId="0" borderId="31" xfId="60" applyFont="1" applyBorder="1" applyAlignment="1">
      <alignment vertical="top" wrapText="1"/>
    </xf>
    <xf numFmtId="9" fontId="26" fillId="0" borderId="32" xfId="72" applyFont="1" applyBorder="1" applyAlignment="1">
      <alignment horizontal="center" wrapText="1"/>
    </xf>
    <xf numFmtId="0" fontId="26" fillId="0" borderId="34" xfId="60" applyFont="1" applyBorder="1" applyAlignment="1">
      <alignment vertical="top" wrapText="1"/>
    </xf>
    <xf numFmtId="0" fontId="26" fillId="0" borderId="35" xfId="60" applyFont="1" applyBorder="1" applyAlignment="1">
      <alignment vertical="top" wrapText="1"/>
    </xf>
    <xf numFmtId="9" fontId="26" fillId="0" borderId="36" xfId="60" applyNumberFormat="1" applyFont="1" applyBorder="1" applyAlignment="1">
      <alignment horizontal="center" wrapText="1"/>
    </xf>
    <xf numFmtId="0" fontId="26" fillId="6" borderId="22" xfId="60" applyFont="1" applyFill="1" applyBorder="1" applyAlignment="1">
      <alignment vertical="top" wrapText="1"/>
    </xf>
    <xf numFmtId="0" fontId="25" fillId="6" borderId="37" xfId="60" applyFont="1" applyFill="1" applyBorder="1" applyAlignment="1">
      <alignment vertical="top" wrapText="1"/>
    </xf>
    <xf numFmtId="0" fontId="25" fillId="6" borderId="38" xfId="60" applyFont="1" applyFill="1" applyBorder="1" applyAlignment="1">
      <alignment vertical="top" wrapText="1"/>
    </xf>
    <xf numFmtId="166" fontId="25" fillId="6" borderId="39" xfId="60" applyNumberFormat="1" applyFont="1" applyFill="1" applyBorder="1" applyAlignment="1">
      <alignment vertical="top" wrapText="1"/>
    </xf>
    <xf numFmtId="0" fontId="25" fillId="6" borderId="25" xfId="60" applyFont="1" applyFill="1" applyBorder="1" applyAlignment="1">
      <alignment horizontal="center" vertical="top" wrapText="1"/>
    </xf>
    <xf numFmtId="0" fontId="25" fillId="6" borderId="22" xfId="60" applyFont="1" applyFill="1" applyBorder="1" applyAlignment="1">
      <alignment vertical="top" wrapText="1"/>
    </xf>
    <xf numFmtId="0" fontId="25" fillId="6" borderId="24" xfId="60" applyFont="1" applyFill="1" applyBorder="1" applyAlignment="1">
      <alignment vertical="top" wrapText="1"/>
    </xf>
    <xf numFmtId="165" fontId="26" fillId="0" borderId="28" xfId="60" applyNumberFormat="1" applyFont="1" applyBorder="1" applyAlignment="1">
      <alignment horizontal="center" wrapText="1"/>
    </xf>
    <xf numFmtId="166" fontId="26" fillId="0" borderId="29" xfId="71" applyFont="1" applyBorder="1" applyAlignment="1">
      <alignment vertical="top" wrapText="1"/>
    </xf>
    <xf numFmtId="0" fontId="26" fillId="0" borderId="30" xfId="60" applyFont="1" applyBorder="1" applyAlignment="1">
      <alignment horizontal="center" vertical="center" wrapText="1"/>
    </xf>
    <xf numFmtId="0" fontId="26" fillId="0" borderId="31" xfId="60" applyFont="1" applyBorder="1" applyAlignment="1">
      <alignment vertical="center" wrapText="1"/>
    </xf>
    <xf numFmtId="166" fontId="26" fillId="0" borderId="33" xfId="71" applyFont="1" applyBorder="1" applyAlignment="1">
      <alignment vertical="top" wrapText="1"/>
    </xf>
    <xf numFmtId="166" fontId="26" fillId="0" borderId="33" xfId="71" applyFont="1" applyFill="1" applyBorder="1" applyAlignment="1">
      <alignment vertical="top" wrapText="1"/>
    </xf>
    <xf numFmtId="0" fontId="26" fillId="0" borderId="40" xfId="60" applyFont="1" applyBorder="1" applyAlignment="1">
      <alignment horizontal="center" vertical="top" wrapText="1"/>
    </xf>
    <xf numFmtId="166" fontId="26" fillId="0" borderId="41" xfId="71" applyFont="1" applyBorder="1" applyAlignment="1">
      <alignment vertical="top" wrapText="1"/>
    </xf>
    <xf numFmtId="0" fontId="26" fillId="6" borderId="25" xfId="60" applyFont="1" applyFill="1" applyBorder="1" applyAlignment="1">
      <alignment vertical="top" wrapText="1"/>
    </xf>
    <xf numFmtId="0" fontId="25" fillId="6" borderId="42" xfId="60" applyFont="1" applyFill="1" applyBorder="1" applyAlignment="1">
      <alignment vertical="top" wrapText="1"/>
    </xf>
    <xf numFmtId="166" fontId="25" fillId="6" borderId="25" xfId="60" applyNumberFormat="1" applyFont="1" applyFill="1" applyBorder="1" applyAlignment="1">
      <alignment vertical="top" wrapText="1"/>
    </xf>
    <xf numFmtId="0" fontId="25" fillId="6" borderId="25" xfId="60" applyFont="1" applyFill="1" applyBorder="1" applyAlignment="1">
      <alignment vertical="top" wrapText="1"/>
    </xf>
    <xf numFmtId="165" fontId="26" fillId="0" borderId="28" xfId="60" applyNumberFormat="1" applyFont="1" applyBorder="1" applyAlignment="1">
      <alignment wrapText="1"/>
    </xf>
    <xf numFmtId="166" fontId="26" fillId="0" borderId="29" xfId="71" applyFont="1" applyFill="1" applyBorder="1" applyAlignment="1">
      <alignment vertical="top" wrapText="1"/>
    </xf>
    <xf numFmtId="0" fontId="25" fillId="7" borderId="25" xfId="60" applyFont="1" applyFill="1" applyBorder="1" applyAlignment="1">
      <alignment horizontal="center" vertical="top" wrapText="1"/>
    </xf>
    <xf numFmtId="0" fontId="25" fillId="7" borderId="25" xfId="60" applyFont="1" applyFill="1" applyBorder="1" applyAlignment="1">
      <alignment vertical="top" wrapText="1"/>
    </xf>
    <xf numFmtId="0" fontId="26" fillId="0" borderId="43" xfId="60" applyFont="1" applyBorder="1" applyAlignment="1">
      <alignment wrapText="1"/>
    </xf>
    <xf numFmtId="10" fontId="26" fillId="0" borderId="43" xfId="72" applyNumberFormat="1" applyFont="1" applyBorder="1" applyAlignment="1">
      <alignment horizontal="center" wrapText="1"/>
    </xf>
    <xf numFmtId="0" fontId="26" fillId="0" borderId="44" xfId="60" applyFont="1" applyBorder="1" applyAlignment="1">
      <alignment vertical="center" wrapText="1"/>
    </xf>
    <xf numFmtId="10" fontId="26" fillId="0" borderId="44" xfId="72" applyNumberFormat="1" applyFont="1" applyBorder="1" applyAlignment="1">
      <alignment horizontal="center" wrapText="1"/>
    </xf>
    <xf numFmtId="0" fontId="26" fillId="0" borderId="44" xfId="60" applyFont="1" applyBorder="1" applyAlignment="1">
      <alignment wrapText="1"/>
    </xf>
    <xf numFmtId="0" fontId="26" fillId="0" borderId="40" xfId="60" applyFont="1" applyBorder="1" applyAlignment="1">
      <alignment horizontal="center" vertical="center" wrapText="1"/>
    </xf>
    <xf numFmtId="0" fontId="26" fillId="0" borderId="45" xfId="60" applyFont="1" applyBorder="1" applyAlignment="1">
      <alignment vertical="center" wrapText="1"/>
    </xf>
    <xf numFmtId="10" fontId="26" fillId="0" borderId="45" xfId="72" applyNumberFormat="1" applyFont="1" applyBorder="1" applyAlignment="1">
      <alignment horizontal="center" wrapText="1"/>
    </xf>
    <xf numFmtId="10" fontId="25" fillId="6" borderId="25" xfId="60" applyNumberFormat="1" applyFont="1" applyFill="1" applyBorder="1" applyAlignment="1">
      <alignment horizontal="center" vertical="top" wrapText="1"/>
    </xf>
    <xf numFmtId="10" fontId="26" fillId="0" borderId="44" xfId="72" applyNumberFormat="1" applyFont="1" applyFill="1" applyBorder="1" applyAlignment="1">
      <alignment horizontal="center" wrapText="1"/>
    </xf>
    <xf numFmtId="166" fontId="26" fillId="0" borderId="46" xfId="71" applyFont="1" applyBorder="1" applyAlignment="1">
      <alignment vertical="top" wrapText="1"/>
    </xf>
    <xf numFmtId="0" fontId="25" fillId="0" borderId="30" xfId="60" applyFont="1" applyBorder="1" applyAlignment="1">
      <alignment horizontal="center" vertical="center" wrapText="1"/>
    </xf>
    <xf numFmtId="10" fontId="25" fillId="0" borderId="44" xfId="72" applyNumberFormat="1" applyFont="1" applyBorder="1" applyAlignment="1">
      <alignment horizontal="center" wrapText="1"/>
    </xf>
    <xf numFmtId="166" fontId="25" fillId="0" borderId="33" xfId="71" applyFont="1" applyBorder="1" applyAlignment="1">
      <alignment vertical="top" wrapText="1"/>
    </xf>
    <xf numFmtId="0" fontId="26" fillId="0" borderId="43" xfId="60" applyFont="1" applyBorder="1" applyAlignment="1">
      <alignment vertical="top" wrapText="1"/>
    </xf>
    <xf numFmtId="0" fontId="26" fillId="0" borderId="45" xfId="60" applyFont="1" applyBorder="1" applyAlignment="1">
      <alignment vertical="top" wrapText="1"/>
    </xf>
    <xf numFmtId="10" fontId="26" fillId="0" borderId="47" xfId="60" applyNumberFormat="1" applyFont="1" applyBorder="1" applyAlignment="1">
      <alignment horizontal="center" wrapText="1"/>
    </xf>
    <xf numFmtId="10" fontId="26" fillId="0" borderId="2" xfId="72" applyNumberFormat="1" applyFont="1" applyBorder="1" applyAlignment="1">
      <alignment horizontal="center" vertical="center" wrapText="1"/>
    </xf>
    <xf numFmtId="166" fontId="26" fillId="0" borderId="48" xfId="71" applyFont="1" applyBorder="1" applyAlignment="1">
      <alignment vertical="top" wrapText="1"/>
    </xf>
    <xf numFmtId="0" fontId="26" fillId="0" borderId="44" xfId="60" applyFont="1" applyBorder="1" applyAlignment="1">
      <alignment vertical="top" wrapText="1"/>
    </xf>
    <xf numFmtId="10" fontId="26" fillId="0" borderId="49" xfId="72" applyNumberFormat="1" applyFont="1" applyFill="1" applyBorder="1" applyAlignment="1">
      <alignment horizontal="center" wrapText="1"/>
    </xf>
    <xf numFmtId="10" fontId="26" fillId="0" borderId="44" xfId="60" applyNumberFormat="1" applyFont="1" applyFill="1" applyBorder="1" applyAlignment="1">
      <alignment horizontal="center" wrapText="1"/>
    </xf>
    <xf numFmtId="10" fontId="26" fillId="0" borderId="44" xfId="72" applyNumberFormat="1" applyFont="1" applyBorder="1" applyAlignment="1">
      <alignment horizontal="center" vertical="center" wrapText="1"/>
    </xf>
    <xf numFmtId="10" fontId="26" fillId="0" borderId="50" xfId="72" applyNumberFormat="1" applyFont="1" applyBorder="1" applyAlignment="1">
      <alignment horizontal="center" wrapText="1"/>
    </xf>
    <xf numFmtId="166" fontId="25" fillId="6" borderId="25" xfId="60" applyNumberFormat="1" applyFont="1" applyFill="1" applyBorder="1" applyAlignment="1">
      <alignment horizontal="center" vertical="top" wrapText="1"/>
    </xf>
    <xf numFmtId="10" fontId="26" fillId="0" borderId="43" xfId="60" applyNumberFormat="1" applyFont="1" applyBorder="1" applyAlignment="1">
      <alignment horizontal="center" wrapText="1"/>
    </xf>
    <xf numFmtId="9" fontId="26" fillId="0" borderId="44" xfId="72" applyFont="1" applyBorder="1" applyAlignment="1">
      <alignment horizontal="center" wrapText="1"/>
    </xf>
    <xf numFmtId="44" fontId="25" fillId="6" borderId="25" xfId="60" applyNumberFormat="1" applyFont="1" applyFill="1" applyBorder="1" applyAlignment="1">
      <alignment horizontal="center" vertical="top" wrapText="1"/>
    </xf>
    <xf numFmtId="0" fontId="25" fillId="7" borderId="22" xfId="60" applyFont="1" applyFill="1" applyBorder="1" applyAlignment="1">
      <alignment horizontal="center" vertical="top" wrapText="1"/>
    </xf>
    <xf numFmtId="0" fontId="25" fillId="7" borderId="23" xfId="60" applyFont="1" applyFill="1" applyBorder="1" applyAlignment="1">
      <alignment vertical="top" wrapText="1"/>
    </xf>
    <xf numFmtId="0" fontId="25" fillId="7" borderId="39" xfId="60" applyFont="1" applyFill="1" applyBorder="1" applyAlignment="1">
      <alignment horizontal="center" vertical="center" wrapText="1"/>
    </xf>
    <xf numFmtId="0" fontId="25" fillId="7" borderId="25" xfId="60" applyFont="1" applyFill="1" applyBorder="1" applyAlignment="1">
      <alignment horizontal="center" vertical="center" wrapText="1"/>
    </xf>
    <xf numFmtId="0" fontId="26" fillId="0" borderId="51" xfId="60" applyFont="1" applyBorder="1" applyAlignment="1">
      <alignment horizontal="center" vertical="top" wrapText="1"/>
    </xf>
    <xf numFmtId="0" fontId="26" fillId="0" borderId="52" xfId="60" applyFont="1" applyBorder="1" applyAlignment="1">
      <alignment vertical="top" wrapText="1"/>
    </xf>
    <xf numFmtId="0" fontId="26" fillId="0" borderId="53" xfId="60" applyFont="1" applyBorder="1" applyAlignment="1">
      <alignment horizontal="center" vertical="top" wrapText="1"/>
    </xf>
    <xf numFmtId="0" fontId="26" fillId="0" borderId="49" xfId="60" applyFont="1" applyBorder="1" applyAlignment="1">
      <alignment vertical="top" wrapText="1"/>
    </xf>
    <xf numFmtId="0" fontId="25" fillId="0" borderId="0" xfId="60" applyFont="1" applyFill="1" applyBorder="1" applyAlignment="1">
      <alignment vertical="top" wrapText="1"/>
    </xf>
    <xf numFmtId="10" fontId="25" fillId="0" borderId="0" xfId="72" applyNumberFormat="1" applyFont="1" applyFill="1" applyBorder="1" applyAlignment="1">
      <alignment horizontal="center" vertical="top" wrapText="1"/>
    </xf>
    <xf numFmtId="10" fontId="25" fillId="0" borderId="0" xfId="60" applyNumberFormat="1" applyFont="1" applyFill="1" applyBorder="1" applyAlignment="1">
      <alignment horizontal="center" vertical="top" wrapText="1"/>
    </xf>
    <xf numFmtId="166" fontId="25" fillId="0" borderId="0" xfId="60" applyNumberFormat="1" applyFont="1" applyFill="1" applyBorder="1" applyAlignment="1">
      <alignment vertical="top" wrapText="1"/>
    </xf>
    <xf numFmtId="0" fontId="26" fillId="0" borderId="0" xfId="60" applyFont="1" applyFill="1" applyAlignment="1">
      <alignment wrapText="1"/>
    </xf>
    <xf numFmtId="43" fontId="26" fillId="0" borderId="0" xfId="60" applyNumberFormat="1" applyFont="1" applyAlignment="1">
      <alignment wrapText="1"/>
    </xf>
    <xf numFmtId="167" fontId="25" fillId="0" borderId="39" xfId="73" applyFont="1" applyFill="1" applyBorder="1" applyAlignment="1">
      <alignment vertical="top" wrapText="1"/>
    </xf>
    <xf numFmtId="10" fontId="26" fillId="0" borderId="54" xfId="72" applyNumberFormat="1" applyFont="1" applyBorder="1" applyAlignment="1">
      <alignment horizontal="center" vertical="center" wrapText="1"/>
    </xf>
    <xf numFmtId="166" fontId="26" fillId="0" borderId="46" xfId="71" applyFont="1" applyBorder="1" applyAlignment="1">
      <alignment vertical="center" wrapText="1"/>
    </xf>
    <xf numFmtId="166" fontId="26" fillId="0" borderId="55" xfId="71" applyFont="1" applyBorder="1" applyAlignment="1">
      <alignment vertical="top" wrapText="1"/>
    </xf>
    <xf numFmtId="166" fontId="26" fillId="0" borderId="0" xfId="60" applyNumberFormat="1" applyFont="1" applyAlignment="1">
      <alignment wrapText="1"/>
    </xf>
    <xf numFmtId="166" fontId="25" fillId="6" borderId="25" xfId="71" applyFont="1" applyFill="1" applyBorder="1" applyAlignment="1">
      <alignment vertical="top" wrapText="1"/>
    </xf>
    <xf numFmtId="0" fontId="25" fillId="6" borderId="25" xfId="60" applyFont="1" applyFill="1" applyBorder="1" applyAlignment="1">
      <alignment horizontal="center" vertical="center" wrapText="1"/>
    </xf>
    <xf numFmtId="0" fontId="25" fillId="0" borderId="30" xfId="60" applyFont="1" applyBorder="1" applyAlignment="1">
      <alignment horizontal="center" vertical="top" wrapText="1"/>
    </xf>
    <xf numFmtId="0" fontId="25" fillId="0" borderId="44" xfId="60" applyFont="1" applyBorder="1" applyAlignment="1">
      <alignment vertical="top" wrapText="1"/>
    </xf>
    <xf numFmtId="166" fontId="25" fillId="0" borderId="46" xfId="71" applyFont="1" applyBorder="1" applyAlignment="1">
      <alignment vertical="top" wrapText="1"/>
    </xf>
    <xf numFmtId="167" fontId="26" fillId="0" borderId="0" xfId="60" applyNumberFormat="1" applyFont="1" applyAlignment="1">
      <alignment wrapText="1"/>
    </xf>
    <xf numFmtId="167" fontId="26" fillId="0" borderId="0" xfId="73" applyFont="1" applyAlignment="1">
      <alignment wrapText="1"/>
    </xf>
    <xf numFmtId="0" fontId="25" fillId="0" borderId="0" xfId="60" applyFont="1" applyAlignment="1">
      <alignment horizontal="center" wrapText="1"/>
    </xf>
    <xf numFmtId="10" fontId="26" fillId="0" borderId="0" xfId="60" applyNumberFormat="1" applyFont="1" applyAlignment="1">
      <alignment wrapText="1"/>
    </xf>
    <xf numFmtId="166" fontId="26" fillId="2" borderId="2" xfId="60" applyNumberFormat="1" applyFont="1" applyFill="1" applyBorder="1" applyAlignment="1">
      <alignment vertical="center" wrapText="1"/>
    </xf>
    <xf numFmtId="0" fontId="26" fillId="2" borderId="6" xfId="60" applyFont="1" applyFill="1" applyBorder="1" applyAlignment="1">
      <alignment horizontal="center" vertical="center" wrapText="1"/>
    </xf>
    <xf numFmtId="0" fontId="7" fillId="0" borderId="13" xfId="0" applyFont="1" applyBorder="1"/>
    <xf numFmtId="0" fontId="0" fillId="0" borderId="0" xfId="0" applyBorder="1"/>
    <xf numFmtId="0" fontId="0" fillId="0" borderId="4" xfId="0" applyBorder="1"/>
    <xf numFmtId="0" fontId="0" fillId="0" borderId="15" xfId="0" applyBorder="1"/>
    <xf numFmtId="0" fontId="0" fillId="0" borderId="16" xfId="0" applyBorder="1"/>
    <xf numFmtId="166" fontId="25" fillId="0" borderId="0" xfId="71" applyFont="1" applyBorder="1" applyAlignment="1">
      <alignment vertical="top" wrapText="1"/>
    </xf>
    <xf numFmtId="0" fontId="26" fillId="0" borderId="30" xfId="60" applyFont="1" applyBorder="1" applyAlignment="1">
      <alignment horizontal="center" vertical="top" wrapText="1"/>
    </xf>
    <xf numFmtId="0" fontId="26" fillId="0" borderId="0" xfId="60" applyFont="1" applyAlignment="1"/>
    <xf numFmtId="0" fontId="7" fillId="0" borderId="14" xfId="0" applyFont="1" applyBorder="1"/>
    <xf numFmtId="0" fontId="25" fillId="0" borderId="0" xfId="60" applyFont="1" applyAlignment="1">
      <alignment horizontal="center" wrapText="1"/>
    </xf>
    <xf numFmtId="0" fontId="26" fillId="0" borderId="0" xfId="60" applyFont="1" applyAlignment="1">
      <alignment horizontal="left" wrapText="1"/>
    </xf>
    <xf numFmtId="0" fontId="25" fillId="0" borderId="0" xfId="60" applyFont="1" applyAlignment="1">
      <alignment horizontal="left" wrapText="1"/>
    </xf>
    <xf numFmtId="0" fontId="25" fillId="6" borderId="22" xfId="60" applyFont="1" applyFill="1" applyBorder="1" applyAlignment="1">
      <alignment vertical="top" wrapText="1"/>
    </xf>
    <xf numFmtId="0" fontId="26" fillId="0" borderId="0" xfId="60" applyFont="1" applyAlignment="1">
      <alignment horizontal="justify" wrapText="1"/>
    </xf>
    <xf numFmtId="0" fontId="26" fillId="0" borderId="30" xfId="60" applyFont="1" applyBorder="1" applyAlignment="1">
      <alignment horizontal="center" vertical="top" wrapText="1"/>
    </xf>
    <xf numFmtId="0" fontId="4" fillId="0" borderId="0" xfId="240"/>
    <xf numFmtId="0" fontId="28" fillId="0" borderId="59" xfId="240" applyFont="1" applyBorder="1" applyAlignment="1">
      <alignment horizontal="left"/>
    </xf>
    <xf numFmtId="0" fontId="28" fillId="0" borderId="2" xfId="240" applyFont="1" applyBorder="1" applyAlignment="1">
      <alignment horizontal="center"/>
    </xf>
    <xf numFmtId="0" fontId="28" fillId="0" borderId="60" xfId="240" applyFont="1" applyBorder="1" applyAlignment="1">
      <alignment horizontal="center"/>
    </xf>
    <xf numFmtId="0" fontId="4" fillId="0" borderId="59" xfId="240" applyBorder="1" applyAlignment="1">
      <alignment horizontal="left"/>
    </xf>
    <xf numFmtId="0" fontId="4" fillId="0" borderId="2" xfId="240" applyBorder="1" applyAlignment="1">
      <alignment horizontal="center"/>
    </xf>
    <xf numFmtId="43" fontId="4" fillId="0" borderId="2" xfId="241" applyFont="1" applyBorder="1" applyAlignment="1">
      <alignment horizontal="center"/>
    </xf>
    <xf numFmtId="43" fontId="4" fillId="0" borderId="60" xfId="241" applyFont="1" applyBorder="1" applyAlignment="1">
      <alignment horizontal="center"/>
    </xf>
    <xf numFmtId="43" fontId="28" fillId="0" borderId="63" xfId="241" applyFont="1" applyBorder="1" applyAlignment="1">
      <alignment horizontal="center"/>
    </xf>
    <xf numFmtId="0" fontId="28" fillId="0" borderId="0" xfId="240" applyFont="1" applyBorder="1" applyAlignment="1">
      <alignment horizontal="right"/>
    </xf>
    <xf numFmtId="43" fontId="28" fillId="0" borderId="0" xfId="241" applyFont="1" applyBorder="1" applyAlignment="1">
      <alignment horizontal="center"/>
    </xf>
    <xf numFmtId="0" fontId="28" fillId="0" borderId="56" xfId="240" applyFont="1" applyBorder="1" applyAlignment="1">
      <alignment horizontal="left"/>
    </xf>
    <xf numFmtId="0" fontId="28" fillId="0" borderId="57" xfId="240" applyFont="1" applyBorder="1" applyAlignment="1">
      <alignment horizontal="center"/>
    </xf>
    <xf numFmtId="0" fontId="28" fillId="0" borderId="58" xfId="240" applyFont="1" applyBorder="1" applyAlignment="1">
      <alignment horizontal="center"/>
    </xf>
    <xf numFmtId="0" fontId="4" fillId="0" borderId="59" xfId="240" applyBorder="1" applyAlignment="1"/>
    <xf numFmtId="43" fontId="4" fillId="0" borderId="60" xfId="240" applyNumberFormat="1" applyBorder="1" applyAlignment="1">
      <alignment horizontal="center"/>
    </xf>
    <xf numFmtId="43" fontId="4" fillId="0" borderId="60" xfId="240" applyNumberFormat="1" applyBorder="1"/>
    <xf numFmtId="43" fontId="28" fillId="0" borderId="63" xfId="240" applyNumberFormat="1" applyFont="1" applyBorder="1"/>
    <xf numFmtId="0" fontId="4" fillId="0" borderId="0" xfId="240" applyAlignment="1"/>
    <xf numFmtId="0" fontId="28" fillId="0" borderId="0" xfId="240" applyFont="1" applyAlignment="1"/>
    <xf numFmtId="0" fontId="4" fillId="0" borderId="0" xfId="240" applyAlignment="1">
      <alignment horizontal="left"/>
    </xf>
    <xf numFmtId="0" fontId="4" fillId="0" borderId="0" xfId="240" applyAlignment="1">
      <alignment horizontal="center"/>
    </xf>
    <xf numFmtId="43" fontId="4" fillId="0" borderId="0" xfId="241" applyFont="1" applyAlignment="1">
      <alignment horizontal="center"/>
    </xf>
    <xf numFmtId="0" fontId="28" fillId="0" borderId="0" xfId="240" applyFont="1" applyAlignment="1">
      <alignment horizontal="left"/>
    </xf>
    <xf numFmtId="0" fontId="28" fillId="0" borderId="0" xfId="240" applyFont="1" applyAlignment="1">
      <alignment horizontal="center"/>
    </xf>
    <xf numFmtId="43" fontId="28" fillId="0" borderId="0" xfId="241" applyFont="1" applyAlignment="1">
      <alignment horizontal="center"/>
    </xf>
    <xf numFmtId="43" fontId="28" fillId="0" borderId="57" xfId="241" applyFont="1" applyBorder="1" applyAlignment="1">
      <alignment horizontal="center"/>
    </xf>
    <xf numFmtId="43" fontId="28" fillId="0" borderId="58" xfId="241" applyFont="1" applyBorder="1" applyAlignment="1">
      <alignment horizontal="center"/>
    </xf>
    <xf numFmtId="0" fontId="28" fillId="0" borderId="56" xfId="240" applyFont="1" applyBorder="1" applyAlignment="1"/>
    <xf numFmtId="44" fontId="4" fillId="0" borderId="2" xfId="241" applyNumberFormat="1" applyFont="1" applyBorder="1" applyAlignment="1">
      <alignment horizontal="center"/>
    </xf>
    <xf numFmtId="44" fontId="4" fillId="0" borderId="60" xfId="241" applyNumberFormat="1" applyFont="1" applyBorder="1" applyAlignment="1">
      <alignment horizontal="center"/>
    </xf>
    <xf numFmtId="43" fontId="4" fillId="0" borderId="0" xfId="241" applyFont="1"/>
    <xf numFmtId="0" fontId="28" fillId="0" borderId="0" xfId="240" applyFont="1"/>
    <xf numFmtId="0" fontId="28" fillId="9" borderId="56" xfId="240" applyFont="1" applyFill="1" applyBorder="1"/>
    <xf numFmtId="0" fontId="28" fillId="9" borderId="57" xfId="240" applyFont="1" applyFill="1" applyBorder="1" applyAlignment="1">
      <alignment horizontal="center"/>
    </xf>
    <xf numFmtId="0" fontId="28" fillId="9" borderId="58" xfId="240" applyFont="1" applyFill="1" applyBorder="1" applyAlignment="1">
      <alignment horizontal="center"/>
    </xf>
    <xf numFmtId="0" fontId="4" fillId="0" borderId="59" xfId="240" applyBorder="1"/>
    <xf numFmtId="44" fontId="28" fillId="9" borderId="64" xfId="241" applyNumberFormat="1" applyFont="1" applyFill="1" applyBorder="1" applyAlignment="1">
      <alignment horizontal="center"/>
    </xf>
    <xf numFmtId="0" fontId="28" fillId="8" borderId="0" xfId="240" applyFont="1" applyFill="1" applyBorder="1" applyAlignment="1">
      <alignment horizontal="center"/>
    </xf>
    <xf numFmtId="0" fontId="28" fillId="9" borderId="65" xfId="240" applyFont="1" applyFill="1" applyBorder="1" applyAlignment="1">
      <alignment horizontal="center"/>
    </xf>
    <xf numFmtId="44" fontId="28" fillId="9" borderId="66" xfId="241" applyNumberFormat="1" applyFont="1" applyFill="1" applyBorder="1" applyAlignment="1">
      <alignment horizontal="center"/>
    </xf>
    <xf numFmtId="0" fontId="4" fillId="8" borderId="0" xfId="240" applyFill="1"/>
    <xf numFmtId="44" fontId="28" fillId="8" borderId="0" xfId="241" applyNumberFormat="1" applyFont="1" applyFill="1" applyBorder="1" applyAlignment="1">
      <alignment horizontal="center"/>
    </xf>
    <xf numFmtId="44" fontId="28" fillId="9" borderId="63" xfId="241" applyNumberFormat="1" applyFont="1" applyFill="1" applyBorder="1" applyAlignment="1">
      <alignment horizontal="center"/>
    </xf>
    <xf numFmtId="0" fontId="28" fillId="0" borderId="0" xfId="240" applyFont="1" applyBorder="1" applyAlignment="1">
      <alignment horizontal="center"/>
    </xf>
    <xf numFmtId="0" fontId="26" fillId="8" borderId="0" xfId="60" applyFont="1" applyFill="1" applyAlignment="1">
      <alignment horizontal="left"/>
    </xf>
    <xf numFmtId="0" fontId="26" fillId="8" borderId="0" xfId="60" applyFont="1" applyFill="1" applyAlignment="1">
      <alignment horizontal="left" wrapText="1"/>
    </xf>
    <xf numFmtId="14" fontId="26" fillId="8" borderId="2" xfId="60" applyNumberFormat="1" applyFont="1" applyFill="1" applyBorder="1" applyAlignment="1">
      <alignment horizontal="center" wrapText="1"/>
    </xf>
    <xf numFmtId="0" fontId="26" fillId="8" borderId="2" xfId="60" applyFont="1" applyFill="1" applyBorder="1" applyAlignment="1">
      <alignment horizontal="center" wrapText="1"/>
    </xf>
    <xf numFmtId="0" fontId="26" fillId="8" borderId="2" xfId="60" applyFont="1" applyFill="1" applyBorder="1" applyAlignment="1">
      <alignment horizontal="center" vertical="top" wrapText="1"/>
    </xf>
    <xf numFmtId="0" fontId="26" fillId="8" borderId="7" xfId="60" applyFont="1" applyFill="1" applyBorder="1" applyAlignment="1">
      <alignment vertical="top" wrapText="1"/>
    </xf>
    <xf numFmtId="0" fontId="26" fillId="8" borderId="2" xfId="60" applyNumberFormat="1" applyFont="1" applyFill="1" applyBorder="1" applyAlignment="1">
      <alignment horizontal="center" vertical="top" wrapText="1"/>
    </xf>
    <xf numFmtId="0" fontId="26" fillId="2" borderId="2" xfId="60" applyFont="1" applyFill="1" applyBorder="1" applyAlignment="1">
      <alignment horizontal="center" vertical="center" wrapText="1"/>
    </xf>
    <xf numFmtId="166" fontId="26" fillId="0" borderId="33" xfId="71" applyFont="1" applyBorder="1" applyAlignment="1">
      <alignment vertical="center" wrapText="1"/>
    </xf>
    <xf numFmtId="167" fontId="25" fillId="0" borderId="0" xfId="35" applyFont="1" applyAlignment="1">
      <alignment wrapText="1"/>
    </xf>
    <xf numFmtId="43" fontId="28" fillId="0" borderId="64" xfId="241" applyFont="1" applyBorder="1" applyAlignment="1">
      <alignment horizontal="center"/>
    </xf>
    <xf numFmtId="43" fontId="28" fillId="0" borderId="2" xfId="241" applyFont="1" applyBorder="1" applyAlignment="1">
      <alignment horizontal="center"/>
    </xf>
    <xf numFmtId="0" fontId="30" fillId="0" borderId="0" xfId="243" applyFont="1"/>
    <xf numFmtId="0" fontId="31" fillId="0" borderId="0" xfId="244" applyFont="1" applyAlignment="1">
      <alignment horizontal="left" vertical="center"/>
    </xf>
    <xf numFmtId="0" fontId="30" fillId="0" borderId="0" xfId="243" applyFont="1" applyAlignment="1">
      <alignment horizontal="center"/>
    </xf>
    <xf numFmtId="0" fontId="30" fillId="0" borderId="0" xfId="243" applyFont="1" applyAlignment="1">
      <alignment horizontal="right"/>
    </xf>
    <xf numFmtId="0" fontId="31" fillId="0" borderId="0" xfId="244" applyFont="1" applyAlignment="1">
      <alignment vertical="center"/>
    </xf>
    <xf numFmtId="0" fontId="33" fillId="8" borderId="0" xfId="243" applyFont="1" applyFill="1" applyBorder="1" applyAlignment="1">
      <alignment vertical="center" wrapText="1"/>
    </xf>
    <xf numFmtId="0" fontId="33" fillId="8" borderId="0" xfId="243" applyFont="1" applyFill="1" applyBorder="1" applyAlignment="1">
      <alignment horizontal="center" vertical="center" wrapText="1"/>
    </xf>
    <xf numFmtId="0" fontId="33" fillId="10" borderId="0" xfId="243" applyFont="1" applyFill="1" applyBorder="1" applyAlignment="1">
      <alignment vertical="center" wrapText="1"/>
    </xf>
    <xf numFmtId="0" fontId="30" fillId="2" borderId="15" xfId="243" applyFont="1" applyFill="1" applyBorder="1" applyAlignment="1"/>
    <xf numFmtId="0" fontId="32" fillId="0" borderId="0" xfId="243" applyFont="1" applyBorder="1" applyAlignment="1"/>
    <xf numFmtId="0" fontId="30" fillId="0" borderId="0" xfId="243" applyFont="1" applyBorder="1" applyAlignment="1"/>
    <xf numFmtId="0" fontId="33" fillId="10" borderId="2" xfId="243" applyFont="1" applyFill="1" applyBorder="1" applyAlignment="1">
      <alignment horizontal="center" vertical="center"/>
    </xf>
    <xf numFmtId="0" fontId="33" fillId="10" borderId="2" xfId="243" applyFont="1" applyFill="1" applyBorder="1" applyAlignment="1">
      <alignment horizontal="center" vertical="center" wrapText="1"/>
    </xf>
    <xf numFmtId="0" fontId="33" fillId="10" borderId="2" xfId="243" applyFont="1" applyFill="1" applyBorder="1" applyAlignment="1">
      <alignment horizontal="right" vertical="center" wrapText="1"/>
    </xf>
    <xf numFmtId="0" fontId="34" fillId="0" borderId="2" xfId="243" applyFont="1" applyBorder="1" applyAlignment="1">
      <alignment horizontal="center" vertical="center"/>
    </xf>
    <xf numFmtId="0" fontId="34" fillId="0" borderId="2" xfId="243" applyFont="1" applyBorder="1" applyAlignment="1">
      <alignment vertical="center" wrapText="1"/>
    </xf>
    <xf numFmtId="0" fontId="34" fillId="8" borderId="2" xfId="243" applyFont="1" applyFill="1" applyBorder="1" applyAlignment="1">
      <alignment horizontal="center" vertical="center" wrapText="1"/>
    </xf>
    <xf numFmtId="44" fontId="34" fillId="0" borderId="2" xfId="245" applyFont="1" applyBorder="1" applyAlignment="1">
      <alignment horizontal="center" vertical="center" wrapText="1"/>
    </xf>
    <xf numFmtId="8" fontId="34" fillId="0" borderId="2" xfId="243" applyNumberFormat="1" applyFont="1" applyBorder="1" applyAlignment="1">
      <alignment horizontal="center" vertical="center" wrapText="1"/>
    </xf>
    <xf numFmtId="44" fontId="30" fillId="0" borderId="2" xfId="243" applyNumberFormat="1" applyFont="1" applyBorder="1" applyAlignment="1">
      <alignment horizontal="center"/>
    </xf>
    <xf numFmtId="44" fontId="30" fillId="0" borderId="2" xfId="243" applyNumberFormat="1" applyFont="1" applyBorder="1"/>
    <xf numFmtId="0" fontId="34" fillId="0" borderId="2" xfId="243" applyFont="1" applyBorder="1" applyAlignment="1">
      <alignment horizontal="center" vertical="center" wrapText="1"/>
    </xf>
    <xf numFmtId="44" fontId="34" fillId="0" borderId="2" xfId="245" applyFont="1" applyBorder="1" applyAlignment="1">
      <alignment horizontal="right" vertical="center" wrapText="1"/>
    </xf>
    <xf numFmtId="0" fontId="30" fillId="0" borderId="2" xfId="243" applyFont="1" applyBorder="1" applyAlignment="1">
      <alignment horizontal="center"/>
    </xf>
    <xf numFmtId="0" fontId="30" fillId="11" borderId="0" xfId="243" applyFont="1" applyFill="1"/>
    <xf numFmtId="8" fontId="30" fillId="0" borderId="0" xfId="243" applyNumberFormat="1" applyFont="1"/>
    <xf numFmtId="44" fontId="30" fillId="0" borderId="0" xfId="243" applyNumberFormat="1" applyFont="1"/>
    <xf numFmtId="0" fontId="30" fillId="8" borderId="0" xfId="243" applyFont="1" applyFill="1"/>
    <xf numFmtId="0" fontId="34" fillId="9" borderId="2" xfId="243" applyFont="1" applyFill="1" applyBorder="1" applyAlignment="1">
      <alignment horizontal="center" vertical="center" wrapText="1"/>
    </xf>
    <xf numFmtId="44" fontId="34" fillId="8" borderId="2" xfId="245" applyFont="1" applyFill="1" applyBorder="1" applyAlignment="1">
      <alignment horizontal="right" vertical="center" wrapText="1"/>
    </xf>
    <xf numFmtId="0" fontId="33" fillId="12" borderId="2" xfId="243" applyFont="1" applyFill="1" applyBorder="1" applyAlignment="1">
      <alignment horizontal="center" vertical="center"/>
    </xf>
    <xf numFmtId="8" fontId="33" fillId="12" borderId="2" xfId="243" applyNumberFormat="1" applyFont="1" applyFill="1" applyBorder="1" applyAlignment="1">
      <alignment horizontal="center" vertical="center"/>
    </xf>
    <xf numFmtId="43" fontId="33" fillId="12" borderId="2" xfId="243" applyNumberFormat="1" applyFont="1" applyFill="1" applyBorder="1" applyAlignment="1">
      <alignment horizontal="center" vertical="center" wrapText="1"/>
    </xf>
    <xf numFmtId="8" fontId="33" fillId="12" borderId="2" xfId="243" applyNumberFormat="1" applyFont="1" applyFill="1" applyBorder="1" applyAlignment="1">
      <alignment horizontal="center" vertical="center" wrapText="1"/>
    </xf>
    <xf numFmtId="44" fontId="33" fillId="12" borderId="2" xfId="243" applyNumberFormat="1" applyFont="1" applyFill="1" applyBorder="1" applyAlignment="1">
      <alignment horizontal="center" vertical="center" wrapText="1"/>
    </xf>
    <xf numFmtId="43" fontId="33" fillId="12" borderId="2" xfId="243" applyNumberFormat="1" applyFont="1" applyFill="1" applyBorder="1" applyAlignment="1">
      <alignment horizontal="right" vertical="center" wrapText="1"/>
    </xf>
    <xf numFmtId="44" fontId="30" fillId="0" borderId="0" xfId="243" applyNumberFormat="1" applyFont="1" applyBorder="1" applyAlignment="1"/>
    <xf numFmtId="0" fontId="30" fillId="0" borderId="0" xfId="243" applyFont="1" applyBorder="1" applyAlignment="1">
      <alignment horizontal="right"/>
    </xf>
    <xf numFmtId="0" fontId="34" fillId="0" borderId="2" xfId="243" applyFont="1" applyBorder="1" applyAlignment="1">
      <alignment horizontal="left" vertical="center" wrapText="1"/>
    </xf>
    <xf numFmtId="0" fontId="30" fillId="0" borderId="2" xfId="243" applyFont="1" applyBorder="1"/>
    <xf numFmtId="8" fontId="34" fillId="8" borderId="2" xfId="243" applyNumberFormat="1" applyFont="1" applyFill="1" applyBorder="1" applyAlignment="1">
      <alignment horizontal="center" vertical="center" wrapText="1"/>
    </xf>
    <xf numFmtId="0" fontId="34" fillId="8" borderId="2" xfId="243" applyFont="1" applyFill="1" applyBorder="1" applyAlignment="1">
      <alignment horizontal="center" vertical="center"/>
    </xf>
    <xf numFmtId="0" fontId="34" fillId="8" borderId="2" xfId="243" applyFont="1" applyFill="1" applyBorder="1" applyAlignment="1">
      <alignment horizontal="left" vertical="center" wrapText="1"/>
    </xf>
    <xf numFmtId="0" fontId="34" fillId="2" borderId="2" xfId="243" applyFont="1" applyFill="1" applyBorder="1" applyAlignment="1">
      <alignment horizontal="center" vertical="center" wrapText="1"/>
    </xf>
    <xf numFmtId="0" fontId="30" fillId="2" borderId="2" xfId="243" applyFont="1" applyFill="1" applyBorder="1"/>
    <xf numFmtId="44" fontId="34" fillId="9" borderId="2" xfId="245" applyFont="1" applyFill="1" applyBorder="1" applyAlignment="1">
      <alignment horizontal="center" vertical="center" wrapText="1"/>
    </xf>
    <xf numFmtId="8" fontId="34" fillId="9" borderId="2" xfId="243" applyNumberFormat="1" applyFont="1" applyFill="1" applyBorder="1" applyAlignment="1">
      <alignment horizontal="center" vertical="center" wrapText="1"/>
    </xf>
    <xf numFmtId="0" fontId="30" fillId="8" borderId="2" xfId="243" applyFont="1" applyFill="1" applyBorder="1" applyAlignment="1">
      <alignment horizontal="center"/>
    </xf>
    <xf numFmtId="0" fontId="30" fillId="8" borderId="8" xfId="243" applyFont="1" applyFill="1" applyBorder="1" applyAlignment="1">
      <alignment horizontal="center"/>
    </xf>
    <xf numFmtId="44" fontId="34" fillId="8" borderId="8" xfId="245" applyFont="1" applyFill="1" applyBorder="1" applyAlignment="1">
      <alignment horizontal="center" vertical="center" wrapText="1"/>
    </xf>
    <xf numFmtId="44" fontId="30" fillId="8" borderId="2" xfId="243" applyNumberFormat="1" applyFont="1" applyFill="1" applyBorder="1"/>
    <xf numFmtId="44" fontId="34" fillId="8" borderId="8" xfId="245" applyFont="1" applyFill="1" applyBorder="1" applyAlignment="1">
      <alignment horizontal="right" vertical="center" wrapText="1"/>
    </xf>
    <xf numFmtId="44" fontId="34" fillId="8" borderId="2" xfId="245" applyFont="1" applyFill="1" applyBorder="1" applyAlignment="1">
      <alignment horizontal="center" vertical="center" wrapText="1"/>
    </xf>
    <xf numFmtId="44" fontId="30" fillId="0" borderId="0" xfId="243" applyNumberFormat="1" applyFont="1" applyBorder="1" applyAlignment="1">
      <alignment horizontal="right"/>
    </xf>
    <xf numFmtId="0" fontId="35" fillId="8" borderId="5" xfId="243" applyFont="1" applyFill="1" applyBorder="1" applyAlignment="1">
      <alignment horizontal="center" vertical="center"/>
    </xf>
    <xf numFmtId="0" fontId="35" fillId="8" borderId="5" xfId="243" applyFont="1" applyFill="1" applyBorder="1" applyAlignment="1">
      <alignment horizontal="left" vertical="center" wrapText="1"/>
    </xf>
    <xf numFmtId="0" fontId="35" fillId="8" borderId="5" xfId="243" applyFont="1" applyFill="1" applyBorder="1" applyAlignment="1">
      <alignment horizontal="center" vertical="center" wrapText="1"/>
    </xf>
    <xf numFmtId="44" fontId="35" fillId="8" borderId="5" xfId="245" applyFont="1" applyFill="1" applyBorder="1" applyAlignment="1">
      <alignment horizontal="center" vertical="center" wrapText="1"/>
    </xf>
    <xf numFmtId="8" fontId="35" fillId="8" borderId="5" xfId="243" applyNumberFormat="1" applyFont="1" applyFill="1" applyBorder="1" applyAlignment="1">
      <alignment horizontal="center" vertical="center" wrapText="1"/>
    </xf>
    <xf numFmtId="0" fontId="35" fillId="8" borderId="5" xfId="243" applyFont="1" applyFill="1" applyBorder="1" applyAlignment="1">
      <alignment horizontal="center"/>
    </xf>
    <xf numFmtId="44" fontId="35" fillId="8" borderId="5" xfId="243" applyNumberFormat="1" applyFont="1" applyFill="1" applyBorder="1"/>
    <xf numFmtId="0" fontId="35" fillId="8" borderId="5" xfId="243" applyFont="1" applyFill="1" applyBorder="1"/>
    <xf numFmtId="0" fontId="35" fillId="8" borderId="0" xfId="243" applyFont="1" applyFill="1"/>
    <xf numFmtId="44" fontId="35" fillId="8" borderId="5" xfId="245" applyFont="1" applyFill="1" applyBorder="1" applyAlignment="1">
      <alignment horizontal="right" vertical="center" wrapText="1"/>
    </xf>
    <xf numFmtId="0" fontId="35" fillId="8" borderId="2" xfId="243" applyFont="1" applyFill="1" applyBorder="1" applyAlignment="1">
      <alignment horizontal="center" vertical="center"/>
    </xf>
    <xf numFmtId="0" fontId="35" fillId="8" borderId="2" xfId="243" applyFont="1" applyFill="1" applyBorder="1" applyAlignment="1">
      <alignment vertical="center" wrapText="1"/>
    </xf>
    <xf numFmtId="0" fontId="35" fillId="8" borderId="2" xfId="243" applyFont="1" applyFill="1" applyBorder="1" applyAlignment="1">
      <alignment horizontal="center" vertical="center" wrapText="1"/>
    </xf>
    <xf numFmtId="44" fontId="35" fillId="8" borderId="2" xfId="245" applyFont="1" applyFill="1" applyBorder="1" applyAlignment="1">
      <alignment horizontal="center" vertical="center" wrapText="1"/>
    </xf>
    <xf numFmtId="8" fontId="35" fillId="8" borderId="2" xfId="243" applyNumberFormat="1" applyFont="1" applyFill="1" applyBorder="1" applyAlignment="1">
      <alignment horizontal="center" vertical="center" wrapText="1"/>
    </xf>
    <xf numFmtId="0" fontId="35" fillId="8" borderId="2" xfId="243" applyFont="1" applyFill="1" applyBorder="1" applyAlignment="1">
      <alignment horizontal="center"/>
    </xf>
    <xf numFmtId="44" fontId="35" fillId="8" borderId="2" xfId="243" applyNumberFormat="1" applyFont="1" applyFill="1" applyBorder="1"/>
    <xf numFmtId="0" fontId="35" fillId="8" borderId="2" xfId="243" applyFont="1" applyFill="1" applyBorder="1"/>
    <xf numFmtId="44" fontId="35" fillId="8" borderId="2" xfId="245" applyFont="1" applyFill="1" applyBorder="1" applyAlignment="1">
      <alignment horizontal="right" vertical="center" wrapText="1"/>
    </xf>
    <xf numFmtId="0" fontId="35" fillId="11" borderId="2" xfId="243" applyFont="1" applyFill="1" applyBorder="1" applyAlignment="1">
      <alignment horizontal="center" vertical="center" wrapText="1"/>
    </xf>
    <xf numFmtId="44" fontId="35" fillId="11" borderId="2" xfId="245" applyFont="1" applyFill="1" applyBorder="1" applyAlignment="1">
      <alignment horizontal="right" vertical="center" wrapText="1"/>
    </xf>
    <xf numFmtId="8" fontId="35" fillId="11" borderId="5" xfId="243" applyNumberFormat="1" applyFont="1" applyFill="1" applyBorder="1" applyAlignment="1">
      <alignment horizontal="center" vertical="center" wrapText="1"/>
    </xf>
    <xf numFmtId="0" fontId="34" fillId="11" borderId="2" xfId="243" applyFont="1" applyFill="1" applyBorder="1" applyAlignment="1">
      <alignment horizontal="center" vertical="center" wrapText="1"/>
    </xf>
    <xf numFmtId="44" fontId="34" fillId="11" borderId="2" xfId="245" applyFont="1" applyFill="1" applyBorder="1" applyAlignment="1">
      <alignment horizontal="right" vertical="center" wrapText="1"/>
    </xf>
    <xf numFmtId="8" fontId="34" fillId="11" borderId="2" xfId="243" applyNumberFormat="1" applyFont="1" applyFill="1" applyBorder="1" applyAlignment="1">
      <alignment horizontal="center" vertical="center" wrapText="1"/>
    </xf>
    <xf numFmtId="0" fontId="34" fillId="0" borderId="2" xfId="243" applyFont="1" applyFill="1" applyBorder="1" applyAlignment="1">
      <alignment horizontal="center" vertical="center" wrapText="1"/>
    </xf>
    <xf numFmtId="44" fontId="30" fillId="0" borderId="0" xfId="243" applyNumberFormat="1" applyFont="1" applyBorder="1"/>
    <xf numFmtId="0" fontId="30" fillId="0" borderId="0" xfId="243" applyFont="1" applyBorder="1"/>
    <xf numFmtId="0" fontId="32" fillId="0" borderId="0" xfId="243" applyFont="1"/>
    <xf numFmtId="0" fontId="30" fillId="2" borderId="15" xfId="243" applyFont="1" applyFill="1" applyBorder="1" applyAlignment="1">
      <alignment horizontal="center"/>
    </xf>
    <xf numFmtId="0" fontId="34" fillId="0" borderId="2" xfId="243" applyFont="1" applyFill="1" applyBorder="1" applyAlignment="1">
      <alignment horizontal="left" wrapText="1"/>
    </xf>
    <xf numFmtId="0" fontId="34" fillId="0" borderId="2" xfId="243" applyFont="1" applyFill="1" applyBorder="1" applyAlignment="1">
      <alignment horizontal="center" wrapText="1"/>
    </xf>
    <xf numFmtId="44" fontId="34" fillId="0" borderId="2" xfId="245" applyFont="1" applyFill="1" applyBorder="1" applyAlignment="1">
      <alignment horizontal="left" wrapText="1"/>
    </xf>
    <xf numFmtId="44" fontId="34" fillId="0" borderId="2" xfId="245" applyFont="1" applyFill="1" applyBorder="1" applyAlignment="1">
      <alignment horizontal="right" wrapText="1"/>
    </xf>
    <xf numFmtId="0" fontId="34" fillId="11" borderId="2" xfId="243" applyFont="1" applyFill="1" applyBorder="1" applyAlignment="1">
      <alignment horizontal="center" wrapText="1"/>
    </xf>
    <xf numFmtId="44" fontId="34" fillId="11" borderId="2" xfId="245" applyFont="1" applyFill="1" applyBorder="1" applyAlignment="1">
      <alignment horizontal="right" wrapText="1"/>
    </xf>
    <xf numFmtId="44" fontId="34" fillId="11" borderId="2" xfId="245" applyFont="1" applyFill="1" applyBorder="1" applyAlignment="1">
      <alignment horizontal="left" wrapText="1"/>
    </xf>
    <xf numFmtId="0" fontId="34" fillId="8" borderId="2" xfId="243" applyFont="1" applyFill="1" applyBorder="1" applyAlignment="1">
      <alignment horizontal="center" wrapText="1"/>
    </xf>
    <xf numFmtId="44" fontId="34" fillId="8" borderId="2" xfId="245" applyFont="1" applyFill="1" applyBorder="1" applyAlignment="1">
      <alignment horizontal="right" wrapText="1"/>
    </xf>
    <xf numFmtId="44" fontId="34" fillId="8" borderId="2" xfId="245" applyFont="1" applyFill="1" applyBorder="1" applyAlignment="1">
      <alignment horizontal="left" wrapText="1"/>
    </xf>
    <xf numFmtId="44" fontId="33" fillId="12" borderId="2" xfId="243" applyNumberFormat="1" applyFont="1" applyFill="1" applyBorder="1" applyAlignment="1">
      <alignment horizontal="center" vertical="center"/>
    </xf>
    <xf numFmtId="0" fontId="34" fillId="0" borderId="2" xfId="243" applyFont="1" applyFill="1" applyBorder="1" applyAlignment="1">
      <alignment horizontal="center" vertical="center"/>
    </xf>
    <xf numFmtId="8" fontId="34" fillId="0" borderId="0" xfId="243" applyNumberFormat="1" applyFont="1" applyFill="1" applyBorder="1" applyAlignment="1">
      <alignment horizontal="center" vertical="center" wrapText="1"/>
    </xf>
    <xf numFmtId="0" fontId="33" fillId="10" borderId="69" xfId="243" applyFont="1" applyFill="1" applyBorder="1" applyAlignment="1">
      <alignment horizontal="center" vertical="center" wrapText="1"/>
    </xf>
    <xf numFmtId="0" fontId="33" fillId="10" borderId="70" xfId="243" applyFont="1" applyFill="1" applyBorder="1" applyAlignment="1">
      <alignment horizontal="center" vertical="center" wrapText="1"/>
    </xf>
    <xf numFmtId="0" fontId="33" fillId="0" borderId="2" xfId="243" applyFont="1" applyFill="1" applyBorder="1" applyAlignment="1">
      <alignment horizontal="center" vertical="center" wrapText="1"/>
    </xf>
    <xf numFmtId="0" fontId="34" fillId="0" borderId="71" xfId="243" applyFont="1" applyFill="1" applyBorder="1" applyAlignment="1">
      <alignment horizontal="center" wrapText="1"/>
    </xf>
    <xf numFmtId="44" fontId="34" fillId="0" borderId="72" xfId="245" applyFont="1" applyFill="1" applyBorder="1" applyAlignment="1">
      <alignment horizontal="left" wrapText="1"/>
    </xf>
    <xf numFmtId="0" fontId="34" fillId="0" borderId="72" xfId="243" applyFont="1" applyFill="1" applyBorder="1" applyAlignment="1">
      <alignment horizontal="center" wrapText="1"/>
    </xf>
    <xf numFmtId="0" fontId="34" fillId="0" borderId="71" xfId="243" applyFont="1" applyBorder="1" applyAlignment="1">
      <alignment horizontal="center" vertical="center" wrapText="1"/>
    </xf>
    <xf numFmtId="44" fontId="34" fillId="0" borderId="72" xfId="245" applyFont="1" applyBorder="1" applyAlignment="1">
      <alignment horizontal="center" vertical="center" wrapText="1"/>
    </xf>
    <xf numFmtId="0" fontId="34" fillId="0" borderId="72" xfId="243" applyFont="1" applyBorder="1" applyAlignment="1">
      <alignment horizontal="center" vertical="center" wrapText="1"/>
    </xf>
    <xf numFmtId="0" fontId="33" fillId="12" borderId="69" xfId="243" applyFont="1" applyFill="1" applyBorder="1" applyAlignment="1">
      <alignment horizontal="center" vertical="center"/>
    </xf>
    <xf numFmtId="43" fontId="33" fillId="12" borderId="72" xfId="243" applyNumberFormat="1" applyFont="1" applyFill="1" applyBorder="1" applyAlignment="1">
      <alignment horizontal="center" vertical="center" wrapText="1"/>
    </xf>
    <xf numFmtId="44" fontId="33" fillId="12" borderId="72" xfId="243" applyNumberFormat="1" applyFont="1" applyFill="1" applyBorder="1" applyAlignment="1">
      <alignment horizontal="center" vertical="center" wrapText="1"/>
    </xf>
    <xf numFmtId="0" fontId="33" fillId="12" borderId="70" xfId="243" applyFont="1" applyFill="1" applyBorder="1" applyAlignment="1">
      <alignment horizontal="center" vertical="center"/>
    </xf>
    <xf numFmtId="9" fontId="30" fillId="0" borderId="0" xfId="246" applyFont="1"/>
    <xf numFmtId="0" fontId="33" fillId="12" borderId="7" xfId="243" applyFont="1" applyFill="1" applyBorder="1" applyAlignment="1">
      <alignment vertical="center"/>
    </xf>
    <xf numFmtId="0" fontId="33" fillId="12" borderId="8" xfId="243" applyFont="1" applyFill="1" applyBorder="1" applyAlignment="1">
      <alignment vertical="center"/>
    </xf>
    <xf numFmtId="44" fontId="34" fillId="0" borderId="2" xfId="245" applyFont="1" applyFill="1" applyBorder="1" applyAlignment="1">
      <alignment horizontal="center" vertical="center" wrapText="1"/>
    </xf>
    <xf numFmtId="44" fontId="34" fillId="0" borderId="2" xfId="245" applyFont="1" applyFill="1" applyBorder="1" applyAlignment="1">
      <alignment horizontal="right" vertical="center" wrapText="1"/>
    </xf>
    <xf numFmtId="0" fontId="34" fillId="8" borderId="2" xfId="243" applyFont="1" applyFill="1" applyBorder="1" applyAlignment="1">
      <alignment horizontal="left" wrapText="1"/>
    </xf>
    <xf numFmtId="44" fontId="30" fillId="8" borderId="2" xfId="243" applyNumberFormat="1" applyFont="1" applyFill="1" applyBorder="1" applyAlignment="1">
      <alignment horizontal="center"/>
    </xf>
    <xf numFmtId="0" fontId="30" fillId="8" borderId="2" xfId="243" applyFont="1" applyFill="1" applyBorder="1"/>
    <xf numFmtId="44" fontId="34" fillId="9" borderId="2" xfId="245" applyNumberFormat="1" applyFont="1" applyFill="1" applyBorder="1" applyAlignment="1">
      <alignment horizontal="left" wrapText="1"/>
    </xf>
    <xf numFmtId="44" fontId="34" fillId="9" borderId="2" xfId="245" applyFont="1" applyFill="1" applyBorder="1" applyAlignment="1">
      <alignment horizontal="left" wrapText="1"/>
    </xf>
    <xf numFmtId="0" fontId="33" fillId="12" borderId="3" xfId="243" applyFont="1" applyFill="1" applyBorder="1" applyAlignment="1">
      <alignment horizontal="center" vertical="center"/>
    </xf>
    <xf numFmtId="43" fontId="33" fillId="12" borderId="3" xfId="243" applyNumberFormat="1" applyFont="1" applyFill="1" applyBorder="1" applyAlignment="1">
      <alignment horizontal="center" vertical="center" wrapText="1"/>
    </xf>
    <xf numFmtId="44" fontId="33" fillId="12" borderId="3" xfId="243" applyNumberFormat="1" applyFont="1" applyFill="1" applyBorder="1" applyAlignment="1">
      <alignment horizontal="center" vertical="center" wrapText="1"/>
    </xf>
    <xf numFmtId="44" fontId="33" fillId="12" borderId="14" xfId="243" applyNumberFormat="1" applyFont="1" applyFill="1" applyBorder="1" applyAlignment="1">
      <alignment horizontal="center" vertical="center" wrapText="1"/>
    </xf>
    <xf numFmtId="8" fontId="33" fillId="12" borderId="3" xfId="243" applyNumberFormat="1" applyFont="1" applyFill="1" applyBorder="1" applyAlignment="1">
      <alignment horizontal="center" vertical="center" wrapText="1"/>
    </xf>
    <xf numFmtId="43" fontId="33" fillId="12" borderId="3" xfId="243" applyNumberFormat="1" applyFont="1" applyFill="1" applyBorder="1" applyAlignment="1">
      <alignment horizontal="right" vertical="center" wrapText="1"/>
    </xf>
    <xf numFmtId="7" fontId="33" fillId="12" borderId="2" xfId="243" applyNumberFormat="1" applyFont="1" applyFill="1" applyBorder="1" applyAlignment="1">
      <alignment horizontal="center" vertical="center" wrapText="1"/>
    </xf>
    <xf numFmtId="0" fontId="33" fillId="8" borderId="2" xfId="243" applyFont="1" applyFill="1" applyBorder="1" applyAlignment="1">
      <alignment horizontal="center" vertical="center"/>
    </xf>
    <xf numFmtId="43" fontId="33" fillId="8" borderId="2" xfId="243" applyNumberFormat="1" applyFont="1" applyFill="1" applyBorder="1" applyAlignment="1">
      <alignment horizontal="right" vertical="center" wrapText="1"/>
    </xf>
    <xf numFmtId="8" fontId="33" fillId="8" borderId="3" xfId="243" applyNumberFormat="1" applyFont="1" applyFill="1" applyBorder="1" applyAlignment="1">
      <alignment horizontal="center" vertical="center" wrapText="1"/>
    </xf>
    <xf numFmtId="0" fontId="33" fillId="7" borderId="2" xfId="243" applyFont="1" applyFill="1" applyBorder="1" applyAlignment="1">
      <alignment horizontal="center" vertical="center"/>
    </xf>
    <xf numFmtId="43" fontId="33" fillId="7" borderId="2" xfId="243" applyNumberFormat="1" applyFont="1" applyFill="1" applyBorder="1" applyAlignment="1">
      <alignment horizontal="right" vertical="center" wrapText="1"/>
    </xf>
    <xf numFmtId="8" fontId="33" fillId="7" borderId="3" xfId="243" applyNumberFormat="1" applyFont="1" applyFill="1" applyBorder="1" applyAlignment="1">
      <alignment horizontal="center" vertical="center" wrapText="1"/>
    </xf>
    <xf numFmtId="0" fontId="33" fillId="0" borderId="0" xfId="243" applyFont="1" applyFill="1" applyBorder="1" applyAlignment="1">
      <alignment vertical="center" wrapText="1"/>
    </xf>
    <xf numFmtId="0" fontId="34" fillId="9" borderId="2" xfId="243" applyFont="1" applyFill="1" applyBorder="1" applyAlignment="1">
      <alignment horizontal="center" wrapText="1"/>
    </xf>
    <xf numFmtId="43" fontId="30" fillId="0" borderId="0" xfId="243" applyNumberFormat="1" applyFont="1"/>
    <xf numFmtId="0" fontId="30" fillId="2" borderId="12" xfId="243" applyFont="1" applyFill="1" applyBorder="1" applyAlignment="1">
      <alignment horizontal="center"/>
    </xf>
    <xf numFmtId="44" fontId="34" fillId="9" borderId="2" xfId="245" applyFont="1" applyFill="1" applyBorder="1" applyAlignment="1">
      <alignment horizontal="right" wrapText="1"/>
    </xf>
    <xf numFmtId="44" fontId="34" fillId="9" borderId="2" xfId="245" applyFont="1" applyFill="1" applyBorder="1" applyAlignment="1">
      <alignment horizontal="right" vertical="center" wrapText="1"/>
    </xf>
    <xf numFmtId="0" fontId="33" fillId="0" borderId="0" xfId="243" applyFont="1" applyFill="1" applyBorder="1" applyAlignment="1">
      <alignment horizontal="center" vertical="center"/>
    </xf>
    <xf numFmtId="43" fontId="33" fillId="0" borderId="0" xfId="243" applyNumberFormat="1" applyFont="1" applyFill="1" applyBorder="1" applyAlignment="1">
      <alignment horizontal="center" vertical="center" wrapText="1"/>
    </xf>
    <xf numFmtId="43" fontId="30" fillId="0" borderId="0" xfId="243" applyNumberFormat="1" applyFont="1" applyFill="1"/>
    <xf numFmtId="0" fontId="30" fillId="0" borderId="0" xfId="243" applyFont="1" applyFill="1"/>
    <xf numFmtId="7" fontId="33" fillId="0" borderId="0" xfId="243" applyNumberFormat="1" applyFont="1" applyFill="1" applyBorder="1" applyAlignment="1">
      <alignment horizontal="center" vertical="center" wrapText="1"/>
    </xf>
    <xf numFmtId="8" fontId="33" fillId="0" borderId="0" xfId="243" applyNumberFormat="1" applyFont="1" applyFill="1" applyBorder="1" applyAlignment="1">
      <alignment horizontal="center" vertical="center" wrapText="1"/>
    </xf>
    <xf numFmtId="44" fontId="33" fillId="0" borderId="0" xfId="243" applyNumberFormat="1" applyFont="1" applyFill="1" applyBorder="1" applyAlignment="1">
      <alignment horizontal="center" vertical="center" wrapText="1"/>
    </xf>
    <xf numFmtId="43" fontId="33" fillId="0" borderId="0" xfId="243" applyNumberFormat="1" applyFont="1" applyFill="1" applyBorder="1" applyAlignment="1">
      <alignment horizontal="right" vertical="center" wrapText="1"/>
    </xf>
    <xf numFmtId="43" fontId="33" fillId="0" borderId="2" xfId="243" applyNumberFormat="1" applyFont="1" applyFill="1" applyBorder="1" applyAlignment="1">
      <alignment horizontal="center" vertical="center" wrapText="1"/>
    </xf>
    <xf numFmtId="0" fontId="30" fillId="0" borderId="2" xfId="243" applyFont="1" applyFill="1" applyBorder="1"/>
    <xf numFmtId="43" fontId="33" fillId="0" borderId="2" xfId="243" applyNumberFormat="1" applyFont="1" applyFill="1" applyBorder="1" applyAlignment="1">
      <alignment horizontal="right" vertical="center" wrapText="1"/>
    </xf>
    <xf numFmtId="0" fontId="34" fillId="9" borderId="2" xfId="243" applyFont="1" applyFill="1" applyBorder="1" applyAlignment="1">
      <alignment horizontal="center" vertical="center"/>
    </xf>
    <xf numFmtId="0" fontId="34" fillId="9" borderId="2" xfId="243" applyFont="1" applyFill="1" applyBorder="1" applyAlignment="1">
      <alignment vertical="center" wrapText="1"/>
    </xf>
    <xf numFmtId="0" fontId="33" fillId="9" borderId="2" xfId="243" applyFont="1" applyFill="1" applyBorder="1" applyAlignment="1">
      <alignment horizontal="center" vertical="center"/>
    </xf>
    <xf numFmtId="43" fontId="33" fillId="9" borderId="2" xfId="243" applyNumberFormat="1" applyFont="1" applyFill="1" applyBorder="1" applyAlignment="1">
      <alignment horizontal="center" vertical="center" wrapText="1"/>
    </xf>
    <xf numFmtId="43" fontId="30" fillId="9" borderId="2" xfId="243" applyNumberFormat="1" applyFont="1" applyFill="1" applyBorder="1"/>
    <xf numFmtId="0" fontId="30" fillId="9" borderId="2" xfId="243" applyFont="1" applyFill="1" applyBorder="1"/>
    <xf numFmtId="7" fontId="33" fillId="9" borderId="2" xfId="243" applyNumberFormat="1" applyFont="1" applyFill="1" applyBorder="1" applyAlignment="1">
      <alignment horizontal="center" vertical="center" wrapText="1"/>
    </xf>
    <xf numFmtId="8" fontId="33" fillId="9" borderId="2" xfId="243" applyNumberFormat="1" applyFont="1" applyFill="1" applyBorder="1" applyAlignment="1">
      <alignment horizontal="center" vertical="center" wrapText="1"/>
    </xf>
    <xf numFmtId="44" fontId="33" fillId="9" borderId="2" xfId="243" applyNumberFormat="1" applyFont="1" applyFill="1" applyBorder="1" applyAlignment="1">
      <alignment horizontal="center" vertical="center" wrapText="1"/>
    </xf>
    <xf numFmtId="43" fontId="33" fillId="9" borderId="2" xfId="243" applyNumberFormat="1" applyFont="1" applyFill="1" applyBorder="1" applyAlignment="1">
      <alignment horizontal="right" vertical="center" wrapText="1"/>
    </xf>
    <xf numFmtId="0" fontId="33" fillId="0" borderId="0" xfId="243" applyFont="1" applyFill="1" applyBorder="1" applyAlignment="1">
      <alignment horizontal="center" vertical="center" wrapText="1"/>
    </xf>
    <xf numFmtId="0" fontId="31" fillId="0" borderId="0" xfId="60" applyFont="1" applyAlignment="1"/>
    <xf numFmtId="0" fontId="30" fillId="8" borderId="15" xfId="243" applyFont="1" applyFill="1" applyBorder="1" applyAlignment="1"/>
    <xf numFmtId="0" fontId="34" fillId="0" borderId="0" xfId="243" applyFont="1" applyBorder="1" applyAlignment="1">
      <alignment horizontal="center" vertical="center"/>
    </xf>
    <xf numFmtId="0" fontId="34" fillId="0" borderId="0" xfId="243" applyFont="1" applyBorder="1" applyAlignment="1">
      <alignment vertical="center" wrapText="1"/>
    </xf>
    <xf numFmtId="0" fontId="34" fillId="2" borderId="0" xfId="243" applyFont="1" applyFill="1" applyBorder="1" applyAlignment="1">
      <alignment horizontal="center" vertical="center" wrapText="1"/>
    </xf>
    <xf numFmtId="44" fontId="34" fillId="0" borderId="15" xfId="245" applyFont="1" applyBorder="1" applyAlignment="1">
      <alignment horizontal="center" vertical="center" wrapText="1"/>
    </xf>
    <xf numFmtId="8" fontId="34" fillId="0" borderId="15" xfId="243" applyNumberFormat="1" applyFont="1" applyBorder="1" applyAlignment="1">
      <alignment horizontal="center" vertical="center" wrapText="1"/>
    </xf>
    <xf numFmtId="0" fontId="30" fillId="0" borderId="0" xfId="243" applyFont="1" applyBorder="1" applyAlignment="1">
      <alignment horizontal="center"/>
    </xf>
    <xf numFmtId="0" fontId="34" fillId="8" borderId="0" xfId="243" applyFont="1" applyFill="1" applyBorder="1" applyAlignment="1">
      <alignment horizontal="center" vertical="center" wrapText="1"/>
    </xf>
    <xf numFmtId="44" fontId="34" fillId="0" borderId="0" xfId="245" applyFont="1" applyBorder="1" applyAlignment="1">
      <alignment horizontal="center" vertical="center" wrapText="1"/>
    </xf>
    <xf numFmtId="8" fontId="34" fillId="0" borderId="0" xfId="243" applyNumberFormat="1" applyFont="1" applyBorder="1" applyAlignment="1">
      <alignment horizontal="center" vertical="center" wrapText="1"/>
    </xf>
    <xf numFmtId="44" fontId="34" fillId="0" borderId="0" xfId="245" applyFont="1" applyBorder="1" applyAlignment="1">
      <alignment horizontal="right" vertical="center" wrapText="1"/>
    </xf>
    <xf numFmtId="44" fontId="34" fillId="0" borderId="15" xfId="245" applyFont="1" applyBorder="1" applyAlignment="1">
      <alignment horizontal="right" vertical="center" wrapText="1"/>
    </xf>
    <xf numFmtId="0" fontId="33" fillId="12" borderId="2" xfId="243" applyFont="1" applyFill="1" applyBorder="1" applyAlignment="1">
      <alignment horizontal="center" vertical="center"/>
    </xf>
    <xf numFmtId="167" fontId="26" fillId="0" borderId="0" xfId="35" applyFont="1" applyAlignment="1">
      <alignment wrapText="1"/>
    </xf>
    <xf numFmtId="44" fontId="33" fillId="12" borderId="7" xfId="243" applyNumberFormat="1" applyFont="1" applyFill="1" applyBorder="1" applyAlignment="1">
      <alignment horizontal="center" vertical="center" wrapText="1"/>
    </xf>
    <xf numFmtId="0" fontId="33" fillId="10" borderId="7" xfId="243" applyFont="1" applyFill="1" applyBorder="1" applyAlignment="1">
      <alignment horizontal="center" vertical="center" wrapText="1"/>
    </xf>
    <xf numFmtId="0" fontId="30" fillId="0" borderId="0" xfId="243" applyFont="1" applyFill="1" applyBorder="1"/>
    <xf numFmtId="44" fontId="30" fillId="0" borderId="0" xfId="243" applyNumberFormat="1" applyFont="1" applyFill="1" applyBorder="1"/>
    <xf numFmtId="0" fontId="30" fillId="0" borderId="0" xfId="243" applyFont="1" applyAlignment="1"/>
    <xf numFmtId="0" fontId="33" fillId="10" borderId="2" xfId="243" applyFont="1" applyFill="1" applyBorder="1" applyAlignment="1">
      <alignment vertical="center" wrapText="1"/>
    </xf>
    <xf numFmtId="44" fontId="34" fillId="0" borderId="2" xfId="245" applyFont="1" applyBorder="1" applyAlignment="1">
      <alignment vertical="center" wrapText="1"/>
    </xf>
    <xf numFmtId="8" fontId="34" fillId="0" borderId="2" xfId="243" applyNumberFormat="1" applyFont="1" applyBorder="1" applyAlignment="1">
      <alignment vertical="center" wrapText="1"/>
    </xf>
    <xf numFmtId="44" fontId="33" fillId="12" borderId="2" xfId="243" applyNumberFormat="1" applyFont="1" applyFill="1" applyBorder="1" applyAlignment="1">
      <alignment vertical="center" wrapText="1"/>
    </xf>
    <xf numFmtId="8" fontId="34" fillId="8" borderId="2" xfId="243" applyNumberFormat="1" applyFont="1" applyFill="1" applyBorder="1" applyAlignment="1">
      <alignment vertical="center" wrapText="1"/>
    </xf>
    <xf numFmtId="8" fontId="35" fillId="8" borderId="5" xfId="243" applyNumberFormat="1" applyFont="1" applyFill="1" applyBorder="1" applyAlignment="1">
      <alignment vertical="center" wrapText="1"/>
    </xf>
    <xf numFmtId="8" fontId="34" fillId="0" borderId="0" xfId="243" applyNumberFormat="1" applyFont="1" applyBorder="1" applyAlignment="1">
      <alignment vertical="center" wrapText="1"/>
    </xf>
    <xf numFmtId="8" fontId="33" fillId="12" borderId="2" xfId="243" applyNumberFormat="1" applyFont="1" applyFill="1" applyBorder="1" applyAlignment="1">
      <alignment vertical="center" wrapText="1"/>
    </xf>
    <xf numFmtId="43" fontId="33" fillId="12" borderId="2" xfId="243" applyNumberFormat="1" applyFont="1" applyFill="1" applyBorder="1" applyAlignment="1">
      <alignment vertical="center" wrapText="1"/>
    </xf>
    <xf numFmtId="8" fontId="33" fillId="12" borderId="3" xfId="243" applyNumberFormat="1" applyFont="1" applyFill="1" applyBorder="1" applyAlignment="1">
      <alignment vertical="center" wrapText="1"/>
    </xf>
    <xf numFmtId="8" fontId="33" fillId="7" borderId="3" xfId="243" applyNumberFormat="1" applyFont="1" applyFill="1" applyBorder="1" applyAlignment="1">
      <alignment vertical="center" wrapText="1"/>
    </xf>
    <xf numFmtId="8" fontId="33" fillId="0" borderId="0" xfId="243" applyNumberFormat="1" applyFont="1" applyFill="1" applyBorder="1" applyAlignment="1">
      <alignment vertical="center" wrapText="1"/>
    </xf>
    <xf numFmtId="8" fontId="33" fillId="9" borderId="2" xfId="243" applyNumberFormat="1" applyFont="1" applyFill="1" applyBorder="1" applyAlignment="1">
      <alignment vertical="center" wrapText="1"/>
    </xf>
    <xf numFmtId="44" fontId="34" fillId="8" borderId="2" xfId="243" applyNumberFormat="1" applyFont="1" applyFill="1" applyBorder="1" applyAlignment="1">
      <alignment vertical="center" wrapText="1"/>
    </xf>
    <xf numFmtId="0" fontId="33" fillId="12" borderId="2" xfId="243" applyFont="1" applyFill="1" applyBorder="1" applyAlignment="1">
      <alignment horizontal="center" vertical="center"/>
    </xf>
    <xf numFmtId="0" fontId="33" fillId="12" borderId="3" xfId="243" applyFont="1" applyFill="1" applyBorder="1" applyAlignment="1">
      <alignment horizontal="center" vertical="center"/>
    </xf>
    <xf numFmtId="0" fontId="30" fillId="13" borderId="0" xfId="243" applyFont="1" applyFill="1"/>
    <xf numFmtId="0" fontId="30" fillId="0" borderId="0" xfId="243" applyFont="1" applyFill="1" applyAlignment="1">
      <alignment horizontal="center"/>
    </xf>
    <xf numFmtId="0" fontId="33" fillId="0" borderId="71" xfId="243" applyFont="1" applyFill="1" applyBorder="1" applyAlignment="1">
      <alignment horizontal="center" vertical="center" wrapText="1"/>
    </xf>
    <xf numFmtId="0" fontId="33" fillId="0" borderId="72" xfId="243" applyFont="1" applyFill="1" applyBorder="1" applyAlignment="1">
      <alignment horizontal="center" vertical="center" wrapText="1"/>
    </xf>
    <xf numFmtId="0" fontId="33" fillId="0" borderId="2" xfId="243" applyFont="1" applyFill="1" applyBorder="1" applyAlignment="1">
      <alignment horizontal="right" vertical="center" wrapText="1"/>
    </xf>
    <xf numFmtId="0" fontId="30" fillId="14" borderId="0" xfId="243" applyFont="1" applyFill="1"/>
    <xf numFmtId="44" fontId="30" fillId="0" borderId="0" xfId="243" applyNumberFormat="1" applyFont="1" applyFill="1"/>
    <xf numFmtId="9" fontId="30" fillId="0" borderId="0" xfId="246" applyFont="1" applyFill="1"/>
    <xf numFmtId="8" fontId="30" fillId="0" borderId="0" xfId="243" applyNumberFormat="1" applyFont="1" applyFill="1"/>
    <xf numFmtId="0" fontId="33" fillId="8" borderId="2" xfId="243" applyFont="1" applyFill="1" applyBorder="1" applyAlignment="1">
      <alignment horizontal="center" vertical="center" wrapText="1"/>
    </xf>
    <xf numFmtId="0" fontId="32" fillId="8" borderId="2" xfId="243" applyFont="1" applyFill="1" applyBorder="1" applyAlignment="1">
      <alignment horizontal="center"/>
    </xf>
    <xf numFmtId="0" fontId="34" fillId="0" borderId="2" xfId="243" applyFont="1" applyFill="1" applyBorder="1" applyAlignment="1">
      <alignment vertical="center" wrapText="1"/>
    </xf>
    <xf numFmtId="8" fontId="34" fillId="0" borderId="2" xfId="243" applyNumberFormat="1" applyFont="1" applyFill="1" applyBorder="1" applyAlignment="1">
      <alignment horizontal="center" vertical="center" wrapText="1"/>
    </xf>
    <xf numFmtId="0" fontId="30" fillId="0" borderId="2" xfId="243" applyFont="1" applyFill="1" applyBorder="1" applyAlignment="1">
      <alignment horizontal="center"/>
    </xf>
    <xf numFmtId="44" fontId="30" fillId="0" borderId="2" xfId="243" applyNumberFormat="1" applyFont="1" applyFill="1" applyBorder="1"/>
    <xf numFmtId="8" fontId="34" fillId="0" borderId="2" xfId="243" applyNumberFormat="1" applyFont="1" applyFill="1" applyBorder="1" applyAlignment="1">
      <alignment vertical="center" wrapText="1"/>
    </xf>
    <xf numFmtId="0" fontId="34" fillId="0" borderId="2" xfId="243" applyFont="1" applyFill="1" applyBorder="1" applyAlignment="1">
      <alignment horizontal="left" vertical="center" wrapText="1"/>
    </xf>
    <xf numFmtId="0" fontId="30" fillId="0" borderId="8" xfId="243" applyFont="1" applyFill="1" applyBorder="1" applyAlignment="1">
      <alignment horizontal="center"/>
    </xf>
    <xf numFmtId="44" fontId="34" fillId="0" borderId="8" xfId="245" applyFont="1" applyFill="1" applyBorder="1" applyAlignment="1">
      <alignment horizontal="center" vertical="center" wrapText="1"/>
    </xf>
    <xf numFmtId="44" fontId="34" fillId="0" borderId="8" xfId="245" applyFont="1" applyFill="1" applyBorder="1" applyAlignment="1">
      <alignment horizontal="right" vertical="center" wrapText="1"/>
    </xf>
    <xf numFmtId="0" fontId="32" fillId="0" borderId="2" xfId="243" applyFont="1" applyFill="1" applyBorder="1" applyAlignment="1">
      <alignment horizontal="center"/>
    </xf>
    <xf numFmtId="0" fontId="31" fillId="8" borderId="5" xfId="243" applyFont="1" applyFill="1" applyBorder="1" applyAlignment="1">
      <alignment horizontal="center" vertical="center" wrapText="1"/>
    </xf>
    <xf numFmtId="0" fontId="33" fillId="0" borderId="2" xfId="243" applyFont="1" applyBorder="1" applyAlignment="1">
      <alignment horizontal="center" vertical="center" wrapText="1"/>
    </xf>
    <xf numFmtId="0" fontId="33" fillId="0" borderId="2" xfId="243" applyFont="1" applyFill="1" applyBorder="1" applyAlignment="1">
      <alignment horizontal="center" wrapText="1"/>
    </xf>
    <xf numFmtId="43" fontId="34" fillId="0" borderId="2" xfId="243" applyNumberFormat="1" applyFont="1" applyFill="1" applyBorder="1" applyAlignment="1">
      <alignment horizontal="right" vertical="center" wrapText="1"/>
    </xf>
    <xf numFmtId="43" fontId="34" fillId="0" borderId="2" xfId="243" applyNumberFormat="1" applyFont="1" applyFill="1" applyBorder="1" applyAlignment="1">
      <alignment vertical="center" wrapText="1"/>
    </xf>
    <xf numFmtId="0" fontId="34" fillId="15" borderId="2" xfId="243" applyFont="1" applyFill="1" applyBorder="1" applyAlignment="1">
      <alignment horizontal="center" vertical="center"/>
    </xf>
    <xf numFmtId="0" fontId="34" fillId="15" borderId="2" xfId="243" applyFont="1" applyFill="1" applyBorder="1" applyAlignment="1">
      <alignment horizontal="left" wrapText="1"/>
    </xf>
    <xf numFmtId="0" fontId="34" fillId="15" borderId="2" xfId="243" applyFont="1" applyFill="1" applyBorder="1" applyAlignment="1">
      <alignment horizontal="center" wrapText="1"/>
    </xf>
    <xf numFmtId="44" fontId="34" fillId="15" borderId="2" xfId="245" applyFont="1" applyFill="1" applyBorder="1" applyAlignment="1">
      <alignment horizontal="center" vertical="center" wrapText="1"/>
    </xf>
    <xf numFmtId="44" fontId="34" fillId="15" borderId="2" xfId="245" applyFont="1" applyFill="1" applyBorder="1" applyAlignment="1">
      <alignment horizontal="left" wrapText="1"/>
    </xf>
    <xf numFmtId="0" fontId="30" fillId="15" borderId="0" xfId="243" applyFont="1" applyFill="1" applyAlignment="1">
      <alignment horizontal="center"/>
    </xf>
    <xf numFmtId="44" fontId="30" fillId="15" borderId="2" xfId="243" applyNumberFormat="1" applyFont="1" applyFill="1" applyBorder="1"/>
    <xf numFmtId="0" fontId="30" fillId="15" borderId="2" xfId="243" applyFont="1" applyFill="1" applyBorder="1"/>
    <xf numFmtId="0" fontId="30" fillId="15" borderId="0" xfId="243" applyFont="1" applyFill="1"/>
    <xf numFmtId="8" fontId="34" fillId="15" borderId="2" xfId="243" applyNumberFormat="1" applyFont="1" applyFill="1" applyBorder="1" applyAlignment="1">
      <alignment horizontal="center" vertical="center" wrapText="1"/>
    </xf>
    <xf numFmtId="44" fontId="34" fillId="15" borderId="2" xfId="245" applyFont="1" applyFill="1" applyBorder="1" applyAlignment="1">
      <alignment horizontal="right" vertical="center" wrapText="1"/>
    </xf>
    <xf numFmtId="8" fontId="34" fillId="15" borderId="2" xfId="243" applyNumberFormat="1" applyFont="1" applyFill="1" applyBorder="1" applyAlignment="1">
      <alignment vertical="center" wrapText="1"/>
    </xf>
    <xf numFmtId="0" fontId="33" fillId="8" borderId="2" xfId="243" applyFont="1" applyFill="1" applyBorder="1" applyAlignment="1">
      <alignment horizontal="center" wrapText="1"/>
    </xf>
    <xf numFmtId="44" fontId="34" fillId="15" borderId="2" xfId="245" applyFont="1" applyFill="1" applyBorder="1" applyAlignment="1">
      <alignment horizontal="right" wrapText="1"/>
    </xf>
    <xf numFmtId="44" fontId="34" fillId="15" borderId="2" xfId="243" applyNumberFormat="1" applyFont="1" applyFill="1" applyBorder="1" applyAlignment="1">
      <alignment vertical="center" wrapText="1"/>
    </xf>
    <xf numFmtId="0" fontId="34" fillId="15" borderId="71" xfId="243" applyFont="1" applyFill="1" applyBorder="1" applyAlignment="1">
      <alignment horizontal="center" wrapText="1"/>
    </xf>
    <xf numFmtId="44" fontId="34" fillId="15" borderId="72" xfId="245" applyFont="1" applyFill="1" applyBorder="1" applyAlignment="1">
      <alignment horizontal="left" wrapText="1"/>
    </xf>
    <xf numFmtId="0" fontId="34" fillId="15" borderId="72" xfId="243" applyFont="1" applyFill="1" applyBorder="1" applyAlignment="1">
      <alignment horizontal="center" wrapText="1"/>
    </xf>
    <xf numFmtId="43" fontId="30" fillId="15" borderId="2" xfId="243" applyNumberFormat="1" applyFont="1" applyFill="1" applyBorder="1"/>
    <xf numFmtId="43" fontId="34" fillId="15" borderId="2" xfId="243" applyNumberFormat="1" applyFont="1" applyFill="1" applyBorder="1" applyAlignment="1">
      <alignment horizontal="center" vertical="center" wrapText="1"/>
    </xf>
    <xf numFmtId="7" fontId="34" fillId="15" borderId="2" xfId="243" applyNumberFormat="1" applyFont="1" applyFill="1" applyBorder="1" applyAlignment="1">
      <alignment horizontal="center" vertical="center" wrapText="1"/>
    </xf>
    <xf numFmtId="44" fontId="34" fillId="15" borderId="2" xfId="243" applyNumberFormat="1" applyFont="1" applyFill="1" applyBorder="1" applyAlignment="1">
      <alignment horizontal="center" vertical="center" wrapText="1"/>
    </xf>
    <xf numFmtId="43" fontId="34" fillId="15" borderId="2" xfId="243" applyNumberFormat="1" applyFont="1" applyFill="1" applyBorder="1" applyAlignment="1">
      <alignment horizontal="right" vertical="center" wrapText="1"/>
    </xf>
    <xf numFmtId="0" fontId="34" fillId="15" borderId="2" xfId="243" applyFont="1" applyFill="1" applyBorder="1" applyAlignment="1">
      <alignment vertical="center" wrapText="1"/>
    </xf>
    <xf numFmtId="0" fontId="34" fillId="15" borderId="2" xfId="243" applyFont="1" applyFill="1" applyBorder="1" applyAlignment="1">
      <alignment horizontal="center" vertical="center" wrapText="1"/>
    </xf>
    <xf numFmtId="44" fontId="30" fillId="15" borderId="2" xfId="243" applyNumberFormat="1" applyFont="1" applyFill="1" applyBorder="1" applyAlignment="1">
      <alignment horizontal="center"/>
    </xf>
    <xf numFmtId="0" fontId="30" fillId="15" borderId="2" xfId="243" applyFont="1" applyFill="1" applyBorder="1" applyAlignment="1">
      <alignment horizontal="center"/>
    </xf>
    <xf numFmtId="0" fontId="34" fillId="15" borderId="2" xfId="243" applyFont="1" applyFill="1" applyBorder="1" applyAlignment="1">
      <alignment horizontal="left" vertical="center" wrapText="1"/>
    </xf>
    <xf numFmtId="44" fontId="34" fillId="15" borderId="2" xfId="245" applyFont="1" applyFill="1" applyBorder="1" applyAlignment="1">
      <alignment vertical="center" wrapText="1"/>
    </xf>
    <xf numFmtId="44" fontId="30" fillId="15" borderId="0" xfId="243" applyNumberFormat="1" applyFont="1" applyFill="1"/>
    <xf numFmtId="167" fontId="30" fillId="0" borderId="0" xfId="35" applyFont="1" applyFill="1" applyBorder="1"/>
    <xf numFmtId="43" fontId="30" fillId="0" borderId="0" xfId="243" applyNumberFormat="1" applyFont="1" applyFill="1" applyBorder="1"/>
    <xf numFmtId="167" fontId="30" fillId="0" borderId="0" xfId="35" applyFont="1" applyFill="1"/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2" fillId="3" borderId="2" xfId="0" applyFont="1" applyFill="1" applyBorder="1" applyAlignment="1">
      <alignment horizontal="center"/>
    </xf>
    <xf numFmtId="0" fontId="33" fillId="12" borderId="2" xfId="243" applyFont="1" applyFill="1" applyBorder="1" applyAlignment="1">
      <alignment horizontal="center" vertical="center"/>
    </xf>
    <xf numFmtId="0" fontId="30" fillId="2" borderId="12" xfId="243" applyFont="1" applyFill="1" applyBorder="1" applyAlignment="1">
      <alignment horizontal="center"/>
    </xf>
    <xf numFmtId="0" fontId="30" fillId="2" borderId="15" xfId="243" applyFont="1" applyFill="1" applyBorder="1" applyAlignment="1">
      <alignment horizontal="center"/>
    </xf>
    <xf numFmtId="7" fontId="32" fillId="7" borderId="0" xfId="243" applyNumberFormat="1" applyFont="1" applyFill="1" applyAlignment="1">
      <alignment horizontal="center"/>
    </xf>
    <xf numFmtId="0" fontId="33" fillId="12" borderId="3" xfId="243" applyFont="1" applyFill="1" applyBorder="1" applyAlignment="1">
      <alignment horizontal="center" vertical="center"/>
    </xf>
    <xf numFmtId="0" fontId="30" fillId="8" borderId="15" xfId="243" applyFont="1" applyFill="1" applyBorder="1" applyAlignment="1">
      <alignment horizontal="center"/>
    </xf>
    <xf numFmtId="0" fontId="30" fillId="8" borderId="12" xfId="243" applyFont="1" applyFill="1" applyBorder="1" applyAlignment="1">
      <alignment horizontal="center"/>
    </xf>
    <xf numFmtId="0" fontId="30" fillId="0" borderId="15" xfId="243" applyFont="1" applyFill="1" applyBorder="1" applyAlignment="1">
      <alignment horizontal="center"/>
    </xf>
    <xf numFmtId="0" fontId="32" fillId="0" borderId="0" xfId="243" applyFont="1" applyAlignment="1">
      <alignment horizontal="center"/>
    </xf>
    <xf numFmtId="0" fontId="33" fillId="10" borderId="0" xfId="243" applyFont="1" applyFill="1" applyBorder="1" applyAlignment="1">
      <alignment horizontal="center" vertical="center" wrapText="1"/>
    </xf>
    <xf numFmtId="0" fontId="26" fillId="0" borderId="0" xfId="60" applyFont="1" applyAlignment="1">
      <alignment horizontal="left" wrapText="1"/>
    </xf>
    <xf numFmtId="0" fontId="25" fillId="0" borderId="0" xfId="60" applyFont="1" applyAlignment="1">
      <alignment horizontal="left" wrapText="1"/>
    </xf>
    <xf numFmtId="0" fontId="25" fillId="7" borderId="23" xfId="60" applyFont="1" applyFill="1" applyBorder="1" applyAlignment="1">
      <alignment horizontal="left" vertical="top" wrapText="1"/>
    </xf>
    <xf numFmtId="0" fontId="25" fillId="6" borderId="22" xfId="60" applyFont="1" applyFill="1" applyBorder="1" applyAlignment="1">
      <alignment horizontal="center" vertical="top" wrapText="1"/>
    </xf>
    <xf numFmtId="0" fontId="25" fillId="6" borderId="39" xfId="60" applyFont="1" applyFill="1" applyBorder="1" applyAlignment="1">
      <alignment horizontal="center" vertical="top" wrapText="1"/>
    </xf>
    <xf numFmtId="0" fontId="25" fillId="6" borderId="22" xfId="60" applyFont="1" applyFill="1" applyBorder="1" applyAlignment="1">
      <alignment horizontal="left" vertical="top" wrapText="1"/>
    </xf>
    <xf numFmtId="0" fontId="25" fillId="6" borderId="23" xfId="60" applyFont="1" applyFill="1" applyBorder="1" applyAlignment="1">
      <alignment horizontal="left" vertical="top" wrapText="1"/>
    </xf>
    <xf numFmtId="0" fontId="25" fillId="6" borderId="39" xfId="60" applyFont="1" applyFill="1" applyBorder="1" applyAlignment="1">
      <alignment horizontal="left" vertical="top" wrapText="1"/>
    </xf>
    <xf numFmtId="0" fontId="25" fillId="6" borderId="22" xfId="60" applyFont="1" applyFill="1" applyBorder="1" applyAlignment="1">
      <alignment vertical="top" wrapText="1"/>
    </xf>
    <xf numFmtId="0" fontId="25" fillId="6" borderId="39" xfId="60" applyFont="1" applyFill="1" applyBorder="1" applyAlignment="1">
      <alignment vertical="top" wrapText="1"/>
    </xf>
    <xf numFmtId="0" fontId="26" fillId="0" borderId="30" xfId="60" applyFont="1" applyBorder="1" applyAlignment="1">
      <alignment horizontal="center" vertical="top" wrapText="1"/>
    </xf>
    <xf numFmtId="0" fontId="26" fillId="0" borderId="44" xfId="60" applyFont="1" applyBorder="1" applyAlignment="1">
      <alignment horizontal="center" vertical="top" wrapText="1"/>
    </xf>
    <xf numFmtId="0" fontId="26" fillId="0" borderId="0" xfId="60" applyFont="1" applyAlignment="1">
      <alignment horizontal="justify" wrapText="1"/>
    </xf>
    <xf numFmtId="0" fontId="26" fillId="0" borderId="31" xfId="60" applyFont="1" applyBorder="1" applyAlignment="1">
      <alignment horizontal="justify" wrapText="1"/>
    </xf>
    <xf numFmtId="0" fontId="26" fillId="0" borderId="32" xfId="60" applyFont="1" applyBorder="1" applyAlignment="1">
      <alignment horizontal="justify" wrapText="1"/>
    </xf>
    <xf numFmtId="0" fontId="26" fillId="0" borderId="35" xfId="60" applyFont="1" applyBorder="1" applyAlignment="1">
      <alignment horizontal="justify" wrapText="1"/>
    </xf>
    <xf numFmtId="0" fontId="26" fillId="0" borderId="36" xfId="60" applyFont="1" applyBorder="1" applyAlignment="1">
      <alignment horizontal="justify" wrapText="1"/>
    </xf>
    <xf numFmtId="0" fontId="26" fillId="0" borderId="7" xfId="60" applyFont="1" applyBorder="1" applyAlignment="1">
      <alignment horizontal="left" vertical="center" wrapText="1"/>
    </xf>
    <xf numFmtId="0" fontId="26" fillId="0" borderId="8" xfId="60" applyFont="1" applyBorder="1" applyAlignment="1">
      <alignment horizontal="left" vertical="center" wrapText="1"/>
    </xf>
    <xf numFmtId="0" fontId="26" fillId="0" borderId="7" xfId="60" applyFont="1" applyBorder="1" applyAlignment="1">
      <alignment horizontal="justify" wrapText="1"/>
    </xf>
    <xf numFmtId="0" fontId="26" fillId="0" borderId="8" xfId="60" applyFont="1" applyBorder="1" applyAlignment="1">
      <alignment horizontal="justify" wrapText="1"/>
    </xf>
    <xf numFmtId="0" fontId="25" fillId="0" borderId="0" xfId="60" applyFont="1" applyAlignment="1">
      <alignment horizontal="center" wrapText="1"/>
    </xf>
    <xf numFmtId="0" fontId="25" fillId="8" borderId="2" xfId="60" applyFont="1" applyFill="1" applyBorder="1" applyAlignment="1">
      <alignment horizontal="left" wrapText="1"/>
    </xf>
    <xf numFmtId="0" fontId="25" fillId="6" borderId="2" xfId="60" applyFont="1" applyFill="1" applyBorder="1" applyAlignment="1">
      <alignment horizontal="center" vertical="center" wrapText="1"/>
    </xf>
    <xf numFmtId="0" fontId="2" fillId="0" borderId="2" xfId="240" applyFont="1" applyBorder="1" applyAlignment="1">
      <alignment horizontal="center"/>
    </xf>
    <xf numFmtId="0" fontId="4" fillId="0" borderId="2" xfId="240" applyBorder="1" applyAlignment="1">
      <alignment horizontal="center"/>
    </xf>
    <xf numFmtId="0" fontId="28" fillId="0" borderId="0" xfId="240" applyFont="1" applyAlignment="1">
      <alignment horizontal="left"/>
    </xf>
    <xf numFmtId="0" fontId="28" fillId="0" borderId="61" xfId="240" applyFont="1" applyBorder="1" applyAlignment="1">
      <alignment horizontal="center"/>
    </xf>
    <xf numFmtId="0" fontId="28" fillId="0" borderId="62" xfId="240" applyFont="1" applyBorder="1" applyAlignment="1">
      <alignment horizontal="center"/>
    </xf>
    <xf numFmtId="0" fontId="28" fillId="0" borderId="68" xfId="240" applyFont="1" applyBorder="1" applyAlignment="1">
      <alignment horizontal="center"/>
    </xf>
    <xf numFmtId="0" fontId="28" fillId="0" borderId="5" xfId="240" applyFont="1" applyBorder="1" applyAlignment="1">
      <alignment horizontal="center"/>
    </xf>
    <xf numFmtId="0" fontId="28" fillId="0" borderId="0" xfId="240" applyFont="1" applyAlignment="1">
      <alignment horizontal="center"/>
    </xf>
    <xf numFmtId="0" fontId="28" fillId="0" borderId="56" xfId="240" applyFont="1" applyBorder="1" applyAlignment="1">
      <alignment horizontal="center"/>
    </xf>
    <xf numFmtId="0" fontId="28" fillId="0" borderId="57" xfId="240" applyFont="1" applyBorder="1" applyAlignment="1">
      <alignment horizontal="center"/>
    </xf>
    <xf numFmtId="0" fontId="28" fillId="0" borderId="58" xfId="240" applyFont="1" applyBorder="1" applyAlignment="1">
      <alignment horizontal="center"/>
    </xf>
    <xf numFmtId="0" fontId="28" fillId="0" borderId="61" xfId="240" applyFont="1" applyBorder="1" applyAlignment="1">
      <alignment horizontal="right"/>
    </xf>
    <xf numFmtId="0" fontId="28" fillId="0" borderId="62" xfId="240" applyFont="1" applyBorder="1" applyAlignment="1">
      <alignment horizontal="right"/>
    </xf>
    <xf numFmtId="0" fontId="28" fillId="9" borderId="61" xfId="240" applyFont="1" applyFill="1" applyBorder="1" applyAlignment="1">
      <alignment horizontal="center"/>
    </xf>
    <xf numFmtId="0" fontId="28" fillId="9" borderId="62" xfId="240" applyFont="1" applyFill="1" applyBorder="1" applyAlignment="1">
      <alignment horizontal="center"/>
    </xf>
    <xf numFmtId="0" fontId="3" fillId="0" borderId="0" xfId="240" applyFont="1" applyAlignment="1">
      <alignment horizontal="right"/>
    </xf>
    <xf numFmtId="0" fontId="4" fillId="0" borderId="0" xfId="240" applyAlignment="1">
      <alignment horizontal="right"/>
    </xf>
    <xf numFmtId="0" fontId="28" fillId="9" borderId="5" xfId="240" applyFont="1" applyFill="1" applyBorder="1" applyAlignment="1">
      <alignment horizontal="center"/>
    </xf>
    <xf numFmtId="0" fontId="28" fillId="8" borderId="0" xfId="240" applyFont="1" applyFill="1" applyBorder="1" applyAlignment="1">
      <alignment horizontal="center"/>
    </xf>
    <xf numFmtId="0" fontId="28" fillId="0" borderId="67" xfId="240" applyFont="1" applyBorder="1" applyAlignment="1">
      <alignment horizontal="center"/>
    </xf>
  </cellXfs>
  <cellStyles count="261">
    <cellStyle name="Euro" xfId="1"/>
    <cellStyle name="Euro 2" xfId="74"/>
    <cellStyle name="Euro 3" xfId="75"/>
    <cellStyle name="Euro 4" xfId="76"/>
    <cellStyle name="Excel Built-in Comma" xfId="247"/>
    <cellStyle name="Excel Built-in Normal" xfId="248"/>
    <cellStyle name="Excel Built-in Normal 10" xfId="249"/>
    <cellStyle name="Excel Built-in Normal 2" xfId="250"/>
    <cellStyle name="Excel Built-in Normal 3" xfId="251"/>
    <cellStyle name="Excel Built-in Normal 4" xfId="252"/>
    <cellStyle name="Excel Built-in Normal 5" xfId="253"/>
    <cellStyle name="Excel Built-in Normal 6" xfId="254"/>
    <cellStyle name="Excel Built-in Normal 7" xfId="255"/>
    <cellStyle name="Excel Built-in Normal 8" xfId="256"/>
    <cellStyle name="Excel Built-in Normal 9" xfId="257"/>
    <cellStyle name="Hiperlink" xfId="70" builtinId="8"/>
    <cellStyle name="Moeda 10" xfId="2"/>
    <cellStyle name="Moeda 10 2" xfId="77"/>
    <cellStyle name="Moeda 10 3" xfId="78"/>
    <cellStyle name="Moeda 10 4" xfId="79"/>
    <cellStyle name="Moeda 10 5" xfId="80"/>
    <cellStyle name="Moeda 11" xfId="81"/>
    <cellStyle name="Moeda 12" xfId="82"/>
    <cellStyle name="Moeda 13" xfId="239"/>
    <cellStyle name="Moeda 13 2" xfId="242"/>
    <cellStyle name="Moeda 14" xfId="245"/>
    <cellStyle name="Moeda 2" xfId="3"/>
    <cellStyle name="Moeda 2 2" xfId="4"/>
    <cellStyle name="Moeda 2 2 2" xfId="5"/>
    <cellStyle name="Moeda 2 2 2 2" xfId="83"/>
    <cellStyle name="Moeda 2 2 2 3" xfId="84"/>
    <cellStyle name="Moeda 2 2 2 4" xfId="85"/>
    <cellStyle name="Moeda 2 2 3" xfId="64"/>
    <cellStyle name="Moeda 2 2 4" xfId="86"/>
    <cellStyle name="Moeda 2 2 5" xfId="87"/>
    <cellStyle name="Moeda 2 2 6" xfId="88"/>
    <cellStyle name="Moeda 2 3" xfId="6"/>
    <cellStyle name="Moeda 2 3 2" xfId="7"/>
    <cellStyle name="Moeda 2 3 2 2" xfId="89"/>
    <cellStyle name="Moeda 2 3 2 3" xfId="90"/>
    <cellStyle name="Moeda 2 3 2 4" xfId="91"/>
    <cellStyle name="Moeda 2 3 3" xfId="71"/>
    <cellStyle name="Moeda 2 3 4" xfId="92"/>
    <cellStyle name="Moeda 2 3 5" xfId="93"/>
    <cellStyle name="Moeda 2 4" xfId="8"/>
    <cellStyle name="Moeda 2 4 2" xfId="94"/>
    <cellStyle name="Moeda 2 4 3" xfId="95"/>
    <cellStyle name="Moeda 2 4 4" xfId="96"/>
    <cellStyle name="Moeda 2 5" xfId="97"/>
    <cellStyle name="Moeda 2 6" xfId="68"/>
    <cellStyle name="Moeda 2 7" xfId="98"/>
    <cellStyle name="Moeda 2 8" xfId="99"/>
    <cellStyle name="Moeda 2_010-12 - Cond. Itacorubi - Limp SC" xfId="233"/>
    <cellStyle name="Moeda 3" xfId="9"/>
    <cellStyle name="Moeda 3 2" xfId="10"/>
    <cellStyle name="Moeda 3 2 2" xfId="100"/>
    <cellStyle name="Moeda 3 2 3" xfId="101"/>
    <cellStyle name="Moeda 3 2 4" xfId="102"/>
    <cellStyle name="Moeda 3 3" xfId="11"/>
    <cellStyle name="Moeda 3 3 2" xfId="103"/>
    <cellStyle name="Moeda 3 3 3" xfId="104"/>
    <cellStyle name="Moeda 3 3 4" xfId="105"/>
    <cellStyle name="Moeda 3 4" xfId="106"/>
    <cellStyle name="Moeda 3 5" xfId="107"/>
    <cellStyle name="Moeda 3 6" xfId="108"/>
    <cellStyle name="Moeda 4" xfId="12"/>
    <cellStyle name="Moeda 4 2" xfId="109"/>
    <cellStyle name="Moeda 4 3" xfId="110"/>
    <cellStyle name="Moeda 4 4" xfId="111"/>
    <cellStyle name="Moeda 5" xfId="13"/>
    <cellStyle name="Moeda 5 2" xfId="112"/>
    <cellStyle name="Moeda 5 3" xfId="113"/>
    <cellStyle name="Moeda 5 4" xfId="114"/>
    <cellStyle name="Moeda 6" xfId="14"/>
    <cellStyle name="Moeda 6 2" xfId="15"/>
    <cellStyle name="Moeda 6 2 2" xfId="115"/>
    <cellStyle name="Moeda 6 2 3" xfId="116"/>
    <cellStyle name="Moeda 6 2 4" xfId="117"/>
    <cellStyle name="Moeda 6 3" xfId="118"/>
    <cellStyle name="Moeda 6 4" xfId="119"/>
    <cellStyle name="Moeda 6 5" xfId="120"/>
    <cellStyle name="Moeda 7" xfId="16"/>
    <cellStyle name="Moeda 7 2" xfId="121"/>
    <cellStyle name="Moeda 7 3" xfId="122"/>
    <cellStyle name="Moeda 7 4" xfId="123"/>
    <cellStyle name="Moeda 8" xfId="17"/>
    <cellStyle name="Moeda 8 2" xfId="124"/>
    <cellStyle name="Moeda 8 3" xfId="125"/>
    <cellStyle name="Moeda 8 4" xfId="126"/>
    <cellStyle name="Moeda 9" xfId="18"/>
    <cellStyle name="Moeda 9 2" xfId="127"/>
    <cellStyle name="Moeda 9 3" xfId="128"/>
    <cellStyle name="Moeda 9 4" xfId="129"/>
    <cellStyle name="Normal" xfId="0" builtinId="0"/>
    <cellStyle name="Normal 10" xfId="244"/>
    <cellStyle name="Normal 2" xfId="19"/>
    <cellStyle name="Normal 2 2" xfId="60"/>
    <cellStyle name="Normal 2 3" xfId="130"/>
    <cellStyle name="Normal 2 4" xfId="131"/>
    <cellStyle name="Normal 2 5" xfId="132"/>
    <cellStyle name="Normal 3" xfId="20"/>
    <cellStyle name="Normal 4" xfId="21"/>
    <cellStyle name="Normal 5" xfId="22"/>
    <cellStyle name="Normal 5 2" xfId="133"/>
    <cellStyle name="Normal 5 3" xfId="134"/>
    <cellStyle name="Normal 5 4" xfId="135"/>
    <cellStyle name="Normal 6" xfId="136"/>
    <cellStyle name="Normal 7" xfId="240"/>
    <cellStyle name="Normal 7 2" xfId="243"/>
    <cellStyle name="Normal 8" xfId="258"/>
    <cellStyle name="Normal 9" xfId="259"/>
    <cellStyle name="Porcentagem" xfId="69" builtinId="5"/>
    <cellStyle name="Porcentagem 10" xfId="66"/>
    <cellStyle name="Porcentagem 11" xfId="234"/>
    <cellStyle name="Porcentagem 12" xfId="246"/>
    <cellStyle name="Porcentagem 2" xfId="23"/>
    <cellStyle name="Porcentagem 2 2" xfId="24"/>
    <cellStyle name="Porcentagem 2 2 2" xfId="63"/>
    <cellStyle name="Porcentagem 2 2 3" xfId="137"/>
    <cellStyle name="Porcentagem 2 2 4" xfId="138"/>
    <cellStyle name="Porcentagem 2 2 5" xfId="139"/>
    <cellStyle name="Porcentagem 2 3" xfId="25"/>
    <cellStyle name="Porcentagem 2 3 2" xfId="140"/>
    <cellStyle name="Porcentagem 2 3 3" xfId="141"/>
    <cellStyle name="Porcentagem 2 3 4" xfId="142"/>
    <cellStyle name="Porcentagem 2 4" xfId="143"/>
    <cellStyle name="Porcentagem 2 5" xfId="144"/>
    <cellStyle name="Porcentagem 2 6" xfId="145"/>
    <cellStyle name="Porcentagem 3" xfId="26"/>
    <cellStyle name="Porcentagem 3 2" xfId="27"/>
    <cellStyle name="Porcentagem 3 2 2" xfId="146"/>
    <cellStyle name="Porcentagem 3 2 3" xfId="147"/>
    <cellStyle name="Porcentagem 3 2 4" xfId="148"/>
    <cellStyle name="Porcentagem 3 3" xfId="28"/>
    <cellStyle name="Porcentagem 3 3 2" xfId="149"/>
    <cellStyle name="Porcentagem 3 3 3" xfId="150"/>
    <cellStyle name="Porcentagem 3 3 4" xfId="151"/>
    <cellStyle name="Porcentagem 3 4" xfId="152"/>
    <cellStyle name="Porcentagem 3 5" xfId="153"/>
    <cellStyle name="Porcentagem 3 6" xfId="154"/>
    <cellStyle name="Porcentagem 4" xfId="29"/>
    <cellStyle name="Porcentagem 4 2" xfId="155"/>
    <cellStyle name="Porcentagem 4 3" xfId="156"/>
    <cellStyle name="Porcentagem 4 4" xfId="157"/>
    <cellStyle name="Porcentagem 5" xfId="30"/>
    <cellStyle name="Porcentagem 5 2" xfId="158"/>
    <cellStyle name="Porcentagem 5 3" xfId="159"/>
    <cellStyle name="Porcentagem 5 4" xfId="160"/>
    <cellStyle name="Porcentagem 6" xfId="31"/>
    <cellStyle name="Porcentagem 6 2" xfId="161"/>
    <cellStyle name="Porcentagem 6 3" xfId="162"/>
    <cellStyle name="Porcentagem 6 4" xfId="163"/>
    <cellStyle name="Porcentagem 7" xfId="32"/>
    <cellStyle name="Porcentagem 7 2" xfId="164"/>
    <cellStyle name="Porcentagem 7 3" xfId="165"/>
    <cellStyle name="Porcentagem 7 4" xfId="166"/>
    <cellStyle name="Porcentagem 8" xfId="33"/>
    <cellStyle name="Porcentagem 8 2" xfId="167"/>
    <cellStyle name="Porcentagem 8 3" xfId="168"/>
    <cellStyle name="Porcentagem 8 4" xfId="169"/>
    <cellStyle name="Porcentagem 9" xfId="34"/>
    <cellStyle name="Porcentagem 9 2" xfId="72"/>
    <cellStyle name="Porcentagem 9 3" xfId="170"/>
    <cellStyle name="Porcentagem 9 4" xfId="171"/>
    <cellStyle name="Porcentagem 9 5" xfId="172"/>
    <cellStyle name="Porcentagem 9 6" xfId="235"/>
    <cellStyle name="Porcentagem 9 6 2" xfId="238"/>
    <cellStyle name="Separador de milhares 10" xfId="36"/>
    <cellStyle name="Separador de milhares 11" xfId="37"/>
    <cellStyle name="Separador de milhares 11 2" xfId="38"/>
    <cellStyle name="Separador de milhares 11 2 2" xfId="173"/>
    <cellStyle name="Separador de milhares 11 2 3" xfId="174"/>
    <cellStyle name="Separador de milhares 11 2 4" xfId="175"/>
    <cellStyle name="Separador de milhares 11 3" xfId="73"/>
    <cellStyle name="Separador de milhares 11 4" xfId="176"/>
    <cellStyle name="Separador de milhares 11 5" xfId="177"/>
    <cellStyle name="Separador de milhares 12" xfId="39"/>
    <cellStyle name="Separador de milhares 12 2" xfId="67"/>
    <cellStyle name="Separador de milhares 12 3" xfId="178"/>
    <cellStyle name="Separador de milhares 12 4" xfId="179"/>
    <cellStyle name="Separador de milhares 12 5" xfId="180"/>
    <cellStyle name="Separador de milhares 13" xfId="181"/>
    <cellStyle name="Separador de milhares 14" xfId="241"/>
    <cellStyle name="Separador de milhares 2" xfId="40"/>
    <cellStyle name="Separador de milhares 2 2" xfId="41"/>
    <cellStyle name="Separador de milhares 2 2 2" xfId="65"/>
    <cellStyle name="Separador de milhares 2 2 3" xfId="182"/>
    <cellStyle name="Separador de milhares 2 2 4" xfId="183"/>
    <cellStyle name="Separador de milhares 2 2 5" xfId="184"/>
    <cellStyle name="Separador de milhares 2 3" xfId="42"/>
    <cellStyle name="Separador de milhares 2 3 2" xfId="185"/>
    <cellStyle name="Separador de milhares 2 3 3" xfId="186"/>
    <cellStyle name="Separador de milhares 2 3 4" xfId="187"/>
    <cellStyle name="Separador de milhares 2 4" xfId="43"/>
    <cellStyle name="Separador de milhares 2 4 2" xfId="188"/>
    <cellStyle name="Separador de milhares 2 4 3" xfId="189"/>
    <cellStyle name="Separador de milhares 2 4 4" xfId="190"/>
    <cellStyle name="Separador de milhares 2 5" xfId="44"/>
    <cellStyle name="Separador de milhares 2 5 2" xfId="45"/>
    <cellStyle name="Separador de milhares 2 5 2 2" xfId="191"/>
    <cellStyle name="Separador de milhares 2 5 2 3" xfId="192"/>
    <cellStyle name="Separador de milhares 2 5 2 4" xfId="193"/>
    <cellStyle name="Separador de milhares 2 5 3" xfId="62"/>
    <cellStyle name="Separador de milhares 2 5 4" xfId="194"/>
    <cellStyle name="Separador de milhares 2 5 5" xfId="195"/>
    <cellStyle name="Separador de milhares 2 5 6" xfId="196"/>
    <cellStyle name="Separador de milhares 2 6" xfId="197"/>
    <cellStyle name="Separador de milhares 2 7" xfId="198"/>
    <cellStyle name="Separador de milhares 2 8" xfId="199"/>
    <cellStyle name="Separador de milhares 3" xfId="46"/>
    <cellStyle name="Separador de milhares 3 2" xfId="47"/>
    <cellStyle name="Separador de milhares 3 2 2" xfId="200"/>
    <cellStyle name="Separador de milhares 3 2 3" xfId="201"/>
    <cellStyle name="Separador de milhares 3 2 4" xfId="202"/>
    <cellStyle name="Separador de milhares 3 3" xfId="61"/>
    <cellStyle name="Separador de milhares 3 4" xfId="203"/>
    <cellStyle name="Separador de milhares 3 5" xfId="204"/>
    <cellStyle name="Separador de milhares 3 6" xfId="205"/>
    <cellStyle name="Separador de milhares 4" xfId="48"/>
    <cellStyle name="Separador de milhares 4 2" xfId="206"/>
    <cellStyle name="Separador de milhares 4 3" xfId="207"/>
    <cellStyle name="Separador de milhares 4 4" xfId="208"/>
    <cellStyle name="Separador de milhares 5" xfId="49"/>
    <cellStyle name="Separador de milhares 5 2" xfId="209"/>
    <cellStyle name="Separador de milhares 5 3" xfId="210"/>
    <cellStyle name="Separador de milhares 5 4" xfId="211"/>
    <cellStyle name="Separador de milhares 6" xfId="50"/>
    <cellStyle name="Separador de milhares 6 2" xfId="212"/>
    <cellStyle name="Separador de milhares 6 3" xfId="213"/>
    <cellStyle name="Separador de milhares 6 4" xfId="214"/>
    <cellStyle name="Separador de milhares 7" xfId="51"/>
    <cellStyle name="Separador de milhares 7 2" xfId="52"/>
    <cellStyle name="Separador de milhares 7 2 2" xfId="215"/>
    <cellStyle name="Separador de milhares 7 2 3" xfId="216"/>
    <cellStyle name="Separador de milhares 7 2 4" xfId="217"/>
    <cellStyle name="Separador de milhares 7 3" xfId="218"/>
    <cellStyle name="Separador de milhares 7 4" xfId="219"/>
    <cellStyle name="Separador de milhares 7 5" xfId="220"/>
    <cellStyle name="Separador de milhares 7_128811_Hospital de Guarnição-Limp-SC-valor portaria" xfId="53"/>
    <cellStyle name="Separador de milhares 8" xfId="54"/>
    <cellStyle name="Separador de milhares 9" xfId="55"/>
    <cellStyle name="Separador de milhares 9 2" xfId="56"/>
    <cellStyle name="Separador de milhares 9 2 2" xfId="221"/>
    <cellStyle name="Separador de milhares 9 2 3" xfId="222"/>
    <cellStyle name="Separador de milhares 9 2 4" xfId="223"/>
    <cellStyle name="Separador de milhares 9 3" xfId="224"/>
    <cellStyle name="Separador de milhares 9 4" xfId="225"/>
    <cellStyle name="Separador de milhares 9 5" xfId="226"/>
    <cellStyle name="Título 1 1" xfId="57"/>
    <cellStyle name="Título 1 1 1" xfId="260"/>
    <cellStyle name="Vírgula" xfId="35" builtinId="3"/>
    <cellStyle name="Vírgula 2" xfId="58"/>
    <cellStyle name="Vírgula 2 2" xfId="227"/>
    <cellStyle name="Vírgula 2 3" xfId="228"/>
    <cellStyle name="Vírgula 2 4" xfId="229"/>
    <cellStyle name="Vírgula 3" xfId="59"/>
    <cellStyle name="Vírgula 3 2" xfId="230"/>
    <cellStyle name="Vírgula 3 3" xfId="231"/>
    <cellStyle name="Vírgula 3 4" xfId="232"/>
    <cellStyle name="Vírgula 4" xfId="236"/>
    <cellStyle name="Vírgula 5" xfId="2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2016\Tabelas\PR%20LIMPEZA\PUBLICO%20-%20LIMP.PR%20%20tabela%2001%20-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+%20Excel\2015\Tabelas\SC\Limpeza\P&#250;blico\Padr&#227;o\PUBLICO%20-%20LIMP.SC%20%20tabela%20I%20-%202015%20-%20NOV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ndrepsb\AppData\Local\Microsoft\Windows\Temporary%20Internet%20Files\Content.Outlook\YP9J140L\PLANILHA%20REPACTUA&#199;&#195;O%20SIEMACO%20A%20PARTIR%20DE%20JULHO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.84\5_CONTRATOS\Contrato%2036-2012%20-%20Habitual%20Higieniza&#231;&#227;o%20Ltda%20-%20Terceirizados\C&#243;pia%20de%20Proposta%20final%20(5)%20-%201&#186;%20TERMO%20ADI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MEE"/>
      <sheetName val="Alterações 2016"/>
      <sheetName val="BD-1"/>
      <sheetName val="BD-2"/>
      <sheetName val="RESUMO FORMAÇÃO"/>
      <sheetName val="1"/>
      <sheetName val="1A"/>
      <sheetName val="B"/>
      <sheetName val="C"/>
      <sheetName val="MEE"/>
      <sheetName val="Carta Proposta"/>
    </sheetNames>
    <sheetDataSet>
      <sheetData sheetId="0">
        <row r="3">
          <cell r="A3" t="str">
            <v>Abafador de ruídos</v>
          </cell>
        </row>
        <row r="4">
          <cell r="A4" t="str">
            <v>Açucar refinado 1kg</v>
          </cell>
        </row>
        <row r="5">
          <cell r="A5" t="str">
            <v>Açucareiro inox</v>
          </cell>
        </row>
        <row r="6">
          <cell r="A6" t="str">
            <v>Adoçante 100ml</v>
          </cell>
        </row>
        <row r="7">
          <cell r="A7" t="str">
            <v>Aguá mineral 20 litros</v>
          </cell>
        </row>
        <row r="8">
          <cell r="A8" t="str">
            <v>Água sanitária 1 litro</v>
          </cell>
        </row>
        <row r="9">
          <cell r="A9" t="str">
            <v>Água sanitária 5 litros</v>
          </cell>
        </row>
        <row r="10">
          <cell r="A10" t="str">
            <v>Àguarraz 1 litro</v>
          </cell>
        </row>
        <row r="11">
          <cell r="A11" t="str">
            <v>Álcool 70% INPM 1 litro</v>
          </cell>
        </row>
        <row r="12">
          <cell r="A12" t="str">
            <v>Álcool gel 500 ml</v>
          </cell>
        </row>
        <row r="13">
          <cell r="A13" t="str">
            <v>Alcool isopropilico 1litro</v>
          </cell>
        </row>
        <row r="14">
          <cell r="A14" t="str">
            <v>Álcool líquido 1 litro (92,8 INPM)</v>
          </cell>
        </row>
        <row r="15">
          <cell r="A15" t="str">
            <v>Álcool líquido 500ml</v>
          </cell>
        </row>
        <row r="16">
          <cell r="A16" t="str">
            <v>Algemas</v>
          </cell>
        </row>
        <row r="17">
          <cell r="A17" t="str">
            <v>Algodão</v>
          </cell>
        </row>
        <row r="18">
          <cell r="A18" t="str">
            <v>Alicate 1/2 cana 8" - 10505504 (FL)</v>
          </cell>
        </row>
        <row r="19">
          <cell r="A19" t="str">
            <v>Alicate 1/2 cana reto 6" 1000V</v>
          </cell>
        </row>
        <row r="20">
          <cell r="A20" t="str">
            <v>Alicate bico chato 6" 44006/106</v>
          </cell>
        </row>
        <row r="21">
          <cell r="A21" t="str">
            <v>Alicate bico curvo 6" 44073/101</v>
          </cell>
        </row>
        <row r="22">
          <cell r="A22" t="str">
            <v>Alicate bomba d´água 44038/110</v>
          </cell>
        </row>
        <row r="23">
          <cell r="A23" t="str">
            <v>Alicate corte diagonal 6" C. V. 1000V. (FL)</v>
          </cell>
        </row>
        <row r="24">
          <cell r="A24" t="str">
            <v>Alicate corte diagonal 6" C. V. PLUS (FL)</v>
          </cell>
        </row>
        <row r="25">
          <cell r="A25" t="str">
            <v>Alicate corte diagonal 7" 1000V. CONSTRUT.</v>
          </cell>
        </row>
        <row r="26">
          <cell r="A26" t="str">
            <v>Alicate corte frontal 6" CVR PLUS (FL)</v>
          </cell>
        </row>
        <row r="27">
          <cell r="A27" t="str">
            <v>Alicate pressão 10" 44012/110</v>
          </cell>
        </row>
        <row r="28">
          <cell r="A28" t="str">
            <v>Alicate rebitador plus preto</v>
          </cell>
        </row>
        <row r="29">
          <cell r="A29" t="str">
            <v>Alicate universal prof. 7" 44000/107 [B]</v>
          </cell>
        </row>
        <row r="30">
          <cell r="A30" t="str">
            <v>Alicate universal prof. 8" 44000/108 [B]</v>
          </cell>
        </row>
        <row r="31">
          <cell r="A31" t="str">
            <v>Alvejante cloro 1 litro</v>
          </cell>
        </row>
        <row r="32">
          <cell r="A32" t="str">
            <v>Alvejante cloro líquido 5 litros</v>
          </cell>
        </row>
        <row r="33">
          <cell r="A33" t="str">
            <v>Alvejante linha hospitalar cloro 1 litro</v>
          </cell>
        </row>
        <row r="34">
          <cell r="A34" t="str">
            <v>Amaciante 2 litros</v>
          </cell>
        </row>
        <row r="35">
          <cell r="A35" t="str">
            <v>Amaciante de roupas 500 ml</v>
          </cell>
        </row>
        <row r="36">
          <cell r="A36" t="str">
            <v>Amaciante de roupas floral 5 litros</v>
          </cell>
        </row>
        <row r="37">
          <cell r="A37" t="str">
            <v>Amoniaco 5 litros</v>
          </cell>
        </row>
        <row r="38">
          <cell r="A38" t="str">
            <v>Analgésico</v>
          </cell>
        </row>
        <row r="39">
          <cell r="A39" t="str">
            <v xml:space="preserve">Ancinho aço para jardim </v>
          </cell>
        </row>
        <row r="40">
          <cell r="A40" t="str">
            <v>Anti-inflamatório</v>
          </cell>
        </row>
        <row r="41">
          <cell r="A41" t="str">
            <v>Antitérmico</v>
          </cell>
        </row>
        <row r="42">
          <cell r="A42" t="str">
            <v>Aparador de grama 110w com fio Nylon</v>
          </cell>
        </row>
        <row r="43">
          <cell r="A43" t="str">
            <v>Aparelho limpa canto</v>
          </cell>
        </row>
        <row r="44">
          <cell r="A44" t="str">
            <v>Apito de trânsito</v>
          </cell>
        </row>
        <row r="45">
          <cell r="A45" t="str">
            <v>Aplicador de cera 25cm com cabo</v>
          </cell>
        </row>
        <row r="46">
          <cell r="A46" t="str">
            <v>Aplicador de cera 35cm com cabo</v>
          </cell>
        </row>
        <row r="47">
          <cell r="A47" t="str">
            <v>Aplicador de cera 45cm com cabo</v>
          </cell>
        </row>
        <row r="48">
          <cell r="A48" t="str">
            <v>Aplicador de cera com cabo (Passador cera completo - Kit)</v>
          </cell>
        </row>
        <row r="49">
          <cell r="A49" t="str">
            <v>Arco serra regulavel 12" 44033/012</v>
          </cell>
        </row>
        <row r="50">
          <cell r="A50" t="str">
            <v>Aspirador de água doméstico</v>
          </cell>
        </row>
        <row r="51">
          <cell r="A51" t="str">
            <v>Aspirador de água doméstico</v>
          </cell>
        </row>
        <row r="52">
          <cell r="A52" t="str">
            <v>Aspirador de pó doméstico</v>
          </cell>
        </row>
        <row r="53">
          <cell r="A53" t="str">
            <v>Aspirador de pó profissional</v>
          </cell>
        </row>
        <row r="54">
          <cell r="A54" t="str">
            <v>Avental de raspa para jardineiro</v>
          </cell>
        </row>
        <row r="55">
          <cell r="A55" t="str">
            <v>Avental de raspa sem emenda (CA: 8393) - GLH</v>
          </cell>
        </row>
        <row r="56">
          <cell r="A56" t="str">
            <v>Avental para jardineiro</v>
          </cell>
        </row>
        <row r="57">
          <cell r="A57" t="str">
            <v xml:space="preserve">Avental segurança de vinil (CA: 10101) </v>
          </cell>
        </row>
        <row r="58">
          <cell r="A58" t="str">
            <v>Balde construção plastico 12 litros</v>
          </cell>
        </row>
        <row r="59">
          <cell r="A59" t="str">
            <v>Balde espremedor doblo NY 108 AM 30 litros</v>
          </cell>
        </row>
        <row r="60">
          <cell r="A60" t="str">
            <v>Balde para concreto 12 litros</v>
          </cell>
        </row>
        <row r="61">
          <cell r="A61" t="str">
            <v>Balde plástico de 08 litros</v>
          </cell>
        </row>
        <row r="62">
          <cell r="A62" t="str">
            <v>Balde plástico de 10 litros</v>
          </cell>
        </row>
        <row r="63">
          <cell r="A63" t="str">
            <v>Balde plástico de 15 litros</v>
          </cell>
        </row>
        <row r="64">
          <cell r="A64" t="str">
            <v>Balde plástico de 20 litros</v>
          </cell>
        </row>
        <row r="65">
          <cell r="A65" t="str">
            <v>Bandeija inox redonda</v>
          </cell>
        </row>
        <row r="66">
          <cell r="A66" t="str">
            <v>Bebedouro automático refrigerado</v>
          </cell>
        </row>
        <row r="67">
          <cell r="A67" t="str">
            <v>Binóculos</v>
          </cell>
        </row>
        <row r="68">
          <cell r="A68" t="str">
            <v>Blazer</v>
          </cell>
        </row>
        <row r="69">
          <cell r="A69" t="str">
            <v>Blusa de lã</v>
          </cell>
        </row>
        <row r="70">
          <cell r="A70" t="str">
            <v>Bomba para graxa manual 500g</v>
          </cell>
        </row>
        <row r="71">
          <cell r="A71" t="str">
            <v>Botas de borracha</v>
          </cell>
        </row>
        <row r="72">
          <cell r="A72" t="str">
            <v>Botinacom bico de aço e palmilha e proteção metatarso</v>
          </cell>
        </row>
        <row r="73">
          <cell r="A73" t="str">
            <v>Broxa média</v>
          </cell>
        </row>
        <row r="74">
          <cell r="A74" t="str">
            <v>Cabo enxada oval 1,25m</v>
          </cell>
        </row>
        <row r="75">
          <cell r="A75" t="str">
            <v>Cabo foice 1,00m</v>
          </cell>
        </row>
        <row r="76">
          <cell r="A76" t="str">
            <v>Cabo machado 1,00m</v>
          </cell>
        </row>
        <row r="77">
          <cell r="A77" t="str">
            <v>Cabo pá juntar 1,25m</v>
          </cell>
        </row>
        <row r="78">
          <cell r="A78" t="str">
            <v>Cabo picareta 1,00m</v>
          </cell>
        </row>
        <row r="79">
          <cell r="A79" t="str">
            <v>Café em pó 500 gramas</v>
          </cell>
        </row>
        <row r="80">
          <cell r="A80" t="str">
            <v>Caixa de ferramentas (alicate, chave de fenda, pincel, etc.)</v>
          </cell>
        </row>
        <row r="81">
          <cell r="A81" t="str">
            <v>Caixa ferramenta  7G. 50cm 507F</v>
          </cell>
        </row>
        <row r="82">
          <cell r="A82" t="str">
            <v>Calça  (Social)</v>
          </cell>
        </row>
        <row r="83">
          <cell r="A83" t="str">
            <v>Calça impermeável</v>
          </cell>
        </row>
        <row r="84">
          <cell r="A84" t="str">
            <v>Camisa - MC</v>
          </cell>
        </row>
        <row r="85">
          <cell r="A85" t="str">
            <v>Camisa - ML</v>
          </cell>
        </row>
        <row r="86">
          <cell r="A86" t="str">
            <v>Caneleira o par</v>
          </cell>
        </row>
        <row r="87">
          <cell r="A87" t="str">
            <v xml:space="preserve">Capa chuva PVC c/ manga forrada "G" </v>
          </cell>
        </row>
        <row r="88">
          <cell r="A88" t="str">
            <v>Capa de chuva</v>
          </cell>
        </row>
        <row r="89">
          <cell r="A89" t="str">
            <v>Capa de chuva</v>
          </cell>
        </row>
        <row r="90">
          <cell r="A90" t="str">
            <v>Capacete</v>
          </cell>
        </row>
        <row r="91">
          <cell r="A91" t="str">
            <v>Capacetes alpinista</v>
          </cell>
        </row>
        <row r="92">
          <cell r="A92" t="str">
            <v>Carrinho com balde espremedor</v>
          </cell>
        </row>
        <row r="93">
          <cell r="A93" t="str">
            <v>Carrinho de copa</v>
          </cell>
        </row>
        <row r="94">
          <cell r="A94" t="str">
            <v xml:space="preserve">Carrinho de mão </v>
          </cell>
        </row>
        <row r="95">
          <cell r="A95" t="str">
            <v>Carrinho funcional</v>
          </cell>
        </row>
        <row r="96">
          <cell r="A96" t="str">
            <v>Carrinho mop umido completo (balde, espr, 32lt refil, cabo alum e suporte)</v>
          </cell>
        </row>
        <row r="97">
          <cell r="A97" t="str">
            <v>Carro de mão c/ roda de pneu 3,25</v>
          </cell>
        </row>
        <row r="98">
          <cell r="A98" t="str">
            <v>Cartucheira (para o kit de limpeza de vidros)</v>
          </cell>
        </row>
        <row r="99">
          <cell r="A99" t="str">
            <v>Cavadeira articulada 2 cabos (**)</v>
          </cell>
        </row>
        <row r="100">
          <cell r="A100" t="str">
            <v>Cera auto tráfego incolor 5 litros</v>
          </cell>
        </row>
        <row r="101">
          <cell r="A101" t="str">
            <v>Cera automotiva 400g</v>
          </cell>
        </row>
        <row r="102">
          <cell r="A102" t="str">
            <v>Cera impermeabilizante 5 litros</v>
          </cell>
        </row>
        <row r="103">
          <cell r="A103" t="str">
            <v>Cera incolor 5 litros</v>
          </cell>
        </row>
        <row r="104">
          <cell r="A104" t="str">
            <v>Cera líquida amarela 5 litros</v>
          </cell>
        </row>
        <row r="105">
          <cell r="A105" t="str">
            <v>Cera líquida especial 5 litros</v>
          </cell>
        </row>
        <row r="106">
          <cell r="A106" t="str">
            <v>Cera líquida incolor 5 litros</v>
          </cell>
        </row>
        <row r="107">
          <cell r="A107" t="str">
            <v>Cera líquida incolor 5 litros</v>
          </cell>
        </row>
        <row r="108">
          <cell r="A108" t="str">
            <v>Cera líquida incolor 750ml</v>
          </cell>
        </row>
        <row r="109">
          <cell r="A109" t="str">
            <v>Chás (diversos sabores de boa qualidade)</v>
          </cell>
        </row>
        <row r="110">
          <cell r="A110" t="str">
            <v>Chave ajustavél fosfatizada 06"</v>
          </cell>
        </row>
        <row r="111">
          <cell r="A111" t="str">
            <v>Chave de fenda 03X075 44110/110</v>
          </cell>
        </row>
        <row r="112">
          <cell r="A112" t="str">
            <v>Chave de fenda 05X126 44110/122 [B]</v>
          </cell>
        </row>
        <row r="113">
          <cell r="A113" t="str">
            <v>Chave de fenda 05X150 44110/132 - 44110/032</v>
          </cell>
        </row>
        <row r="114">
          <cell r="A114" t="str">
            <v>Chave de fenda 08X200 44110/143</v>
          </cell>
        </row>
        <row r="115">
          <cell r="A115" t="str">
            <v>Chave de fenda 09X250 44110/152</v>
          </cell>
        </row>
        <row r="116">
          <cell r="A116" t="str">
            <v>Chave de fenda isolada 03X160 44126/013 (FL)</v>
          </cell>
        </row>
        <row r="117">
          <cell r="A117" t="str">
            <v>Chave de fenda toco 05X38 44111/101</v>
          </cell>
        </row>
        <row r="118">
          <cell r="A118" t="str">
            <v>chave grifo 18" americana</v>
          </cell>
        </row>
        <row r="119">
          <cell r="A119" t="str">
            <v>Chave lavatório</v>
          </cell>
        </row>
        <row r="120">
          <cell r="A120" t="str">
            <v>Chave phillips 03X075 44112/110 [B]</v>
          </cell>
        </row>
        <row r="121">
          <cell r="A121" t="str">
            <v>Chave phillips 05X100 44112/021 [B]</v>
          </cell>
        </row>
        <row r="122">
          <cell r="A122" t="str">
            <v>Chave phillips 05X150 44112/122 [B]</v>
          </cell>
        </row>
        <row r="123">
          <cell r="A123" t="str">
            <v>Chave phillips 06X150 44112/131 [B]</v>
          </cell>
        </row>
        <row r="124">
          <cell r="A124" t="str">
            <v>Chave phillips 08X150 44112/141 [B]</v>
          </cell>
        </row>
        <row r="125">
          <cell r="A125" t="str">
            <v>Chave phillips toco 05X38 44113/101</v>
          </cell>
        </row>
        <row r="126">
          <cell r="A126" t="str">
            <v>Chave teste cristal (FL)</v>
          </cell>
        </row>
        <row r="127">
          <cell r="A127" t="str">
            <v>Cinto</v>
          </cell>
        </row>
        <row r="128">
          <cell r="A128" t="str">
            <v>Cinto de segurança para escada</v>
          </cell>
        </row>
        <row r="129">
          <cell r="A129" t="str">
            <v>Cinto paraquedista</v>
          </cell>
        </row>
        <row r="130">
          <cell r="A130" t="str">
            <v>Cintos de segurança (para jardineiro)</v>
          </cell>
        </row>
        <row r="131">
          <cell r="A131" t="str">
            <v>Cloro líquido 5 litros</v>
          </cell>
        </row>
        <row r="132">
          <cell r="A132" t="str">
            <v>Colete refletivo</v>
          </cell>
        </row>
        <row r="133">
          <cell r="A133" t="str">
            <v>Colher de pedreiro</v>
          </cell>
        </row>
        <row r="134">
          <cell r="A134" t="str">
            <v>Colher pedreiro 08" Canto red.</v>
          </cell>
        </row>
        <row r="135">
          <cell r="A135" t="str">
            <v>Colher pedreiro 10" Canto red.</v>
          </cell>
        </row>
        <row r="136">
          <cell r="A136" t="str">
            <v>Cones para segurança</v>
          </cell>
        </row>
        <row r="137">
          <cell r="A137" t="str">
            <v>Contentor lixo 100 litros</v>
          </cell>
        </row>
        <row r="138">
          <cell r="A138" t="str">
            <v>Copo isopor 180 ml c/25</v>
          </cell>
        </row>
        <row r="139">
          <cell r="A139" t="str">
            <v>Copo isopor 70 ml c/20</v>
          </cell>
        </row>
        <row r="140">
          <cell r="A140" t="str">
            <v>Copo plástico 180 ml c/100</v>
          </cell>
        </row>
        <row r="141">
          <cell r="A141" t="str">
            <v>Copo plástico 200 ml c/100</v>
          </cell>
        </row>
        <row r="142">
          <cell r="A142" t="str">
            <v>Copo plástico 50 ml c/100</v>
          </cell>
        </row>
        <row r="143">
          <cell r="A143" t="str">
            <v>Corda 100m</v>
          </cell>
        </row>
        <row r="144">
          <cell r="A144" t="str">
            <v>Cortador de grama (fio de nylon)</v>
          </cell>
        </row>
        <row r="145">
          <cell r="A145" t="str">
            <v>Creolina líquida 750ml</v>
          </cell>
        </row>
        <row r="146">
          <cell r="A146" t="str">
            <v>Cri Cri</v>
          </cell>
        </row>
        <row r="147">
          <cell r="A147" t="str">
            <v xml:space="preserve">Cultivador (3 pontas) </v>
          </cell>
        </row>
        <row r="148">
          <cell r="A148" t="str">
            <v>Curativo adesivos</v>
          </cell>
        </row>
        <row r="149">
          <cell r="A149" t="str">
            <v>Desempenadeira</v>
          </cell>
        </row>
        <row r="150">
          <cell r="A150" t="str">
            <v>Desempenadeira aço dentada</v>
          </cell>
        </row>
        <row r="151">
          <cell r="A151" t="str">
            <v>Desempenadeira aço lisa 477</v>
          </cell>
        </row>
        <row r="152">
          <cell r="A152" t="str">
            <v>Desempenadeira mad. lisa 29X18</v>
          </cell>
        </row>
        <row r="153">
          <cell r="A153" t="str">
            <v xml:space="preserve">Desempenadeira palst. c/ espuma 29X18 </v>
          </cell>
        </row>
        <row r="154">
          <cell r="A154" t="str">
            <v xml:space="preserve">Desempenadeira plast. lisa 26X15 </v>
          </cell>
        </row>
        <row r="155">
          <cell r="A155" t="str">
            <v>Desengraxante 5 litros</v>
          </cell>
        </row>
        <row r="156">
          <cell r="A156" t="str">
            <v>Desengraxante concentrado 5 litros</v>
          </cell>
        </row>
        <row r="157">
          <cell r="A157" t="str">
            <v>Desengraxante concentrado 5 litros</v>
          </cell>
        </row>
        <row r="158">
          <cell r="A158" t="str">
            <v>Desengraxante neutro, bombona 5 litros</v>
          </cell>
        </row>
        <row r="159">
          <cell r="A159" t="str">
            <v>Desengraxante/removedor natural 5 litros</v>
          </cell>
        </row>
        <row r="160">
          <cell r="A160" t="str">
            <v>Desentupidor para pia</v>
          </cell>
        </row>
        <row r="161">
          <cell r="A161" t="str">
            <v>Desentupidor para vaso sanitário</v>
          </cell>
        </row>
        <row r="162">
          <cell r="A162" t="str">
            <v>Desinfetante aromatizado 5 litros</v>
          </cell>
        </row>
        <row r="163">
          <cell r="A163" t="str">
            <v>Desinfetante de eucalipto 5 litros</v>
          </cell>
        </row>
        <row r="164">
          <cell r="A164" t="str">
            <v>Desinfetante linha hospitalar 5 litros</v>
          </cell>
        </row>
        <row r="165">
          <cell r="A165" t="str">
            <v xml:space="preserve">Desodorizador de ar aerosol 440 ml </v>
          </cell>
        </row>
        <row r="166">
          <cell r="A166" t="str">
            <v>Desodorizador sanitário em pastilha adesiva, caixa c/ 3 unidades</v>
          </cell>
        </row>
        <row r="167">
          <cell r="A167" t="str">
            <v>Detector metais tipo raquete</v>
          </cell>
        </row>
        <row r="168">
          <cell r="A168" t="str">
            <v>Detergente 5 litros</v>
          </cell>
        </row>
        <row r="169">
          <cell r="A169" t="str">
            <v>Detergente 500 ml</v>
          </cell>
        </row>
        <row r="170">
          <cell r="A170" t="str">
            <v>Detergente amoniacal 5 litros</v>
          </cell>
        </row>
        <row r="171">
          <cell r="A171" t="str">
            <v>Detergente amoniaco 5 litros</v>
          </cell>
        </row>
        <row r="172">
          <cell r="A172" t="str">
            <v>Detergente campestre concentrado 5 litros</v>
          </cell>
        </row>
        <row r="173">
          <cell r="A173" t="str">
            <v>Detergente concentrado vulcano lavanda/floral 5 litros</v>
          </cell>
        </row>
        <row r="174">
          <cell r="A174" t="str">
            <v>Detergente desengordurante 5 litros</v>
          </cell>
        </row>
        <row r="175">
          <cell r="A175" t="str">
            <v>Detergente linha hospitalar 5 litros concentrado (rendimento 50 litros)</v>
          </cell>
        </row>
        <row r="176">
          <cell r="A176" t="str">
            <v>Detergente para limpeza de alumínio 5 litros</v>
          </cell>
        </row>
        <row r="177">
          <cell r="A177" t="str">
            <v>Disco 35 bege lustrador</v>
          </cell>
        </row>
        <row r="178">
          <cell r="A178" t="str">
            <v>Disco 35 branco lustrador</v>
          </cell>
        </row>
        <row r="179">
          <cell r="A179" t="str">
            <v>Disco 35 preto removedor</v>
          </cell>
        </row>
        <row r="180">
          <cell r="A180" t="str">
            <v>Disco 35 verde limpador</v>
          </cell>
        </row>
        <row r="181">
          <cell r="A181" t="str">
            <v>Disco 41 bege lustrador</v>
          </cell>
        </row>
        <row r="182">
          <cell r="A182" t="str">
            <v>Disco 41 branco lustrador</v>
          </cell>
        </row>
        <row r="183">
          <cell r="A183" t="str">
            <v>Disco 41 preto removedor</v>
          </cell>
        </row>
        <row r="184">
          <cell r="A184" t="str">
            <v>Disco 41 verde limpador</v>
          </cell>
        </row>
        <row r="185">
          <cell r="A185" t="str">
            <v xml:space="preserve">Disco 48 bege limpador </v>
          </cell>
        </row>
        <row r="186">
          <cell r="A186" t="str">
            <v>Disco 48 branco lustrador</v>
          </cell>
        </row>
        <row r="187">
          <cell r="A187" t="str">
            <v>Disco 48 preto removedor</v>
          </cell>
        </row>
        <row r="188">
          <cell r="A188" t="str">
            <v>Disco 48 verde limpador</v>
          </cell>
        </row>
        <row r="189">
          <cell r="A189" t="str">
            <v>Disco vermelho para polir, limpar pisos e restabelecer brilho</v>
          </cell>
        </row>
        <row r="190">
          <cell r="A190" t="str">
            <v>Dispenser papel toalha bobina</v>
          </cell>
        </row>
        <row r="191">
          <cell r="A191" t="str">
            <v>Dispenser papel toalha interfolhado</v>
          </cell>
        </row>
        <row r="192">
          <cell r="A192" t="str">
            <v xml:space="preserve">Dispenser sabonete </v>
          </cell>
        </row>
        <row r="193">
          <cell r="A193" t="str">
            <v>Dispenser sabonete líquido</v>
          </cell>
        </row>
        <row r="194">
          <cell r="A194" t="str">
            <v>Enceradeira - mod. C35</v>
          </cell>
        </row>
        <row r="195">
          <cell r="A195" t="str">
            <v>Enceradeira industrial - (OI 3500 220V)</v>
          </cell>
        </row>
        <row r="196">
          <cell r="A196" t="str">
            <v>Enceradeira industrial 350</v>
          </cell>
        </row>
        <row r="197">
          <cell r="A197" t="str">
            <v>Enceradeira industrial 410</v>
          </cell>
        </row>
        <row r="198">
          <cell r="A198" t="str">
            <v>Enceradeira industrial 510</v>
          </cell>
        </row>
        <row r="199">
          <cell r="A199" t="str">
            <v>Enceradeira pequena</v>
          </cell>
        </row>
        <row r="200">
          <cell r="A200" t="str">
            <v>Enxada com cabo (nº 16 ou 18) - Fuzil</v>
          </cell>
        </row>
        <row r="201">
          <cell r="A201" t="str">
            <v>Enxada olho oval 19cm (**)</v>
          </cell>
        </row>
        <row r="202">
          <cell r="A202" t="str">
            <v>Enxada pequena</v>
          </cell>
        </row>
        <row r="203">
          <cell r="A203" t="str">
            <v xml:space="preserve">Enxadão com cabo </v>
          </cell>
        </row>
        <row r="204">
          <cell r="A204" t="str">
            <v xml:space="preserve">Escada alumínio 12 degraus </v>
          </cell>
        </row>
        <row r="205">
          <cell r="A205" t="str">
            <v>Escada aluminio 18 degraus</v>
          </cell>
        </row>
        <row r="206">
          <cell r="A206" t="str">
            <v>Escada aluminio 3 degraus</v>
          </cell>
        </row>
        <row r="207">
          <cell r="A207" t="str">
            <v xml:space="preserve">Escada aluminio 3 degraus </v>
          </cell>
        </row>
        <row r="208">
          <cell r="A208" t="str">
            <v xml:space="preserve">Escada madeira 10 degraus </v>
          </cell>
        </row>
        <row r="209">
          <cell r="A209" t="str">
            <v>Escada madeira 18 degraus</v>
          </cell>
        </row>
        <row r="210">
          <cell r="A210" t="str">
            <v>Escada madeira 7 degraus</v>
          </cell>
        </row>
        <row r="211">
          <cell r="A211" t="str">
            <v>Escada tipo "A" 05 degraus</v>
          </cell>
        </row>
        <row r="212">
          <cell r="A212" t="str">
            <v>Escada tipo ''A'' 06 degraus</v>
          </cell>
        </row>
        <row r="213">
          <cell r="A213" t="str">
            <v>Escada tipo ''A'' 07 degraus</v>
          </cell>
        </row>
        <row r="214">
          <cell r="A214" t="str">
            <v>Escova 400</v>
          </cell>
        </row>
        <row r="215">
          <cell r="A215" t="str">
            <v>Escova de mão</v>
          </cell>
        </row>
        <row r="216">
          <cell r="A216" t="str">
            <v xml:space="preserve">Escova de nylon 350 </v>
          </cell>
        </row>
        <row r="217">
          <cell r="A217" t="str">
            <v>Escova de pelo 350</v>
          </cell>
        </row>
        <row r="218">
          <cell r="A218" t="str">
            <v>Escova de pelo 40 c/ Flange</v>
          </cell>
        </row>
        <row r="219">
          <cell r="A219" t="str">
            <v>Escova sanitária</v>
          </cell>
        </row>
        <row r="220">
          <cell r="A220" t="str">
            <v>Escova sanitária com suporte</v>
          </cell>
        </row>
        <row r="221">
          <cell r="A221" t="str">
            <v>Escovão de chão com cabo</v>
          </cell>
        </row>
        <row r="222">
          <cell r="A222" t="str">
            <v>Esfregão de aço</v>
          </cell>
        </row>
        <row r="223">
          <cell r="A223" t="str">
            <v>Espanador de pena nº 25</v>
          </cell>
        </row>
        <row r="224">
          <cell r="A224" t="str">
            <v>Espanador de pena nº 35</v>
          </cell>
        </row>
        <row r="225">
          <cell r="A225" t="str">
            <v>Espanador longo alcance para limpeza de cantos altos e tetos</v>
          </cell>
        </row>
        <row r="226">
          <cell r="A226" t="str">
            <v>Esparadrapo</v>
          </cell>
        </row>
        <row r="227">
          <cell r="A227" t="str">
            <v>Espátula  CB. MAD. 08</v>
          </cell>
        </row>
        <row r="228">
          <cell r="A228" t="str">
            <v>Espatula para café</v>
          </cell>
        </row>
        <row r="229">
          <cell r="A229" t="str">
            <v>Esponja de aço (pacote c/ 8 unid.)</v>
          </cell>
        </row>
        <row r="230">
          <cell r="A230" t="str">
            <v xml:space="preserve">Esponja limpeza pesada </v>
          </cell>
        </row>
        <row r="231">
          <cell r="A231" t="str">
            <v>Esponja para louça dupla face</v>
          </cell>
        </row>
        <row r="232">
          <cell r="A232" t="str">
            <v>Esquadro de aço inox 12" 300MM</v>
          </cell>
        </row>
        <row r="233">
          <cell r="A233" t="str">
            <v>Esquadro de aço inox 16" 4000MM</v>
          </cell>
        </row>
        <row r="234">
          <cell r="A234" t="str">
            <v>Estarlok (suporte p/ bandeirantes onde fixa o disco 400)</v>
          </cell>
        </row>
        <row r="235">
          <cell r="A235" t="str">
            <v>Estilete 15mm VDP-2 PLUS/ES218</v>
          </cell>
        </row>
        <row r="236">
          <cell r="A236" t="str">
            <v>Extensão de 10m</v>
          </cell>
        </row>
        <row r="237">
          <cell r="A237" t="str">
            <v>Extensão de 20m</v>
          </cell>
        </row>
        <row r="238">
          <cell r="A238" t="str">
            <v>Extensão de 30m</v>
          </cell>
        </row>
        <row r="239">
          <cell r="A239" t="str">
            <v>Extensão de 40m</v>
          </cell>
        </row>
        <row r="240">
          <cell r="A240" t="str">
            <v>Extensão de 50m</v>
          </cell>
        </row>
        <row r="241">
          <cell r="A241" t="str">
            <v xml:space="preserve">Extrator de ervas daninhas </v>
          </cell>
        </row>
        <row r="242">
          <cell r="A242" t="str">
            <v xml:space="preserve">Faca de aço maciço para roçadeira </v>
          </cell>
        </row>
        <row r="243">
          <cell r="A243" t="str">
            <v>Facão</v>
          </cell>
        </row>
        <row r="244">
          <cell r="A244" t="str">
            <v>Facão 14" 26600/014 (**)</v>
          </cell>
        </row>
        <row r="245">
          <cell r="A245" t="str">
            <v>Fibra de uso geral verde</v>
          </cell>
        </row>
        <row r="246">
          <cell r="A246" t="str">
            <v>Fibra limpeza pesada mini look</v>
          </cell>
        </row>
        <row r="247">
          <cell r="A247" t="str">
            <v>Fibra macia dupla face</v>
          </cell>
        </row>
        <row r="248">
          <cell r="A248" t="str">
            <v>Filtro de papel 103</v>
          </cell>
        </row>
        <row r="249">
          <cell r="A249" t="str">
            <v>Filtro para aspirador de pó A-10</v>
          </cell>
        </row>
        <row r="250">
          <cell r="A250" t="str">
            <v>Filtro para aspirador de pó A-20</v>
          </cell>
        </row>
        <row r="251">
          <cell r="A251" t="str">
            <v>Fio de nylon para cortador de grama</v>
          </cell>
        </row>
        <row r="252">
          <cell r="A252" t="str">
            <v>Fio nylon 2,5mm quadrado</v>
          </cell>
        </row>
        <row r="253">
          <cell r="A253" t="str">
            <v>Fio nylon 2,5mm quadrado rolo 2KG</v>
          </cell>
        </row>
        <row r="254">
          <cell r="A254" t="str">
            <v>Flanela 40x60cm branca</v>
          </cell>
        </row>
        <row r="255">
          <cell r="A255" t="str">
            <v>Flanela algodão branca 30x40cm</v>
          </cell>
        </row>
        <row r="256">
          <cell r="A256" t="str">
            <v>Flanela branca 40x60cm</v>
          </cell>
        </row>
        <row r="257">
          <cell r="A257" t="str">
            <v>Flanela de pelúcia</v>
          </cell>
        </row>
        <row r="258">
          <cell r="A258" t="str">
            <v>Foice banana 16" 39bd direita</v>
          </cell>
        </row>
        <row r="259">
          <cell r="A259" t="str">
            <v>Foice com cabo</v>
          </cell>
        </row>
        <row r="260">
          <cell r="A260" t="str">
            <v>Fone tipo concha (para jardineiro)</v>
          </cell>
        </row>
        <row r="261">
          <cell r="A261" t="str">
            <v>Forca de aço (garfo capeta 3 dentes)</v>
          </cell>
        </row>
        <row r="262">
          <cell r="A262" t="str">
            <v>Forcado curvo 4 DT. s/ cabo (gadanho)</v>
          </cell>
        </row>
        <row r="263">
          <cell r="A263" t="str">
            <v>Forcado reto 4 DT. s/ cabo (gadanho)</v>
          </cell>
        </row>
        <row r="264">
          <cell r="A264" t="str">
            <v>Formão 10mm</v>
          </cell>
        </row>
        <row r="265">
          <cell r="A265" t="str">
            <v>Formão 15mm</v>
          </cell>
        </row>
        <row r="266">
          <cell r="A266" t="str">
            <v>Formão 20mm</v>
          </cell>
        </row>
        <row r="267">
          <cell r="A267" t="str">
            <v>Fósforo c/ 240 palitos</v>
          </cell>
        </row>
        <row r="268">
          <cell r="A268" t="str">
            <v>Furadeira  IMP. 1/2" 2 VEL.6434 600W.220V</v>
          </cell>
        </row>
        <row r="269">
          <cell r="A269" t="str">
            <v>Furadeira 3/8 6413 220V</v>
          </cell>
        </row>
        <row r="270">
          <cell r="A270" t="str">
            <v>Furadeira bancada 5/8".FB-16MM 1/2CV MON</v>
          </cell>
        </row>
        <row r="271">
          <cell r="A271" t="str">
            <v>Furadeira de impacto - Black &amp; Decker</v>
          </cell>
        </row>
        <row r="272">
          <cell r="A272" t="str">
            <v>Furadeira IMP. 113D.5E0'GSB 13 RE 600W.22</v>
          </cell>
        </row>
        <row r="273">
          <cell r="A273" t="str">
            <v xml:space="preserve">Furadeira simples </v>
          </cell>
        </row>
        <row r="274">
          <cell r="A274" t="str">
            <v>Garfo</v>
          </cell>
        </row>
        <row r="275">
          <cell r="A275" t="str">
            <v>Garfo de Aço ára Capim (4 pontas)</v>
          </cell>
        </row>
        <row r="276">
          <cell r="A276" t="str">
            <v>Garrafas térmicas para café 1 litro</v>
          </cell>
        </row>
        <row r="277">
          <cell r="A277" t="str">
            <v>Garrafas térmicas para café 1,8 litros</v>
          </cell>
        </row>
        <row r="278">
          <cell r="A278" t="str">
            <v>Gaze</v>
          </cell>
        </row>
        <row r="279">
          <cell r="A279" t="str">
            <v>Gimo silicone 250ml</v>
          </cell>
        </row>
        <row r="280">
          <cell r="A280" t="str">
            <v>Grampo C-03 [B]</v>
          </cell>
        </row>
        <row r="281">
          <cell r="A281" t="str">
            <v>Grampo marceneiro barra T 1.00 [B]</v>
          </cell>
        </row>
        <row r="282">
          <cell r="A282" t="str">
            <v>Gravata</v>
          </cell>
        </row>
        <row r="283">
          <cell r="A283" t="str">
            <v>Graxa de Lítio 500 ml - Ipiranga</v>
          </cell>
        </row>
        <row r="284">
          <cell r="A284" t="str">
            <v>Graxas de Litio - 1L</v>
          </cell>
        </row>
        <row r="285">
          <cell r="A285" t="str">
            <v xml:space="preserve">Grosa meia cana c/ cabo 10" </v>
          </cell>
        </row>
        <row r="286">
          <cell r="A286" t="str">
            <v xml:space="preserve">Guardanapo 30X33cm com 50 unid. </v>
          </cell>
        </row>
        <row r="287">
          <cell r="A287" t="str">
            <v>Impermeabilizante 5 litros</v>
          </cell>
        </row>
        <row r="288">
          <cell r="A288" t="str">
            <v xml:space="preserve">Inseticida aerosol </v>
          </cell>
        </row>
        <row r="289">
          <cell r="A289" t="str">
            <v>Instalock 35 c/ flange</v>
          </cell>
        </row>
        <row r="290">
          <cell r="A290" t="str">
            <v>Jaqueta</v>
          </cell>
        </row>
        <row r="291">
          <cell r="A291" t="str">
            <v>Jogo broca aço rap.19PC 2607019116</v>
          </cell>
        </row>
        <row r="292">
          <cell r="A292" t="str">
            <v>Jogo broca videa 8PC 4 A 10MM - 000893</v>
          </cell>
        </row>
        <row r="293">
          <cell r="A293" t="str">
            <v>Jogo chave allen 25 PC 010759</v>
          </cell>
        </row>
        <row r="294">
          <cell r="A294" t="str">
            <v>Jogo chave combinada 6A22 A.C.</v>
          </cell>
        </row>
        <row r="295">
          <cell r="A295" t="str">
            <v>Jogo chave fenda 5PCS 44110/505</v>
          </cell>
        </row>
        <row r="296">
          <cell r="A296" t="str">
            <v>Jogo chave phillips 10 PC. CRV.</v>
          </cell>
        </row>
        <row r="297">
          <cell r="A297" t="str">
            <v>Jogo formão 6PC 84.161.51</v>
          </cell>
        </row>
        <row r="298">
          <cell r="A298" t="str">
            <v>Jogo lâmina estilete 18MM C/10</v>
          </cell>
        </row>
        <row r="299">
          <cell r="A299" t="str">
            <v>Jogo soquete sext. 1/2" PLAST. 23PC.44831/2</v>
          </cell>
        </row>
        <row r="300">
          <cell r="A300" t="str">
            <v>Kit com bruxa + balde espremedor</v>
          </cell>
        </row>
        <row r="301">
          <cell r="A301" t="str">
            <v>Kit completo limpeza de vidros com extensor</v>
          </cell>
        </row>
        <row r="302">
          <cell r="A302" t="str">
            <v>Kit para jardinagem</v>
          </cell>
        </row>
        <row r="303">
          <cell r="A303" t="str">
            <v>Lâmina de borracha 35cm</v>
          </cell>
        </row>
        <row r="304">
          <cell r="A304" t="str">
            <v>Lava Jato alta pressão</v>
          </cell>
        </row>
        <row r="305">
          <cell r="A305" t="str">
            <v>Lava Jato alta pressão Press Prof.</v>
          </cell>
        </row>
        <row r="306">
          <cell r="A306" t="str">
            <v xml:space="preserve">Lavador de Janelas </v>
          </cell>
        </row>
        <row r="307">
          <cell r="A307" t="str">
            <v>Leite pó 400ml</v>
          </cell>
        </row>
        <row r="308">
          <cell r="A308" t="str">
            <v>Lenço</v>
          </cell>
        </row>
        <row r="309">
          <cell r="A309" t="str">
            <v>Lima redonda bast. 08" C/C</v>
          </cell>
        </row>
        <row r="310">
          <cell r="A310" t="str">
            <v>Lima triangular bastarda 8" C/C</v>
          </cell>
        </row>
        <row r="311">
          <cell r="A311" t="str">
            <v>Limpa carpet 5 litros</v>
          </cell>
        </row>
        <row r="312">
          <cell r="A312" t="str">
            <v>Limpa carpet 500ml</v>
          </cell>
        </row>
        <row r="313">
          <cell r="A313" t="str">
            <v>Limpa pedra 5 litros</v>
          </cell>
        </row>
        <row r="314">
          <cell r="A314" t="str">
            <v>Limpa vidros 5 litros</v>
          </cell>
        </row>
        <row r="315">
          <cell r="A315" t="str">
            <v>Limpa vidros 500ml</v>
          </cell>
        </row>
        <row r="316">
          <cell r="A316" t="str">
            <v>Limpador Concentrado 5 litros</v>
          </cell>
        </row>
        <row r="317">
          <cell r="A317" t="str">
            <v>Limpador de computador em pasta 350gr</v>
          </cell>
        </row>
        <row r="318">
          <cell r="A318" t="str">
            <v>Limpador multiuso 5 litros</v>
          </cell>
        </row>
        <row r="319">
          <cell r="A319" t="str">
            <v>Limpador multiuso 500ml</v>
          </cell>
        </row>
        <row r="320">
          <cell r="A320" t="str">
            <v>Limpeza vaso sanitário 750ml</v>
          </cell>
        </row>
        <row r="321">
          <cell r="A321" t="str">
            <v>Linha nylon 1,00</v>
          </cell>
        </row>
        <row r="322">
          <cell r="A322" t="str">
            <v>Lixadeira ang. 7" 1323 GWS 12 U 220 V.</v>
          </cell>
        </row>
        <row r="323">
          <cell r="A323" t="str">
            <v xml:space="preserve">Luca de aramida </v>
          </cell>
        </row>
        <row r="324">
          <cell r="A324" t="str">
            <v>Luca de couro</v>
          </cell>
        </row>
        <row r="325">
          <cell r="A325" t="str">
            <v>Lustra móveis 200ml</v>
          </cell>
        </row>
        <row r="326">
          <cell r="A326" t="str">
            <v>Luva (corda)</v>
          </cell>
        </row>
        <row r="327">
          <cell r="A327" t="str">
            <v xml:space="preserve">Luva de raspa punho 07 </v>
          </cell>
        </row>
        <row r="328">
          <cell r="A328" t="str">
            <v>Luva vaqueta petroleiro CA15374 (FL)</v>
          </cell>
        </row>
        <row r="329">
          <cell r="A329" t="str">
            <v>Luvas de borrachas P,M, G</v>
          </cell>
        </row>
        <row r="330">
          <cell r="A330" t="str">
            <v>Luvas de latex P, M, G</v>
          </cell>
        </row>
        <row r="331">
          <cell r="A331" t="str">
            <v>Luvas de raspa P, M, G</v>
          </cell>
        </row>
        <row r="332">
          <cell r="A332" t="str">
            <v>Luvas de vaqueta/Couro  P, M, G</v>
          </cell>
        </row>
        <row r="333">
          <cell r="A333" t="str">
            <v>Machadinha</v>
          </cell>
        </row>
        <row r="334">
          <cell r="A334" t="str">
            <v>Machado 32 S/CABO (**)</v>
          </cell>
        </row>
        <row r="335">
          <cell r="A335" t="str">
            <v>Mangueira 10m</v>
          </cell>
        </row>
        <row r="336">
          <cell r="A336" t="str">
            <v>Mangueira cristal "C" 3/8X1,5 RL 50M</v>
          </cell>
        </row>
        <row r="337">
          <cell r="A337" t="str">
            <v>Mangueira de 1/2 Trançada com Revestimento Interno (50cm)</v>
          </cell>
        </row>
        <row r="338">
          <cell r="A338" t="str">
            <v>Mangueira para jardim 30m</v>
          </cell>
        </row>
        <row r="339">
          <cell r="A339" t="str">
            <v>Mangueira para jardim 50m</v>
          </cell>
        </row>
        <row r="340">
          <cell r="A340" t="str">
            <v>Mangueira PVC de 3/4 Trançada com Revestimento Interno (30cm)</v>
          </cell>
        </row>
        <row r="341">
          <cell r="A341" t="str">
            <v>maquina cortar grama (TVS 121T)</v>
          </cell>
        </row>
        <row r="342">
          <cell r="A342" t="str">
            <v>Maquina de cortar grama 4 rodas (MC 80G)</v>
          </cell>
        </row>
        <row r="343">
          <cell r="A343" t="str">
            <v>Máquina de cortar grama à gasolina</v>
          </cell>
        </row>
        <row r="344">
          <cell r="A344" t="str">
            <v xml:space="preserve">Máquina de cortar grama elétrica </v>
          </cell>
        </row>
        <row r="345">
          <cell r="A345" t="str">
            <v>maquina de lavar de alta pressão (L 2000 TST) Eletrolux</v>
          </cell>
        </row>
        <row r="346">
          <cell r="A346" t="str">
            <v>maquina para poda de cerca Viva (HS 80) - Stihl</v>
          </cell>
        </row>
        <row r="347">
          <cell r="A347" t="str">
            <v xml:space="preserve">Marreta </v>
          </cell>
        </row>
        <row r="348">
          <cell r="A348" t="str">
            <v>Marreta c/ cabo 10,0 KG</v>
          </cell>
        </row>
        <row r="349">
          <cell r="A349" t="str">
            <v xml:space="preserve">Marreta forjada c/ cabo 0,5 KG </v>
          </cell>
        </row>
        <row r="350">
          <cell r="A350" t="str">
            <v>Martelete eletrop. 11228 3 GBH 2-24 DSE 2</v>
          </cell>
        </row>
        <row r="351">
          <cell r="A351" t="str">
            <v>Martelo</v>
          </cell>
        </row>
        <row r="352">
          <cell r="A352" t="str">
            <v>Martelo borracha 40680/060 [B]</v>
          </cell>
        </row>
        <row r="353">
          <cell r="A353" t="str">
            <v>Martelo polido 28MM</v>
          </cell>
        </row>
        <row r="354">
          <cell r="A354" t="str">
            <v>Martelo unha 27MM 40200/027</v>
          </cell>
        </row>
        <row r="355">
          <cell r="A355" t="str">
            <v>Martelo unha basic 25MM 40370/025</v>
          </cell>
        </row>
        <row r="356">
          <cell r="A356" t="str">
            <v>Máscara descartável com filtro e óculos</v>
          </cell>
        </row>
        <row r="357">
          <cell r="A357" t="str">
            <v>Máscara solda polip. Visor artic. c/ cat.</v>
          </cell>
        </row>
        <row r="358">
          <cell r="A358" t="str">
            <v>Meia</v>
          </cell>
        </row>
        <row r="359">
          <cell r="A359" t="str">
            <v>Metro 2m - 10 DOB. Madeira</v>
          </cell>
        </row>
        <row r="360">
          <cell r="A360" t="str">
            <v xml:space="preserve">Micro trator (15.5) </v>
          </cell>
        </row>
        <row r="361">
          <cell r="A361" t="str">
            <v xml:space="preserve">Micro trator tobatta com carreta e roçadeira </v>
          </cell>
        </row>
        <row r="362">
          <cell r="A362" t="str">
            <v>Mini lock completo</v>
          </cell>
        </row>
        <row r="363">
          <cell r="A363" t="str">
            <v>Mop água com cabo e balde espremedor</v>
          </cell>
        </row>
        <row r="364">
          <cell r="A364" t="str">
            <v>Mop pó (seco) com cabo, guia e refil (completo) 40cm</v>
          </cell>
        </row>
        <row r="365">
          <cell r="A365" t="str">
            <v>Mop pó (seco) com cabo, guia e refil (completo) 60cm</v>
          </cell>
        </row>
        <row r="366">
          <cell r="A366" t="str">
            <v>Mop pó (seco) com cabo, guia e refil (completo) 80cm</v>
          </cell>
        </row>
        <row r="367">
          <cell r="A367" t="str">
            <v>Moto Serra</v>
          </cell>
        </row>
        <row r="368">
          <cell r="A368" t="str">
            <v>Multiteste digital</v>
          </cell>
        </row>
        <row r="369">
          <cell r="A369" t="str">
            <v>Naftalina embalagem com 1kg</v>
          </cell>
        </row>
        <row r="370">
          <cell r="A370" t="str">
            <v>Nailon para roçadeira</v>
          </cell>
        </row>
        <row r="371">
          <cell r="A371" t="str">
            <v>Nível</v>
          </cell>
        </row>
        <row r="372">
          <cell r="A372" t="str">
            <v>Nível alumínio 15"</v>
          </cell>
        </row>
        <row r="373">
          <cell r="A373" t="str">
            <v>Óculos de proteção</v>
          </cell>
        </row>
        <row r="374">
          <cell r="A374" t="str">
            <v>Óculos incolor - 2691</v>
          </cell>
        </row>
        <row r="375">
          <cell r="A375" t="str">
            <v>Óleo 2 tempos</v>
          </cell>
        </row>
        <row r="376">
          <cell r="A376" t="str">
            <v xml:space="preserve">Óleo 2 tempos super TT 500ML </v>
          </cell>
        </row>
        <row r="377">
          <cell r="A377" t="str">
            <v>Óleo de peroba 200 ml</v>
          </cell>
        </row>
        <row r="378">
          <cell r="A378" t="str">
            <v xml:space="preserve">Pá </v>
          </cell>
        </row>
        <row r="379">
          <cell r="A379" t="str">
            <v>Pá ajuntar 083/10 (**)</v>
          </cell>
        </row>
        <row r="380">
          <cell r="A380" t="str">
            <v>Pá com cabo - Fuzil</v>
          </cell>
        </row>
        <row r="381">
          <cell r="A381" t="str">
            <v>Pá cortar 084-20 (**)</v>
          </cell>
        </row>
        <row r="382">
          <cell r="A382" t="str">
            <v>Pá de bico cortar</v>
          </cell>
        </row>
        <row r="383">
          <cell r="A383" t="str">
            <v>Pá de corte</v>
          </cell>
        </row>
        <row r="384">
          <cell r="A384" t="str">
            <v>Pá de jardim kit</v>
          </cell>
        </row>
        <row r="385">
          <cell r="A385" t="str">
            <v>Pá de lixo cabo longo</v>
          </cell>
        </row>
        <row r="386">
          <cell r="A386" t="str">
            <v>Pá de lixo plástica cabo curto</v>
          </cell>
        </row>
        <row r="387">
          <cell r="A387" t="str">
            <v>Pá de metal cabo longo</v>
          </cell>
        </row>
        <row r="388">
          <cell r="A388" t="str">
            <v>Palha de aço</v>
          </cell>
        </row>
        <row r="389">
          <cell r="A389" t="str">
            <v>Pano de louça sem estampa</v>
          </cell>
        </row>
        <row r="390">
          <cell r="A390" t="str">
            <v>Pano para chão alvejado 42x68</v>
          </cell>
        </row>
        <row r="391">
          <cell r="A391" t="str">
            <v>Pano para chão alvejado 50x78</v>
          </cell>
        </row>
        <row r="392">
          <cell r="A392" t="str">
            <v>Pano para chão não alvejado 50x78</v>
          </cell>
        </row>
        <row r="393">
          <cell r="A393" t="str">
            <v>Pano para louça</v>
          </cell>
        </row>
        <row r="394">
          <cell r="A394" t="str">
            <v>Pano Perfex pacote c/ 5 unidades</v>
          </cell>
        </row>
        <row r="395">
          <cell r="A395" t="str">
            <v>Papel higiênico 30 metros, folha simples, pacote com 64 rolos</v>
          </cell>
        </row>
        <row r="396">
          <cell r="A396" t="str">
            <v>Papel higiênico 300m, pacote com 8 rolos</v>
          </cell>
        </row>
        <row r="397">
          <cell r="A397" t="str">
            <v>Papel higiênico 60 metros, folha simples, pacote com 64 rolos</v>
          </cell>
        </row>
        <row r="398">
          <cell r="A398" t="str">
            <v>Papel higiênico, 30 metros, folha dupla, luxo, pacote com 64 rolos</v>
          </cell>
        </row>
        <row r="399">
          <cell r="A399" t="str">
            <v>Papel toalha 2 dobras, interfolhado, c/ 1000 folhas</v>
          </cell>
        </row>
        <row r="400">
          <cell r="A400" t="str">
            <v>Papel toalha 2 dobras, interfolhado, c/ 1000 folhas, 100% celulose virgem</v>
          </cell>
        </row>
        <row r="401">
          <cell r="A401" t="str">
            <v>Papel toalha 2 dobras, interfolhado, c/ 1250 folhas</v>
          </cell>
        </row>
        <row r="402">
          <cell r="A402" t="str">
            <v>Papel toalha 2 dobras, interfolhado, c/ 1250 folhas, 100% celulose virgem</v>
          </cell>
        </row>
        <row r="403">
          <cell r="A403" t="str">
            <v>Papel toalha de cozinha, pacote c/ 2 rolos</v>
          </cell>
        </row>
        <row r="404">
          <cell r="A404" t="str">
            <v>Papeleira</v>
          </cell>
        </row>
        <row r="405">
          <cell r="A405" t="str">
            <v>Paquímetro 150mm 0,05mm PA-165</v>
          </cell>
        </row>
        <row r="406">
          <cell r="A406" t="str">
            <v>Parafusadeira DW255 540W 220V</v>
          </cell>
        </row>
        <row r="407">
          <cell r="A407" t="str">
            <v>Passa fio plástico 10M</v>
          </cell>
        </row>
        <row r="408">
          <cell r="A408" t="str">
            <v>Pasta para limpeza em geral a seco, pote c/ 380gr</v>
          </cell>
        </row>
        <row r="409">
          <cell r="A409" t="str">
            <v>Pasta saponácia 500gr</v>
          </cell>
        </row>
        <row r="410">
          <cell r="A410" t="str">
            <v>Pé de cabra 3/4"X60cm SEXT.</v>
          </cell>
        </row>
        <row r="411">
          <cell r="A411" t="str">
            <v>Pedra sanitária</v>
          </cell>
        </row>
        <row r="412">
          <cell r="A412" t="str">
            <v>Perneiras</v>
          </cell>
        </row>
        <row r="413">
          <cell r="A413" t="str">
            <v>Picareta com cabo - PTA</v>
          </cell>
        </row>
        <row r="414">
          <cell r="A414" t="str">
            <v>Placa sinalizadora</v>
          </cell>
        </row>
        <row r="415">
          <cell r="A415" t="str">
            <v>Placa sinalizadora</v>
          </cell>
        </row>
        <row r="416">
          <cell r="A416" t="str">
            <v>Plaina  0800 220V</v>
          </cell>
        </row>
        <row r="417">
          <cell r="A417" t="str">
            <v>Plaina base lisa N3</v>
          </cell>
        </row>
        <row r="418">
          <cell r="A418" t="str">
            <v>Podadeira</v>
          </cell>
        </row>
        <row r="419">
          <cell r="A419" t="str">
            <v>Podador de cerca viva (HSB)</v>
          </cell>
        </row>
        <row r="420">
          <cell r="A420" t="str">
            <v xml:space="preserve">Polidor de metal 200ml </v>
          </cell>
        </row>
        <row r="421">
          <cell r="A421" t="str">
            <v>Ponteira</v>
          </cell>
        </row>
        <row r="422">
          <cell r="A422" t="str">
            <v>Ponteiro redondo 12" 3/4</v>
          </cell>
        </row>
        <row r="423">
          <cell r="A423" t="str">
            <v>Ponteiro SDS PLUS 250mm 2609390576</v>
          </cell>
        </row>
        <row r="424">
          <cell r="A424" t="str">
            <v>Porta algemas</v>
          </cell>
        </row>
        <row r="425">
          <cell r="A425" t="str">
            <v>Porta filtro de papel 103</v>
          </cell>
        </row>
        <row r="426">
          <cell r="A426" t="str">
            <v>Porta papel toalha</v>
          </cell>
        </row>
        <row r="427">
          <cell r="A427" t="str">
            <v>Protetor auricular 2 plug</v>
          </cell>
        </row>
        <row r="428">
          <cell r="A428" t="str">
            <v>Protetor auricular concha</v>
          </cell>
        </row>
        <row r="429">
          <cell r="A429" t="str">
            <v>Protetor auricular plug copolimero CA10</v>
          </cell>
        </row>
        <row r="430">
          <cell r="A430" t="str">
            <v>Protetor de corda</v>
          </cell>
        </row>
        <row r="431">
          <cell r="A431" t="str">
            <v>Protetor descartavel p/ assentos sanitários</v>
          </cell>
        </row>
        <row r="432">
          <cell r="A432" t="str">
            <v>Protetor facial incolor 8"</v>
          </cell>
        </row>
        <row r="433">
          <cell r="A433" t="str">
            <v>Protetor para lâmina roçadeira</v>
          </cell>
        </row>
        <row r="434">
          <cell r="A434" t="str">
            <v>Protetor solar</v>
          </cell>
        </row>
        <row r="435">
          <cell r="A435" t="str">
            <v>Prumo</v>
          </cell>
        </row>
        <row r="436">
          <cell r="A436" t="str">
            <v>Prumo polido 500gr</v>
          </cell>
        </row>
        <row r="437">
          <cell r="A437" t="str">
            <v>Pulverizador costal manual (PJH 20 litros)</v>
          </cell>
        </row>
        <row r="438">
          <cell r="A438" t="str">
            <v xml:space="preserve">Pulverizador para Jardinagem (4,7 litros) </v>
          </cell>
        </row>
        <row r="439">
          <cell r="A439" t="str">
            <v>Quaternário de amônio, bombona 5 litros</v>
          </cell>
        </row>
        <row r="440">
          <cell r="A440" t="str">
            <v>Querosene 1 litro</v>
          </cell>
        </row>
        <row r="441">
          <cell r="A441" t="str">
            <v>Raspador (espátula)</v>
          </cell>
        </row>
        <row r="442">
          <cell r="A442" t="str">
            <v xml:space="preserve">Rastel - Ancinho </v>
          </cell>
        </row>
        <row r="443">
          <cell r="A443" t="str">
            <v>Rede de cabelo preta para cabeça inteira</v>
          </cell>
        </row>
        <row r="444">
          <cell r="A444" t="str">
            <v>Refil mop água</v>
          </cell>
        </row>
        <row r="445">
          <cell r="A445" t="str">
            <v>Refil mop po</v>
          </cell>
        </row>
        <row r="446">
          <cell r="A446" t="str">
            <v>Refil mop pó</v>
          </cell>
        </row>
        <row r="447">
          <cell r="A447" t="str">
            <v xml:space="preserve">Refil mop umido </v>
          </cell>
        </row>
        <row r="448">
          <cell r="A448" t="str">
            <v>Refil para aplicador de cera tipo ovelha</v>
          </cell>
        </row>
        <row r="449">
          <cell r="A449" t="str">
            <v xml:space="preserve">Refil para espanador longo alcance </v>
          </cell>
        </row>
        <row r="450">
          <cell r="A450" t="str">
            <v>Refil sabonete líquido 800ml</v>
          </cell>
        </row>
        <row r="451">
          <cell r="A451" t="str">
            <v>Regador jardim 05 litros</v>
          </cell>
        </row>
        <row r="452">
          <cell r="A452" t="str">
            <v>Regador jardim 05 litros</v>
          </cell>
        </row>
        <row r="453">
          <cell r="A453" t="str">
            <v>Regador jardim 14 litros</v>
          </cell>
        </row>
        <row r="454">
          <cell r="A454" t="str">
            <v>Regador jardim 14 litros</v>
          </cell>
        </row>
        <row r="455">
          <cell r="A455" t="str">
            <v>Régua pedreiro reforçada 2m</v>
          </cell>
        </row>
        <row r="456">
          <cell r="A456" t="str">
            <v>Removedor cimento, bombona 5 litros</v>
          </cell>
        </row>
        <row r="457">
          <cell r="A457" t="str">
            <v>Removedor de cera base d´água 5 litros</v>
          </cell>
        </row>
        <row r="458">
          <cell r="A458" t="str">
            <v>Removedor de cera base ptróleo 5 litros</v>
          </cell>
        </row>
        <row r="459">
          <cell r="A459" t="str">
            <v>Renovador de brilho 5 litros</v>
          </cell>
        </row>
        <row r="460">
          <cell r="A460" t="str">
            <v>Repelente de insetos</v>
          </cell>
        </row>
        <row r="461">
          <cell r="A461" t="str">
            <v xml:space="preserve">Roçadeira (FS 220) </v>
          </cell>
        </row>
        <row r="462">
          <cell r="A462" t="str">
            <v xml:space="preserve">Roçadeira (FS 230) </v>
          </cell>
        </row>
        <row r="463">
          <cell r="A463" t="str">
            <v>Roçadeira costal gasolina FS 220</v>
          </cell>
        </row>
        <row r="464">
          <cell r="A464" t="str">
            <v>Roçadeira lat. L340K - 33,3CC 2T</v>
          </cell>
        </row>
        <row r="465">
          <cell r="A465" t="str">
            <v>Roçadeira nylon FS 160</v>
          </cell>
        </row>
        <row r="466">
          <cell r="A466" t="str">
            <v>Rodo alumínio 40cm</v>
          </cell>
        </row>
        <row r="467">
          <cell r="A467" t="str">
            <v>Rodo borracha duplo 30cm, cabo alumínio</v>
          </cell>
        </row>
        <row r="468">
          <cell r="A468" t="str">
            <v>Rodo borracha duplo 40cm, cabo alumínio</v>
          </cell>
        </row>
        <row r="469">
          <cell r="A469" t="str">
            <v>Rodo borracha duplo 60cm, cabo alumínio</v>
          </cell>
        </row>
        <row r="470">
          <cell r="A470" t="str">
            <v>Rodo borracha duplo 80cm, cabo alumínio</v>
          </cell>
        </row>
        <row r="471">
          <cell r="A471" t="str">
            <v>Rodo borracha simples 40 cm, cabo madeira</v>
          </cell>
        </row>
        <row r="472">
          <cell r="A472" t="str">
            <v>Rodo borracha simples 60 cm, cabo madeira</v>
          </cell>
        </row>
        <row r="473">
          <cell r="A473" t="str">
            <v>Rodo borracha simples, 30 cm, cabo madeira</v>
          </cell>
        </row>
        <row r="474">
          <cell r="A474" t="str">
            <v>Rodo para passar cera</v>
          </cell>
        </row>
        <row r="475">
          <cell r="A475" t="str">
            <v xml:space="preserve">Rodo simples para vidro </v>
          </cell>
        </row>
        <row r="476">
          <cell r="A476" t="str">
            <v>Rodos com esponja para vidros</v>
          </cell>
        </row>
        <row r="477">
          <cell r="A477" t="str">
            <v>Sabão em pasta 500gr</v>
          </cell>
        </row>
        <row r="478">
          <cell r="A478" t="str">
            <v>Sabão em pó 1 kg</v>
          </cell>
        </row>
        <row r="479">
          <cell r="A479" t="str">
            <v>Sabão glicerinado barra azul, pacote com 5 unidades</v>
          </cell>
        </row>
        <row r="480">
          <cell r="A480" t="str">
            <v>Sabão líquido 1 litro</v>
          </cell>
        </row>
        <row r="481">
          <cell r="A481" t="str">
            <v>Sabão líquido 5 litros</v>
          </cell>
        </row>
        <row r="482">
          <cell r="A482" t="str">
            <v>Sabonete barra 200gr</v>
          </cell>
        </row>
        <row r="483">
          <cell r="A483" t="str">
            <v>Sabonete espuma em refil 800ml</v>
          </cell>
        </row>
        <row r="484">
          <cell r="A484" t="str">
            <v>Sabonete líquido 5 litros</v>
          </cell>
        </row>
        <row r="485">
          <cell r="A485" t="str">
            <v xml:space="preserve">Sabonete líquido refil 800ml </v>
          </cell>
        </row>
        <row r="486">
          <cell r="A486" t="str">
            <v>Saboneteira</v>
          </cell>
        </row>
        <row r="487">
          <cell r="A487" t="str">
            <v xml:space="preserve">Sacho com cabo </v>
          </cell>
        </row>
        <row r="488">
          <cell r="A488" t="str">
            <v>Saco de aspirador de pó, pacote com 3 unidades A-10</v>
          </cell>
        </row>
        <row r="489">
          <cell r="A489" t="str">
            <v>Saco de lixo 100 litros amarelo, pacote com 100 unidades</v>
          </cell>
        </row>
        <row r="490">
          <cell r="A490" t="str">
            <v>Saco de lixo 100 litros azul reciclável, pacote com 100 unidades</v>
          </cell>
        </row>
        <row r="491">
          <cell r="A491" t="str">
            <v>Saco de lixo 100 litros branco leitoso, hospitalar, pacote com 100 unidades</v>
          </cell>
        </row>
        <row r="492">
          <cell r="A492" t="str">
            <v>Saco de lixo 100 litros cinza, pacote com 100 unidades</v>
          </cell>
        </row>
        <row r="493">
          <cell r="A493" t="str">
            <v>Saco de lixo 100 litros laranja, quimico, pacote com 100 unidades</v>
          </cell>
        </row>
        <row r="494">
          <cell r="A494" t="str">
            <v>Saco de lixo 100 litros preto, pacote com 100 unidades</v>
          </cell>
        </row>
        <row r="495">
          <cell r="A495" t="str">
            <v>Saco de lixo 100 litros vermelho, pacote com 100 unidades</v>
          </cell>
        </row>
        <row r="496">
          <cell r="A496" t="str">
            <v>Saco de lixo 150 litros preto, pacote com 100 unidades</v>
          </cell>
        </row>
        <row r="497">
          <cell r="A497" t="str">
            <v>Saco de lixo 20 litros preto, pacote com 100 unidades</v>
          </cell>
        </row>
        <row r="498">
          <cell r="A498" t="str">
            <v>Saco de lixo 250 litros preto, pacote com 100 unidades</v>
          </cell>
        </row>
        <row r="499">
          <cell r="A499" t="str">
            <v>Saco de lixo 40 litros azul reciclável, pacote com 100 unidades</v>
          </cell>
        </row>
        <row r="500">
          <cell r="A500" t="str">
            <v>Saco de lixo 40 litros preto, pacote com 100 unidades</v>
          </cell>
        </row>
        <row r="501">
          <cell r="A501" t="str">
            <v>Saco de lixo 50 litros branco, pacote com 100 unidades</v>
          </cell>
        </row>
        <row r="502">
          <cell r="A502" t="str">
            <v>Saco de lixo 50 litros preto reforçado, pacote com 100 unidades</v>
          </cell>
        </row>
        <row r="503">
          <cell r="A503" t="str">
            <v>Saco de lixo 50 litros verde, pacote com 100 unidades</v>
          </cell>
        </row>
        <row r="504">
          <cell r="A504" t="str">
            <v>Saco de lixo 60 litros azul reciclável, pacote com 100 unidades</v>
          </cell>
        </row>
        <row r="505">
          <cell r="A505" t="str">
            <v>Saco de lixo 60 litros branco leitoso hospitalar , pacote com 100 unidades</v>
          </cell>
        </row>
        <row r="506">
          <cell r="A506" t="str">
            <v>Saco de lixo 60 litros laranja químico, pacote com 100 unidades</v>
          </cell>
        </row>
        <row r="507">
          <cell r="A507" t="str">
            <v>Saco de lixo 60 litros preto, pacote com 100 unidades</v>
          </cell>
        </row>
        <row r="508">
          <cell r="A508" t="str">
            <v>Saia</v>
          </cell>
        </row>
        <row r="509">
          <cell r="A509" t="str">
            <v>Sapato de proteção</v>
          </cell>
        </row>
        <row r="510">
          <cell r="A510" t="str">
            <v>Sapólio cremoso 300ml</v>
          </cell>
        </row>
        <row r="511">
          <cell r="A511" t="str">
            <v>Sapólio pó 300gr</v>
          </cell>
        </row>
        <row r="512">
          <cell r="A512" t="str">
            <v>Selador 5 litros</v>
          </cell>
        </row>
        <row r="513">
          <cell r="A513" t="str">
            <v>Serra  tico-tico 1281.0 GST 55 220V</v>
          </cell>
        </row>
        <row r="514">
          <cell r="A514" t="str">
            <v>Serra circular  7.1/4"1546 GKS 7.1/4 1450</v>
          </cell>
        </row>
        <row r="515">
          <cell r="A515" t="str">
            <v>Serra Elétrica Tico Tico (220V)</v>
          </cell>
        </row>
        <row r="516">
          <cell r="A516" t="str">
            <v>Serra manual bimetal 24D KBS1224</v>
          </cell>
        </row>
        <row r="517">
          <cell r="A517" t="str">
            <v>Serra manual para ferro</v>
          </cell>
        </row>
        <row r="518">
          <cell r="A518" t="str">
            <v>Serra mármore 4100NH S/DISCO 220V.</v>
          </cell>
        </row>
        <row r="519">
          <cell r="A519" t="str">
            <v>Serra policorte  GCO 2000 200V. (*)</v>
          </cell>
        </row>
        <row r="520">
          <cell r="A520" t="str">
            <v xml:space="preserve">Serrote de poda </v>
          </cell>
        </row>
        <row r="521">
          <cell r="A521" t="str">
            <v>Serrote profissional 22"</v>
          </cell>
        </row>
        <row r="522">
          <cell r="A522" t="str">
            <v>Sobretudo / casaco</v>
          </cell>
        </row>
        <row r="523">
          <cell r="A523" t="str">
            <v>Soda cáustica liquida 1 kg</v>
          </cell>
        </row>
        <row r="524">
          <cell r="A524" t="str">
            <v xml:space="preserve">Soprador de folhas (BG 85) </v>
          </cell>
        </row>
        <row r="525">
          <cell r="A525" t="str">
            <v>Soro fisiológico</v>
          </cell>
        </row>
        <row r="526">
          <cell r="A526" t="str">
            <v>Sueter</v>
          </cell>
        </row>
        <row r="527">
          <cell r="A527" t="str">
            <v>Suporte mini look de fibra com cabo</v>
          </cell>
        </row>
        <row r="528">
          <cell r="A528" t="str">
            <v>Talhadeira chata 10"</v>
          </cell>
        </row>
        <row r="529">
          <cell r="A529" t="str">
            <v>Tela desodorizadora para mictório</v>
          </cell>
        </row>
        <row r="530">
          <cell r="A530" t="str">
            <v>Tela mosquiteiro (5,00 x 1,50 m)</v>
          </cell>
        </row>
        <row r="531">
          <cell r="A531" t="str">
            <v>Termometro</v>
          </cell>
        </row>
        <row r="532">
          <cell r="A532" t="str">
            <v>Terno feminio</v>
          </cell>
        </row>
        <row r="533">
          <cell r="A533" t="str">
            <v>Terno masculino</v>
          </cell>
        </row>
        <row r="534">
          <cell r="A534" t="str">
            <v>Tesoura</v>
          </cell>
        </row>
        <row r="535">
          <cell r="A535" t="str">
            <v>Tesoura aviação reta VD10R</v>
          </cell>
        </row>
        <row r="536">
          <cell r="A536" t="str">
            <v xml:space="preserve">Tesoura de grama 12" </v>
          </cell>
        </row>
        <row r="537">
          <cell r="A537" t="str">
            <v>Tesoura p/ chapa NR3 (*) [B]</v>
          </cell>
        </row>
        <row r="538">
          <cell r="A538" t="str">
            <v xml:space="preserve">Tesoura para aparar grama </v>
          </cell>
        </row>
        <row r="539">
          <cell r="A539" t="str">
            <v>Tesoura para aparar grama "12"</v>
          </cell>
        </row>
        <row r="540">
          <cell r="A540" t="str">
            <v>Tesoura para jardim</v>
          </cell>
        </row>
        <row r="541">
          <cell r="A541" t="str">
            <v>Tesoura para poda (podão)</v>
          </cell>
        </row>
        <row r="542">
          <cell r="A542" t="str">
            <v>Tesoura poda 8.1/2" cabo giratorio TP813</v>
          </cell>
        </row>
        <row r="543">
          <cell r="A543" t="str">
            <v>Tesoura poda prof. 8"</v>
          </cell>
        </row>
        <row r="544">
          <cell r="A544" t="str">
            <v>Tesoura poda rosas</v>
          </cell>
        </row>
        <row r="545">
          <cell r="A545" t="str">
            <v>Tesoura uso geral 25cm</v>
          </cell>
        </row>
        <row r="546">
          <cell r="A546" t="str">
            <v>Tesourão de grama</v>
          </cell>
        </row>
        <row r="547">
          <cell r="A547" t="str">
            <v>Torno bancada prof. SS NR 6 [B]</v>
          </cell>
        </row>
        <row r="548">
          <cell r="A548" t="str">
            <v>Transf. solda eletronic 150A (*)</v>
          </cell>
        </row>
        <row r="549">
          <cell r="A549" t="str">
            <v>Trena</v>
          </cell>
        </row>
        <row r="550">
          <cell r="A550" t="str">
            <v>Trena 5mX19mm</v>
          </cell>
        </row>
        <row r="551">
          <cell r="A551" t="str">
            <v>Trena 7,5mX25mm</v>
          </cell>
        </row>
        <row r="552">
          <cell r="A552" t="str">
            <v xml:space="preserve">Trena emborrachada plus - 8mX25mm  </v>
          </cell>
        </row>
        <row r="553">
          <cell r="A553" t="str">
            <v>Varredeira (vass feiticeira)</v>
          </cell>
        </row>
        <row r="554">
          <cell r="A554" t="str">
            <v>Vaselina líquida 1 litro</v>
          </cell>
        </row>
        <row r="555">
          <cell r="A555" t="str">
            <v xml:space="preserve">Vassoura de metal para jardim sem regulagem </v>
          </cell>
        </row>
        <row r="556">
          <cell r="A556" t="str">
            <v>Vassoura de nylon</v>
          </cell>
        </row>
        <row r="557">
          <cell r="A557" t="str">
            <v>Vassoura de palha</v>
          </cell>
        </row>
        <row r="558">
          <cell r="A558" t="str">
            <v>Vassoura de pêlo</v>
          </cell>
        </row>
        <row r="559">
          <cell r="A559" t="str">
            <v>Vassoura de piaçava chapa</v>
          </cell>
        </row>
        <row r="560">
          <cell r="A560" t="str">
            <v>Vassoura de piaçava tipo Gari</v>
          </cell>
        </row>
        <row r="561">
          <cell r="A561" t="str">
            <v>Vassoura de teto (vasculho)</v>
          </cell>
        </row>
        <row r="562">
          <cell r="A562" t="str">
            <v>Vassoura grama plastico grande</v>
          </cell>
        </row>
        <row r="563">
          <cell r="A563" t="str">
            <v>Vassoura para jardim</v>
          </cell>
        </row>
        <row r="564">
          <cell r="A564" t="str">
            <v>Viseira</v>
          </cell>
        </row>
      </sheetData>
      <sheetData sheetId="1"/>
      <sheetData sheetId="2">
        <row r="3">
          <cell r="B3" t="str">
            <v>Ascensorista 36 horas semanais</v>
          </cell>
        </row>
        <row r="4">
          <cell r="B4" t="str">
            <v>Ascensorista 30 horas semanais</v>
          </cell>
        </row>
        <row r="5">
          <cell r="B5" t="str">
            <v>Auxiliar de cozinha 44 horas</v>
          </cell>
        </row>
        <row r="6">
          <cell r="B6" t="str">
            <v>Auxiliar de cozinha 40 horas</v>
          </cell>
        </row>
        <row r="7">
          <cell r="B7" t="str">
            <v>Auxiliar de cozinha 36 horas</v>
          </cell>
        </row>
        <row r="8">
          <cell r="B8" t="str">
            <v>Auxiliar de cozinha 33 horas</v>
          </cell>
        </row>
        <row r="9">
          <cell r="B9" t="str">
            <v>Auxiliar de cozinha 30 horas</v>
          </cell>
        </row>
        <row r="10">
          <cell r="B10" t="str">
            <v>Auxiliar de cozinha 24 horas</v>
          </cell>
        </row>
        <row r="11">
          <cell r="B11" t="str">
            <v>Auxiliar de cozinha 22 horas</v>
          </cell>
        </row>
        <row r="12">
          <cell r="B12" t="str">
            <v>Auxiliar de cozinha 20 horas</v>
          </cell>
        </row>
        <row r="13">
          <cell r="B13" t="str">
            <v>Carregador 44 horas semanais</v>
          </cell>
        </row>
        <row r="14">
          <cell r="B14" t="str">
            <v>Carregador 40 horas semanais</v>
          </cell>
        </row>
        <row r="15">
          <cell r="B15" t="str">
            <v>Carregador 36 horas semanais</v>
          </cell>
        </row>
        <row r="16">
          <cell r="B16" t="str">
            <v>Carregador 33 horas semanais</v>
          </cell>
        </row>
        <row r="17">
          <cell r="B17" t="str">
            <v>Carregador 30 horas semanais</v>
          </cell>
        </row>
        <row r="18">
          <cell r="B18" t="str">
            <v>Carregador 24 horas semanais</v>
          </cell>
        </row>
        <row r="19">
          <cell r="B19" t="str">
            <v>Carregador 22 horas semanais</v>
          </cell>
        </row>
        <row r="20">
          <cell r="B20" t="str">
            <v>Carregador 20 horas semanais</v>
          </cell>
        </row>
        <row r="21">
          <cell r="B21" t="str">
            <v>Coletores 44 horas semanais</v>
          </cell>
        </row>
        <row r="22">
          <cell r="B22" t="str">
            <v>Coletores 40 horas semanais</v>
          </cell>
        </row>
        <row r="23">
          <cell r="B23" t="str">
            <v>Coletores 36 horas semanais</v>
          </cell>
        </row>
        <row r="24">
          <cell r="B24" t="str">
            <v>Coletores 33 horas semanais</v>
          </cell>
        </row>
        <row r="25">
          <cell r="B25" t="str">
            <v>Coletores 30 horas semanais</v>
          </cell>
        </row>
        <row r="26">
          <cell r="B26" t="str">
            <v>Coletores 24 horas semanais</v>
          </cell>
        </row>
        <row r="27">
          <cell r="B27" t="str">
            <v>Coletores 22 horas semanais</v>
          </cell>
        </row>
        <row r="28">
          <cell r="B28" t="str">
            <v>Coletores 20 horas semanais</v>
          </cell>
        </row>
        <row r="29">
          <cell r="B29" t="str">
            <v>Controlador de acesso 44 horas semanais</v>
          </cell>
        </row>
        <row r="30">
          <cell r="B30" t="str">
            <v>Controlador de acesso 40 horas semanais</v>
          </cell>
        </row>
        <row r="31">
          <cell r="B31" t="str">
            <v>Controlador de acesso 36 horas semanais</v>
          </cell>
        </row>
        <row r="32">
          <cell r="B32" t="str">
            <v>Controlador de acesso 33 horas semanais</v>
          </cell>
        </row>
        <row r="33">
          <cell r="B33" t="str">
            <v>Controlador de acesso 30 horas semanais</v>
          </cell>
        </row>
        <row r="34">
          <cell r="B34" t="str">
            <v>Controlador de acesso 24 horas semanais</v>
          </cell>
        </row>
        <row r="35">
          <cell r="B35" t="str">
            <v>Controlador de acesso 22 horas semanais</v>
          </cell>
        </row>
        <row r="36">
          <cell r="B36" t="str">
            <v>Controlador de acesso 20 horas semanais</v>
          </cell>
        </row>
        <row r="37">
          <cell r="B37" t="str">
            <v>Copeira 44 horas semanais</v>
          </cell>
        </row>
        <row r="38">
          <cell r="B38" t="str">
            <v>Copeira 40 horas semanais</v>
          </cell>
        </row>
        <row r="39">
          <cell r="B39" t="str">
            <v>Copeira 36 horas semanais</v>
          </cell>
        </row>
        <row r="40">
          <cell r="B40" t="str">
            <v>Copeira 33 horas semanais</v>
          </cell>
        </row>
        <row r="41">
          <cell r="B41" t="str">
            <v>Copeira 30 horas semanais</v>
          </cell>
        </row>
        <row r="42">
          <cell r="B42" t="str">
            <v>Copeira 24 horas semanais</v>
          </cell>
        </row>
        <row r="43">
          <cell r="B43" t="str">
            <v>Copeira 22 horas semanais</v>
          </cell>
        </row>
        <row r="44">
          <cell r="B44" t="str">
            <v>Copeira 20 horas semanais</v>
          </cell>
        </row>
        <row r="45">
          <cell r="B45" t="str">
            <v>Copeira Servente 44 horas semanais</v>
          </cell>
        </row>
        <row r="46">
          <cell r="B46" t="str">
            <v>Copeira Servente 40 horas semanais</v>
          </cell>
        </row>
        <row r="47">
          <cell r="B47" t="str">
            <v>Copeira Servente 36 horas semanais</v>
          </cell>
        </row>
        <row r="48">
          <cell r="B48" t="str">
            <v>Copeira Servente 33 horas semanais</v>
          </cell>
        </row>
        <row r="49">
          <cell r="B49" t="str">
            <v>Copeira Servente 30 horas semanais</v>
          </cell>
        </row>
        <row r="50">
          <cell r="B50" t="str">
            <v>Copeira Servente 24 horas semanais</v>
          </cell>
        </row>
        <row r="51">
          <cell r="B51" t="str">
            <v>Copeira Servente 22 horas semanais</v>
          </cell>
        </row>
        <row r="52">
          <cell r="B52" t="str">
            <v>Copeira Servente 20 horas semanais</v>
          </cell>
        </row>
        <row r="53">
          <cell r="B53" t="str">
            <v>Cozinheira 44 horas semanais</v>
          </cell>
        </row>
        <row r="54">
          <cell r="B54" t="str">
            <v>Cozinheira 40 horas semanais</v>
          </cell>
        </row>
        <row r="55">
          <cell r="B55" t="str">
            <v>Cozinheira 36 horas semanais</v>
          </cell>
        </row>
        <row r="56">
          <cell r="B56" t="str">
            <v>Cozinheira 33 horas semanais</v>
          </cell>
        </row>
        <row r="57">
          <cell r="B57" t="str">
            <v>Cozinheira 30 horas semanais</v>
          </cell>
        </row>
        <row r="58">
          <cell r="B58" t="str">
            <v>Cozinheira 24 horas semanais</v>
          </cell>
        </row>
        <row r="59">
          <cell r="B59" t="str">
            <v>Cozinheira 22 horas semanais</v>
          </cell>
        </row>
        <row r="60">
          <cell r="B60" t="str">
            <v>Cozinheira 20 horas semanais</v>
          </cell>
        </row>
        <row r="61">
          <cell r="B61" t="str">
            <v>Encarregado I (3 a 10 empreg.) 44 horas semanais</v>
          </cell>
        </row>
        <row r="62">
          <cell r="B62" t="str">
            <v>Encarregado I (3 a 10 empreg.) 40 horas semanais</v>
          </cell>
        </row>
        <row r="63">
          <cell r="B63" t="str">
            <v>Encarregado I (3 a 10 empreg.) 36 horas semanais</v>
          </cell>
        </row>
        <row r="64">
          <cell r="B64" t="str">
            <v>Encarregado I (3 a 10 empreg.) 33 horas semanais</v>
          </cell>
        </row>
        <row r="65">
          <cell r="B65" t="str">
            <v>Encarregado I (3 a 10 empreg.) 30 horas semanais</v>
          </cell>
        </row>
        <row r="66">
          <cell r="B66" t="str">
            <v>Encarregado I (3 a 10 empreg.) 24 horas semanais</v>
          </cell>
        </row>
        <row r="67">
          <cell r="B67" t="str">
            <v>Encarregado I (3 a 10 empreg.) 22 horas semanais</v>
          </cell>
        </row>
        <row r="68">
          <cell r="B68" t="str">
            <v>Encarregado I (3 a 10 empreg.) 20 horas semanais</v>
          </cell>
        </row>
        <row r="69">
          <cell r="B69" t="str">
            <v>Encarregado II (11 a 20 empreg.) 44 horas semanais</v>
          </cell>
        </row>
        <row r="70">
          <cell r="B70" t="str">
            <v>Encarregado II (11 a 20 empreg.) 40 horas semanais</v>
          </cell>
        </row>
        <row r="71">
          <cell r="B71" t="str">
            <v>Encarregado II (11 a 20 empreg.) 36 horas semanais</v>
          </cell>
        </row>
        <row r="72">
          <cell r="B72" t="str">
            <v>Encarregado II (11 a 20 empreg.) 33 horas semanais</v>
          </cell>
        </row>
        <row r="73">
          <cell r="B73" t="str">
            <v>Encarregado II (11 a 20 empreg.) 30 horas semanais</v>
          </cell>
        </row>
        <row r="74">
          <cell r="B74" t="str">
            <v>Encarregado II (11 a 20 empreg.) 24 horas semanais</v>
          </cell>
        </row>
        <row r="75">
          <cell r="B75" t="str">
            <v>Encarregado II (11 a 20 empreg.) 22 horas semanais</v>
          </cell>
        </row>
        <row r="76">
          <cell r="B76" t="str">
            <v>Encarregado II (11 a 20 empreg.) 20 horas semanais</v>
          </cell>
        </row>
        <row r="77">
          <cell r="B77" t="str">
            <v>Encarregado III (acima de 20 empreg.) 44 horas semanais</v>
          </cell>
        </row>
        <row r="78">
          <cell r="B78" t="str">
            <v>Encarregado III (acima de 20 empreg.) 40 horas semanais</v>
          </cell>
        </row>
        <row r="79">
          <cell r="B79" t="str">
            <v>Encarregado III (acima de 20 empreg.) 36 horas semanais</v>
          </cell>
        </row>
        <row r="80">
          <cell r="B80" t="str">
            <v>Encarregado III (acima de 20 empreg.) 33 horas semanais</v>
          </cell>
        </row>
        <row r="81">
          <cell r="B81" t="str">
            <v>Encarregado III (acima de 20 empreg.) 30 horas semanais</v>
          </cell>
        </row>
        <row r="82">
          <cell r="B82" t="str">
            <v>Encarregado III (acima de 20 empreg.) 24 horas semanais</v>
          </cell>
        </row>
        <row r="83">
          <cell r="B83" t="str">
            <v>Encarregado III (acima de 20 empreg.) 22 horas semanais</v>
          </cell>
        </row>
        <row r="84">
          <cell r="B84" t="str">
            <v>Encarregado III (acima de 20 empreg.) 20 horas semanais</v>
          </cell>
        </row>
        <row r="85">
          <cell r="B85" t="str">
            <v>Garagista 44 horas semanais</v>
          </cell>
        </row>
        <row r="86">
          <cell r="B86" t="str">
            <v>Garagista 40 horas semanais</v>
          </cell>
        </row>
        <row r="87">
          <cell r="B87" t="str">
            <v>Garagista 36 horas semanais</v>
          </cell>
        </row>
        <row r="88">
          <cell r="B88" t="str">
            <v>Garagista 33 horas semanais</v>
          </cell>
        </row>
        <row r="89">
          <cell r="B89" t="str">
            <v>Garagista 30 horas semanais</v>
          </cell>
        </row>
        <row r="90">
          <cell r="B90" t="str">
            <v>Garagista 24 horas semanais</v>
          </cell>
        </row>
        <row r="91">
          <cell r="B91" t="str">
            <v>Garagista 22 horas semanais</v>
          </cell>
        </row>
        <row r="92">
          <cell r="B92" t="str">
            <v>Garagista 20 horas semanais</v>
          </cell>
        </row>
        <row r="93">
          <cell r="B93" t="str">
            <v>Jardineiro 44 horas semanais</v>
          </cell>
        </row>
        <row r="94">
          <cell r="B94" t="str">
            <v>Jardineiro 40 horas semanais</v>
          </cell>
        </row>
        <row r="95">
          <cell r="B95" t="str">
            <v>Jardineiro 36 horas semanais</v>
          </cell>
        </row>
        <row r="96">
          <cell r="B96" t="str">
            <v>Jardineiro 33 horas semanais</v>
          </cell>
        </row>
        <row r="97">
          <cell r="B97" t="str">
            <v>Jardineiro 30 horas semanais</v>
          </cell>
        </row>
        <row r="98">
          <cell r="B98" t="str">
            <v>Jardineiro 24 horas semanais</v>
          </cell>
        </row>
        <row r="99">
          <cell r="B99" t="str">
            <v>Jardineiro 22 horas semanais</v>
          </cell>
        </row>
        <row r="100">
          <cell r="B100" t="str">
            <v>Jardineiro 20 horas semanais</v>
          </cell>
        </row>
        <row r="101">
          <cell r="B101" t="str">
            <v>Lavador 44 horas semanais</v>
          </cell>
        </row>
        <row r="102">
          <cell r="B102" t="str">
            <v>Lavador 40 horas semanais</v>
          </cell>
        </row>
        <row r="103">
          <cell r="B103" t="str">
            <v>Lavador 36 horas semanais</v>
          </cell>
        </row>
        <row r="104">
          <cell r="B104" t="str">
            <v>Lavador 33 horas semanais</v>
          </cell>
        </row>
        <row r="105">
          <cell r="B105" t="str">
            <v>Lavador 30 horas semanais</v>
          </cell>
        </row>
        <row r="106">
          <cell r="B106" t="str">
            <v>Lavador 24 horas semanais</v>
          </cell>
        </row>
        <row r="107">
          <cell r="B107" t="str">
            <v>Lavador 22 horas semanais</v>
          </cell>
        </row>
        <row r="108">
          <cell r="B108" t="str">
            <v>Lavador 20 horas semanais</v>
          </cell>
        </row>
        <row r="109">
          <cell r="B109" t="str">
            <v>Merendeira 44 horas semanais</v>
          </cell>
        </row>
        <row r="110">
          <cell r="B110" t="str">
            <v>Merendeira 40 horas semanais</v>
          </cell>
        </row>
        <row r="111">
          <cell r="B111" t="str">
            <v>Merendeira 36 horas semanais</v>
          </cell>
        </row>
        <row r="112">
          <cell r="B112" t="str">
            <v>Merendeira 33 horas semanais</v>
          </cell>
        </row>
        <row r="113">
          <cell r="B113" t="str">
            <v>Merendeira 30 horas semanais</v>
          </cell>
        </row>
        <row r="114">
          <cell r="B114" t="str">
            <v>Merendeira 24 horas semanais</v>
          </cell>
        </row>
        <row r="115">
          <cell r="B115" t="str">
            <v>Merendeira 22 horas semanais</v>
          </cell>
        </row>
        <row r="116">
          <cell r="B116" t="str">
            <v>Merendeira 20 horas semanais</v>
          </cell>
        </row>
        <row r="117">
          <cell r="B117" t="str">
            <v>Monitor 44 horas semanais</v>
          </cell>
        </row>
        <row r="118">
          <cell r="B118" t="str">
            <v>Monitor 40 horas semanais</v>
          </cell>
        </row>
        <row r="119">
          <cell r="B119" t="str">
            <v>Monitor 36 horas semanais</v>
          </cell>
        </row>
        <row r="120">
          <cell r="B120" t="str">
            <v>Monitor 33 horas semanais</v>
          </cell>
        </row>
        <row r="121">
          <cell r="B121" t="str">
            <v>Monitor 30 horas semanais</v>
          </cell>
        </row>
        <row r="122">
          <cell r="B122" t="str">
            <v>Monitor 24 horas semanais</v>
          </cell>
        </row>
        <row r="123">
          <cell r="B123" t="str">
            <v>Monitor 22 horas semanais</v>
          </cell>
        </row>
        <row r="124">
          <cell r="B124" t="str">
            <v>Monitor 20 horas semanais</v>
          </cell>
        </row>
        <row r="125">
          <cell r="B125" t="str">
            <v>Oficce-boy/Contínuo 44 horas semanais</v>
          </cell>
        </row>
        <row r="126">
          <cell r="B126" t="str">
            <v>Oficce-boy/Contínuo 40 horas semanais</v>
          </cell>
        </row>
        <row r="127">
          <cell r="B127" t="str">
            <v>Oficce-boy/Contínuo 36 horas semanais</v>
          </cell>
        </row>
        <row r="128">
          <cell r="B128" t="str">
            <v>Oficce-boy/Contínuo 33 horas semanais</v>
          </cell>
        </row>
        <row r="129">
          <cell r="B129" t="str">
            <v>Oficce-boy/Contínuo 30 horas semanais</v>
          </cell>
        </row>
        <row r="130">
          <cell r="B130" t="str">
            <v>Oficce-boy/Contínuo 24 horas semanais</v>
          </cell>
        </row>
        <row r="131">
          <cell r="B131" t="str">
            <v>Oficce-boy/Contínuo 22 horas semanais</v>
          </cell>
        </row>
        <row r="132">
          <cell r="B132" t="str">
            <v>Oficce-boy/Contínuo 20 horas semanais</v>
          </cell>
        </row>
        <row r="133">
          <cell r="B133" t="str">
            <v>Operador de Máquinas 44 horas semanais</v>
          </cell>
        </row>
        <row r="134">
          <cell r="B134" t="str">
            <v>Operador de Máquinas 40 horas semanais</v>
          </cell>
        </row>
        <row r="135">
          <cell r="B135" t="str">
            <v>Operador de Máquinas 36 horas semanais</v>
          </cell>
        </row>
        <row r="136">
          <cell r="B136" t="str">
            <v>Operador de Máquinas 33 horas semanais</v>
          </cell>
        </row>
        <row r="137">
          <cell r="B137" t="str">
            <v>Operador de Máquinas 30 horas semanais</v>
          </cell>
        </row>
        <row r="138">
          <cell r="B138" t="str">
            <v>Operador de Máquinas 24 horas semanais</v>
          </cell>
        </row>
        <row r="139">
          <cell r="B139" t="str">
            <v>Operador de Máquinas 22 horas semanais</v>
          </cell>
        </row>
        <row r="140">
          <cell r="B140" t="str">
            <v>Operador de Máquinas 20 horas semanais</v>
          </cell>
        </row>
        <row r="141">
          <cell r="B141" t="str">
            <v>Porteiro 44 horas semanais</v>
          </cell>
        </row>
        <row r="142">
          <cell r="B142" t="str">
            <v>Porteiro 40 horas semanais</v>
          </cell>
        </row>
        <row r="143">
          <cell r="B143" t="str">
            <v>Porteiro 36 horas semanais</v>
          </cell>
        </row>
        <row r="144">
          <cell r="B144" t="str">
            <v>Porteiro 33 horas semanais</v>
          </cell>
        </row>
        <row r="145">
          <cell r="B145" t="str">
            <v>Porteiro 30 horas semanais</v>
          </cell>
        </row>
        <row r="146">
          <cell r="B146" t="str">
            <v>Porteiro 24 horas semanais</v>
          </cell>
        </row>
        <row r="147">
          <cell r="B147" t="str">
            <v>Porteiro 22 horas semanais</v>
          </cell>
        </row>
        <row r="148">
          <cell r="B148" t="str">
            <v>Porteiro 20 horas semanais</v>
          </cell>
        </row>
        <row r="149">
          <cell r="B149" t="str">
            <v>Porteiro 12x36 horas diurnas tdm</v>
          </cell>
        </row>
        <row r="150">
          <cell r="B150" t="str">
            <v>Porteiro 12x36 horas noturnas tdm</v>
          </cell>
        </row>
        <row r="151">
          <cell r="B151" t="str">
            <v>Porteiro 24 horas tdm</v>
          </cell>
        </row>
        <row r="152">
          <cell r="B152" t="str">
            <v>Porteiro SDF</v>
          </cell>
        </row>
        <row r="153">
          <cell r="B153" t="str">
            <v>Recepcionista 44 horas semanais</v>
          </cell>
        </row>
        <row r="154">
          <cell r="B154" t="str">
            <v>Recepcionista 40 horas semanais</v>
          </cell>
        </row>
        <row r="155">
          <cell r="B155" t="str">
            <v>Recepcionista 36 horas semanais</v>
          </cell>
        </row>
        <row r="156">
          <cell r="B156" t="str">
            <v>Recepcionista 33 horas semanais</v>
          </cell>
        </row>
        <row r="157">
          <cell r="B157" t="str">
            <v>Recepcionista 30 horas semanais</v>
          </cell>
        </row>
        <row r="158">
          <cell r="B158" t="str">
            <v>Recepcionista 24 horas semanais</v>
          </cell>
        </row>
        <row r="159">
          <cell r="B159" t="str">
            <v>Recepcionista 22 horas semanais</v>
          </cell>
        </row>
        <row r="160">
          <cell r="B160" t="str">
            <v>Recepcionista 20 horas semanais</v>
          </cell>
        </row>
        <row r="161">
          <cell r="B161" t="str">
            <v>Recepcionista 12x36 horas diurnas TDM</v>
          </cell>
        </row>
        <row r="162">
          <cell r="B162" t="str">
            <v>Recepcionista 12x36 horas noturnas TDM</v>
          </cell>
        </row>
        <row r="163">
          <cell r="B163" t="str">
            <v>Recepcionista 24 horas tdm</v>
          </cell>
        </row>
        <row r="164">
          <cell r="B164" t="str">
            <v>Servente 44 horas diurnas semanais</v>
          </cell>
        </row>
        <row r="165">
          <cell r="B165" t="str">
            <v>Servente 44 horas diurnas semanais (hospital)</v>
          </cell>
        </row>
        <row r="166">
          <cell r="B166" t="str">
            <v>Servente 40 horas diurnas semanais</v>
          </cell>
        </row>
        <row r="167">
          <cell r="B167" t="str">
            <v>Servente 36 horas diurnas semanais</v>
          </cell>
        </row>
        <row r="168">
          <cell r="B168" t="str">
            <v>Servente 33 horas diurnas semanais</v>
          </cell>
        </row>
        <row r="169">
          <cell r="B169" t="str">
            <v>Servente 30 horas diurnas semanais</v>
          </cell>
        </row>
        <row r="170">
          <cell r="B170" t="str">
            <v>Servente 24 horas diurnas semanais</v>
          </cell>
        </row>
        <row r="171">
          <cell r="B171" t="str">
            <v>Servente 22 horas diurnas semanais</v>
          </cell>
        </row>
        <row r="172">
          <cell r="B172" t="str">
            <v>Servente 20 horas diurnas semanais</v>
          </cell>
        </row>
        <row r="173">
          <cell r="B173" t="str">
            <v>Servente 12x36 horas diurnas TDM</v>
          </cell>
        </row>
        <row r="174">
          <cell r="B174" t="str">
            <v>Servente 12x36 horas noturnas TDM</v>
          </cell>
        </row>
        <row r="175">
          <cell r="B175" t="str">
            <v>Servente Copeira 44 horas semanais</v>
          </cell>
        </row>
        <row r="176">
          <cell r="B176" t="str">
            <v>Servente Copeira 40 horas semanais</v>
          </cell>
        </row>
        <row r="177">
          <cell r="B177" t="str">
            <v>Servente Copeira 36 horas semanais</v>
          </cell>
        </row>
        <row r="178">
          <cell r="B178" t="str">
            <v>Servente Copeira 33 horas semanais</v>
          </cell>
        </row>
        <row r="179">
          <cell r="B179" t="str">
            <v>Servente Copeira 30 horas semanais</v>
          </cell>
        </row>
        <row r="180">
          <cell r="B180" t="str">
            <v>Servente Copeira 24 horas semanais</v>
          </cell>
        </row>
        <row r="181">
          <cell r="B181" t="str">
            <v>Servente Copeira 22 horas semanais</v>
          </cell>
        </row>
        <row r="182">
          <cell r="B182" t="str">
            <v>Servente Copeira 20 horas semanais</v>
          </cell>
        </row>
        <row r="183">
          <cell r="B183" t="str">
            <v>Supervisor 44 horas semanais</v>
          </cell>
        </row>
        <row r="184">
          <cell r="B184" t="str">
            <v>Supervisor 40 horas semanais</v>
          </cell>
        </row>
        <row r="185">
          <cell r="B185" t="str">
            <v>Supervisor 36 horas semanais</v>
          </cell>
        </row>
        <row r="186">
          <cell r="B186" t="str">
            <v>Supervisor 33 horas semanais</v>
          </cell>
        </row>
        <row r="187">
          <cell r="B187" t="str">
            <v>Supervisor 30 horas semanais</v>
          </cell>
        </row>
        <row r="188">
          <cell r="B188" t="str">
            <v>Supervisor 24 horas semanais</v>
          </cell>
        </row>
        <row r="189">
          <cell r="B189" t="str">
            <v>Supervisor 22 horas semanais</v>
          </cell>
        </row>
        <row r="190">
          <cell r="B190" t="str">
            <v>Supervisor 20 horas semanais</v>
          </cell>
        </row>
        <row r="191">
          <cell r="B191" t="str">
            <v>Telefonista 36 horas semanais</v>
          </cell>
        </row>
        <row r="192">
          <cell r="B192" t="str">
            <v>Telefonista 30 horas semanais</v>
          </cell>
        </row>
        <row r="193">
          <cell r="B193" t="str">
            <v>Tratator de animais 44 horas semanais</v>
          </cell>
        </row>
        <row r="194">
          <cell r="B194" t="str">
            <v>Tratator de animais 40 horas semanais</v>
          </cell>
        </row>
        <row r="195">
          <cell r="B195" t="str">
            <v>Tratator de animais 36 horas semanais</v>
          </cell>
        </row>
        <row r="196">
          <cell r="B196" t="str">
            <v>Tratator de animais 33 horas semanais</v>
          </cell>
        </row>
        <row r="197">
          <cell r="B197" t="str">
            <v>Tratator de animais 30 horas semanais</v>
          </cell>
        </row>
        <row r="198">
          <cell r="B198" t="str">
            <v>Tratator de animais 24 horas semanais</v>
          </cell>
        </row>
        <row r="199">
          <cell r="B199" t="str">
            <v>Tratator de animais 22 horas semanais</v>
          </cell>
        </row>
        <row r="200">
          <cell r="B200" t="str">
            <v>Tratator de animais 20 horas semanais</v>
          </cell>
        </row>
        <row r="201">
          <cell r="B201" t="str">
            <v>Varredores 44 horas semanais</v>
          </cell>
        </row>
        <row r="202">
          <cell r="B202" t="str">
            <v>Varredores 40 horas semanais</v>
          </cell>
        </row>
        <row r="203">
          <cell r="B203" t="str">
            <v>Varredores 36 horas semanais</v>
          </cell>
        </row>
        <row r="204">
          <cell r="B204" t="str">
            <v>Varredores 33 horas semanais</v>
          </cell>
        </row>
        <row r="205">
          <cell r="B205" t="str">
            <v>Varredores 30 horas semanais</v>
          </cell>
        </row>
        <row r="206">
          <cell r="B206" t="str">
            <v>Varredores 24 horas semanais</v>
          </cell>
        </row>
        <row r="207">
          <cell r="B207" t="str">
            <v>Varredores 22 horas semanais</v>
          </cell>
        </row>
        <row r="208">
          <cell r="B208" t="str">
            <v>Varredores 20 horas semanais</v>
          </cell>
        </row>
        <row r="209">
          <cell r="B209" t="str">
            <v>Vigia 44 horas semanais</v>
          </cell>
        </row>
        <row r="210">
          <cell r="B210" t="str">
            <v>Vigia 40 horas semanais</v>
          </cell>
        </row>
        <row r="211">
          <cell r="B211" t="str">
            <v>Vigia 36 horas semanais</v>
          </cell>
        </row>
        <row r="212">
          <cell r="B212" t="str">
            <v>Vigia 33 horas semanais</v>
          </cell>
        </row>
        <row r="213">
          <cell r="B213" t="str">
            <v>Vigia 30 horas semanais</v>
          </cell>
        </row>
        <row r="214">
          <cell r="B214" t="str">
            <v>Vigia 24 horas semanais</v>
          </cell>
        </row>
        <row r="215">
          <cell r="B215" t="str">
            <v>Vigia 22 horas semanais</v>
          </cell>
        </row>
        <row r="216">
          <cell r="B216" t="str">
            <v>Vigia 20 horas semanais</v>
          </cell>
        </row>
        <row r="224">
          <cell r="B224" t="str">
            <v>Avental PVC</v>
          </cell>
        </row>
        <row r="225">
          <cell r="B225" t="str">
            <v>Boné</v>
          </cell>
        </row>
        <row r="226">
          <cell r="B226" t="str">
            <v>Bota de borracha</v>
          </cell>
        </row>
        <row r="227">
          <cell r="B227" t="str">
            <v>Botina</v>
          </cell>
        </row>
        <row r="228">
          <cell r="B228" t="str">
            <v>Calça bege</v>
          </cell>
        </row>
        <row r="229">
          <cell r="B229" t="str">
            <v>Calça branca</v>
          </cell>
        </row>
        <row r="230">
          <cell r="B230" t="str">
            <v>Calça social preta</v>
          </cell>
        </row>
        <row r="231">
          <cell r="B231" t="str">
            <v>Calça Tactel</v>
          </cell>
        </row>
        <row r="232">
          <cell r="B232" t="str">
            <v>Camisa Gola Pólo MC</v>
          </cell>
        </row>
        <row r="233">
          <cell r="B233" t="str">
            <v>Camisa Gola Pólo ML</v>
          </cell>
        </row>
        <row r="234">
          <cell r="B234" t="str">
            <v>Camisa MC</v>
          </cell>
        </row>
        <row r="235">
          <cell r="B235" t="str">
            <v>Camisa ML</v>
          </cell>
        </row>
        <row r="236">
          <cell r="B236" t="str">
            <v>Camiseta MC</v>
          </cell>
        </row>
        <row r="237">
          <cell r="B237" t="str">
            <v>Camiseta ML</v>
          </cell>
        </row>
        <row r="238">
          <cell r="B238" t="str">
            <v>Camisete MC</v>
          </cell>
        </row>
        <row r="239">
          <cell r="B239" t="str">
            <v>Camisete ML</v>
          </cell>
        </row>
        <row r="240">
          <cell r="B240" t="str">
            <v>Capa de chuva</v>
          </cell>
        </row>
        <row r="241">
          <cell r="B241" t="str">
            <v>Gravata</v>
          </cell>
        </row>
        <row r="242">
          <cell r="B242" t="str">
            <v>Guarda pó MC</v>
          </cell>
        </row>
        <row r="243">
          <cell r="B243" t="str">
            <v>Guarda pó ML</v>
          </cell>
        </row>
        <row r="244">
          <cell r="B244" t="str">
            <v>Jaleco MC</v>
          </cell>
        </row>
        <row r="245">
          <cell r="B245" t="str">
            <v>Jaleco ML</v>
          </cell>
        </row>
        <row r="246">
          <cell r="B246" t="str">
            <v>Jaqueta</v>
          </cell>
        </row>
        <row r="247">
          <cell r="B247" t="str">
            <v>Lenço</v>
          </cell>
        </row>
        <row r="248">
          <cell r="B248" t="str">
            <v>Luva térmica</v>
          </cell>
        </row>
        <row r="249">
          <cell r="B249" t="str">
            <v>Luva de borracha</v>
          </cell>
        </row>
        <row r="250">
          <cell r="B250" t="str">
            <v>Luva de procedimento</v>
          </cell>
        </row>
        <row r="251">
          <cell r="B251" t="str">
            <v>Luva de raspa de couro</v>
          </cell>
        </row>
        <row r="252">
          <cell r="B252" t="str">
            <v>Luva de vinil</v>
          </cell>
        </row>
        <row r="253">
          <cell r="B253" t="str">
            <v>Luva Longatex</v>
          </cell>
        </row>
        <row r="254">
          <cell r="B254" t="str">
            <v>Máscara semi-facial</v>
          </cell>
        </row>
        <row r="255">
          <cell r="B255" t="str">
            <v>Perneira de raspa</v>
          </cell>
        </row>
        <row r="256">
          <cell r="B256" t="str">
            <v>Protetor auricular tipo concha</v>
          </cell>
        </row>
        <row r="257">
          <cell r="B257" t="str">
            <v>Protetor solar</v>
          </cell>
        </row>
        <row r="258">
          <cell r="B258" t="str">
            <v>Sapato</v>
          </cell>
        </row>
        <row r="259">
          <cell r="B259" t="str">
            <v>Touca de TNT</v>
          </cell>
        </row>
      </sheetData>
      <sheetData sheetId="3">
        <row r="5">
          <cell r="C5" t="str">
            <v>ADRIANOPOLIS</v>
          </cell>
          <cell r="O5" t="str">
            <v>Segunda a Sexta</v>
          </cell>
          <cell r="Q5" t="str">
            <v>M. Obra</v>
          </cell>
        </row>
        <row r="6">
          <cell r="C6" t="str">
            <v>AGUDOS DO SUL</v>
          </cell>
          <cell r="O6" t="str">
            <v>Segunda a Sábado</v>
          </cell>
          <cell r="Q6" t="str">
            <v>Limpeza</v>
          </cell>
        </row>
        <row r="7">
          <cell r="C7" t="str">
            <v>ALM. TAMANDARÉ</v>
          </cell>
          <cell r="O7" t="str">
            <v>Segunda a Domingo</v>
          </cell>
          <cell r="Q7" t="str">
            <v>Vigilância</v>
          </cell>
        </row>
        <row r="8">
          <cell r="C8" t="str">
            <v>ALTONIA</v>
          </cell>
          <cell r="O8" t="str">
            <v>SDF</v>
          </cell>
        </row>
        <row r="9">
          <cell r="C9" t="str">
            <v>ALTO PARANÁ</v>
          </cell>
        </row>
        <row r="10">
          <cell r="C10" t="str">
            <v>AMPERE</v>
          </cell>
        </row>
        <row r="11">
          <cell r="C11" t="str">
            <v>ANDIRA</v>
          </cell>
        </row>
        <row r="12">
          <cell r="C12" t="str">
            <v>ANTONINA</v>
          </cell>
        </row>
        <row r="13">
          <cell r="C13" t="str">
            <v>ANTONIO OLINTO</v>
          </cell>
        </row>
        <row r="14">
          <cell r="C14" t="str">
            <v>APUCARANA (PAR)</v>
          </cell>
        </row>
        <row r="15">
          <cell r="C15" t="str">
            <v>ARAPONGAS</v>
          </cell>
        </row>
        <row r="16">
          <cell r="C16" t="str">
            <v>ARAPOTI</v>
          </cell>
        </row>
        <row r="17">
          <cell r="C17" t="str">
            <v>ARAUCARIA</v>
          </cell>
        </row>
        <row r="18">
          <cell r="C18" t="str">
            <v>ASSAI</v>
          </cell>
        </row>
        <row r="19">
          <cell r="C19" t="str">
            <v>ASSIS CHATEAUBRIAN</v>
          </cell>
        </row>
        <row r="20">
          <cell r="C20" t="str">
            <v>ASTORGA</v>
          </cell>
        </row>
        <row r="21">
          <cell r="C21" t="str">
            <v>BALSA NOVA</v>
          </cell>
        </row>
        <row r="22">
          <cell r="C22" t="str">
            <v>BANDEIRANTES</v>
          </cell>
        </row>
        <row r="23">
          <cell r="C23" t="str">
            <v>BARBOSA FERRAZ</v>
          </cell>
        </row>
        <row r="24">
          <cell r="C24" t="str">
            <v>BARRACÃO</v>
          </cell>
        </row>
        <row r="25">
          <cell r="C25" t="str">
            <v>BOCAIUVA DO SUL</v>
          </cell>
        </row>
        <row r="26">
          <cell r="C26" t="str">
            <v>CAMBARA</v>
          </cell>
        </row>
        <row r="27">
          <cell r="C27" t="str">
            <v>CAMBE</v>
          </cell>
        </row>
        <row r="28">
          <cell r="C28" t="str">
            <v>CAMPINA DA LAGOA</v>
          </cell>
        </row>
        <row r="29">
          <cell r="C29" t="str">
            <v>CAMPINA GRANDE DO SUL</v>
          </cell>
        </row>
        <row r="30">
          <cell r="C30" t="str">
            <v>CAMPO DO TENENTE</v>
          </cell>
        </row>
        <row r="31">
          <cell r="C31" t="str">
            <v xml:space="preserve">CAMPO LARGO </v>
          </cell>
        </row>
        <row r="32">
          <cell r="C32" t="str">
            <v>CAMPO MAGRO</v>
          </cell>
        </row>
        <row r="33">
          <cell r="C33" t="str">
            <v>CAMPO MOURAO</v>
          </cell>
        </row>
        <row r="34">
          <cell r="C34" t="str">
            <v>CAPANEMA</v>
          </cell>
        </row>
        <row r="35">
          <cell r="C35" t="str">
            <v>CAPITAL LEONIDAS MARQUES</v>
          </cell>
        </row>
        <row r="36">
          <cell r="C36" t="str">
            <v>CARLÓPOLIS</v>
          </cell>
        </row>
        <row r="37">
          <cell r="C37" t="str">
            <v xml:space="preserve">CASCAVEL </v>
          </cell>
        </row>
        <row r="38">
          <cell r="C38" t="str">
            <v>CASTRO</v>
          </cell>
        </row>
        <row r="39">
          <cell r="C39" t="str">
            <v>CATANDUVAS</v>
          </cell>
        </row>
        <row r="40">
          <cell r="C40" t="str">
            <v>CENTENÁRIO DO SUL</v>
          </cell>
        </row>
        <row r="41">
          <cell r="C41" t="str">
            <v>CEU AZUL</v>
          </cell>
        </row>
        <row r="42">
          <cell r="C42" t="str">
            <v>CERRO AZUL</v>
          </cell>
        </row>
        <row r="43">
          <cell r="C43" t="str">
            <v>CHOPINZINHO</v>
          </cell>
        </row>
        <row r="44">
          <cell r="C44" t="str">
            <v>CIANORTE</v>
          </cell>
        </row>
        <row r="45">
          <cell r="C45" t="str">
            <v>CLEVELÂNDIA</v>
          </cell>
        </row>
        <row r="46">
          <cell r="C46" t="str">
            <v xml:space="preserve">COLOMBO </v>
          </cell>
        </row>
        <row r="47">
          <cell r="C47" t="str">
            <v>COLORADO</v>
          </cell>
        </row>
        <row r="48">
          <cell r="C48" t="str">
            <v>CONTENDA</v>
          </cell>
        </row>
        <row r="49">
          <cell r="C49" t="str">
            <v>CORBELIA</v>
          </cell>
        </row>
        <row r="50">
          <cell r="C50" t="str">
            <v>CORNELIO PROCOPIO</v>
          </cell>
        </row>
        <row r="51">
          <cell r="C51" t="str">
            <v>CRUZEIRO DO OESTE</v>
          </cell>
        </row>
        <row r="52">
          <cell r="C52" t="str">
            <v xml:space="preserve">CURITIBA </v>
          </cell>
        </row>
        <row r="53">
          <cell r="C53" t="str">
            <v>DOIS VIZINHOS</v>
          </cell>
        </row>
        <row r="54">
          <cell r="C54" t="str">
            <v>DOUTOR ULYSSES</v>
          </cell>
        </row>
        <row r="55">
          <cell r="C55" t="str">
            <v>ENGENHEIRO BELTRÃO</v>
          </cell>
        </row>
        <row r="56">
          <cell r="C56" t="str">
            <v>FAZENDA RIO GRANDE</v>
          </cell>
        </row>
        <row r="57">
          <cell r="C57" t="str">
            <v>FIGUEIRA</v>
          </cell>
        </row>
        <row r="58">
          <cell r="C58" t="str">
            <v>FOZ DO IGUACU</v>
          </cell>
        </row>
        <row r="59">
          <cell r="C59" t="str">
            <v>FRANCISCO BELTRAO</v>
          </cell>
        </row>
        <row r="60">
          <cell r="C60" t="str">
            <v>GOIOERE</v>
          </cell>
        </row>
        <row r="61">
          <cell r="C61" t="str">
            <v>GUAIRA</v>
          </cell>
        </row>
        <row r="62">
          <cell r="C62" t="str">
            <v>GUARAPUAVA</v>
          </cell>
        </row>
        <row r="63">
          <cell r="C63" t="str">
            <v>GUARAQUEÇABA</v>
          </cell>
        </row>
        <row r="64">
          <cell r="C64" t="str">
            <v>GUARATUBA</v>
          </cell>
        </row>
        <row r="65">
          <cell r="C65" t="str">
            <v>IBAITI</v>
          </cell>
        </row>
        <row r="66">
          <cell r="C66" t="str">
            <v>IBIPORA</v>
          </cell>
        </row>
        <row r="67">
          <cell r="C67" t="str">
            <v>ICARAIMA</v>
          </cell>
        </row>
        <row r="68">
          <cell r="C68" t="str">
            <v>IMBITUVA</v>
          </cell>
        </row>
        <row r="69">
          <cell r="C69" t="str">
            <v>IPORA</v>
          </cell>
        </row>
        <row r="70">
          <cell r="C70" t="str">
            <v>IRATI</v>
          </cell>
        </row>
        <row r="71">
          <cell r="C71" t="str">
            <v>ITAPERUÇU</v>
          </cell>
        </row>
        <row r="72">
          <cell r="C72" t="str">
            <v>IVAIPORA</v>
          </cell>
        </row>
        <row r="73">
          <cell r="C73" t="str">
            <v>JACAREZINHO</v>
          </cell>
        </row>
        <row r="74">
          <cell r="C74" t="str">
            <v>JAGUAPITÃ</v>
          </cell>
        </row>
        <row r="75">
          <cell r="C75" t="str">
            <v>JAGUARIAIVA</v>
          </cell>
        </row>
        <row r="76">
          <cell r="C76" t="str">
            <v>JANDAIA DO SUL</v>
          </cell>
        </row>
        <row r="77">
          <cell r="C77" t="str">
            <v>LAPA</v>
          </cell>
        </row>
        <row r="78">
          <cell r="C78" t="str">
            <v>LARANJEIRAS DO SUL</v>
          </cell>
        </row>
        <row r="79">
          <cell r="C79" t="str">
            <v>LOANDA</v>
          </cell>
        </row>
        <row r="80">
          <cell r="C80" t="str">
            <v xml:space="preserve">LONDRINA </v>
          </cell>
        </row>
        <row r="81">
          <cell r="C81" t="str">
            <v>MAMBORE</v>
          </cell>
        </row>
        <row r="82">
          <cell r="C82" t="str">
            <v>MANDAGUAÇU</v>
          </cell>
        </row>
        <row r="83">
          <cell r="C83" t="str">
            <v>MANDAGUARI</v>
          </cell>
        </row>
        <row r="84">
          <cell r="C84" t="str">
            <v>MANDIRITUBA</v>
          </cell>
        </row>
        <row r="85">
          <cell r="C85" t="str">
            <v>MANGUEIRINHA</v>
          </cell>
        </row>
        <row r="86">
          <cell r="C86" t="str">
            <v>MAR. CANDIDO RONDON</v>
          </cell>
        </row>
        <row r="87">
          <cell r="C87" t="str">
            <v>MARIALVA</v>
          </cell>
        </row>
        <row r="88">
          <cell r="C88" t="str">
            <v>MARINGA</v>
          </cell>
        </row>
        <row r="89">
          <cell r="C89" t="str">
            <v>MARMELEIRO</v>
          </cell>
        </row>
        <row r="90">
          <cell r="C90" t="str">
            <v>MATELÂNDIA</v>
          </cell>
        </row>
        <row r="91">
          <cell r="C91" t="str">
            <v>MATINHOS (PAT)</v>
          </cell>
        </row>
        <row r="92">
          <cell r="C92" t="str">
            <v>MEDIANEIRA</v>
          </cell>
        </row>
        <row r="93">
          <cell r="C93" t="str">
            <v>MORRETES</v>
          </cell>
        </row>
        <row r="94">
          <cell r="C94" t="str">
            <v>NOVA ESPERANCA</v>
          </cell>
        </row>
        <row r="95">
          <cell r="C95" t="str">
            <v xml:space="preserve">NOVA LONDRINA </v>
          </cell>
        </row>
        <row r="96">
          <cell r="C96" t="str">
            <v>PALMAS</v>
          </cell>
        </row>
        <row r="97">
          <cell r="C97" t="str">
            <v>PALMEIRA</v>
          </cell>
        </row>
        <row r="98">
          <cell r="C98" t="str">
            <v>PALOTINA</v>
          </cell>
        </row>
        <row r="99">
          <cell r="C99" t="str">
            <v>PARAISO DO NORTE</v>
          </cell>
        </row>
        <row r="100">
          <cell r="C100" t="str">
            <v>PARANAGUA</v>
          </cell>
        </row>
        <row r="101">
          <cell r="C101" t="str">
            <v>PARANAVAI</v>
          </cell>
        </row>
        <row r="102">
          <cell r="C102" t="str">
            <v>PATO BRANCO</v>
          </cell>
        </row>
        <row r="103">
          <cell r="C103" t="str">
            <v>PEABIRU</v>
          </cell>
        </row>
        <row r="104">
          <cell r="C104" t="str">
            <v>PIEN</v>
          </cell>
        </row>
        <row r="105">
          <cell r="C105" t="str">
            <v>PINHAIS</v>
          </cell>
        </row>
        <row r="106">
          <cell r="C106" t="str">
            <v>PINHÃO</v>
          </cell>
        </row>
        <row r="107">
          <cell r="C107" t="str">
            <v>PIRAÍ DO SUL</v>
          </cell>
        </row>
        <row r="108">
          <cell r="C108" t="str">
            <v>PIRAQUARA(PAR)</v>
          </cell>
        </row>
        <row r="109">
          <cell r="C109" t="str">
            <v>PITANGA</v>
          </cell>
        </row>
        <row r="110">
          <cell r="C110" t="str">
            <v xml:space="preserve">PONTA GROSSA </v>
          </cell>
        </row>
        <row r="111">
          <cell r="C111" t="str">
            <v>PONTAL DO PARANÁ</v>
          </cell>
        </row>
        <row r="112">
          <cell r="C112" t="str">
            <v>PORECATU</v>
          </cell>
        </row>
        <row r="113">
          <cell r="C113" t="str">
            <v>PRUDENTOPOLIS</v>
          </cell>
        </row>
        <row r="114">
          <cell r="C114" t="str">
            <v>QUATRO BARRAS</v>
          </cell>
        </row>
        <row r="115">
          <cell r="C115" t="str">
            <v>QUEDAS DO IGUAÇU</v>
          </cell>
        </row>
        <row r="116">
          <cell r="C116" t="str">
            <v>QUITANDINHA</v>
          </cell>
        </row>
        <row r="117">
          <cell r="C117" t="str">
            <v>REALEZA</v>
          </cell>
        </row>
        <row r="118">
          <cell r="C118" t="str">
            <v>RESERVA DO IGUAÇU</v>
          </cell>
        </row>
        <row r="119">
          <cell r="C119" t="str">
            <v>RIBEIRAO CLARO</v>
          </cell>
        </row>
        <row r="120">
          <cell r="C120" t="str">
            <v>RIO BONITO DO IGUAÇU</v>
          </cell>
        </row>
        <row r="121">
          <cell r="C121" t="str">
            <v>RIO BRANCO DO SUL</v>
          </cell>
        </row>
        <row r="122">
          <cell r="C122" t="str">
            <v>RIO NEGRO</v>
          </cell>
        </row>
        <row r="123">
          <cell r="C123" t="str">
            <v>ROLANDIA</v>
          </cell>
        </row>
        <row r="124">
          <cell r="C124" t="str">
            <v>SANTA HELENA</v>
          </cell>
        </row>
        <row r="125">
          <cell r="C125" t="str">
            <v>SÃO JOÃO DO IVAI</v>
          </cell>
        </row>
        <row r="126">
          <cell r="C126" t="str">
            <v xml:space="preserve">SÃO JOSE DOS PINHAIS </v>
          </cell>
        </row>
        <row r="127">
          <cell r="C127" t="str">
            <v>SAO MATEUS DO SUL</v>
          </cell>
        </row>
        <row r="128">
          <cell r="C128" t="str">
            <v>SÃO MIGUEL DO IGUAÇU</v>
          </cell>
        </row>
        <row r="129">
          <cell r="C129" t="str">
            <v>SARANDI</v>
          </cell>
        </row>
        <row r="130">
          <cell r="C130" t="str">
            <v>SENGÉS</v>
          </cell>
        </row>
        <row r="131">
          <cell r="C131" t="str">
            <v>SIQUEIRA CAMPOS</v>
          </cell>
        </row>
        <row r="132">
          <cell r="C132" t="str">
            <v>STA TEREZA DO OESTE</v>
          </cell>
        </row>
        <row r="133">
          <cell r="C133" t="str">
            <v>STO. ANTONIO DA PLATINA</v>
          </cell>
        </row>
        <row r="134">
          <cell r="C134" t="str">
            <v>STO ANTONIO DO PARAISO</v>
          </cell>
        </row>
        <row r="135">
          <cell r="C135" t="str">
            <v>STO. ANTONIO DO SUDOESTE</v>
          </cell>
        </row>
        <row r="136">
          <cell r="C136" t="str">
            <v>TELEMACO BORBA</v>
          </cell>
        </row>
        <row r="137">
          <cell r="C137" t="str">
            <v>TERRA BOA</v>
          </cell>
        </row>
        <row r="138">
          <cell r="C138" t="str">
            <v>TERRA RICA</v>
          </cell>
        </row>
        <row r="139">
          <cell r="C139" t="str">
            <v>TIBAGI</v>
          </cell>
        </row>
        <row r="140">
          <cell r="C140" t="str">
            <v>TIJUCAS DO SUL</v>
          </cell>
        </row>
        <row r="141">
          <cell r="C141" t="str">
            <v>TOLEDO</v>
          </cell>
        </row>
        <row r="142">
          <cell r="C142" t="str">
            <v>TUNAS DO PARANÁ</v>
          </cell>
        </row>
        <row r="143">
          <cell r="C143" t="str">
            <v>UBIRATÃ</v>
          </cell>
        </row>
        <row r="144">
          <cell r="C144" t="str">
            <v>UMUARAMA</v>
          </cell>
        </row>
        <row r="145">
          <cell r="C145" t="str">
            <v>UNIAO DA VITORIA</v>
          </cell>
        </row>
        <row r="146">
          <cell r="C146" t="str">
            <v>VERA CRUZ D'OESTE</v>
          </cell>
        </row>
        <row r="147">
          <cell r="C147" t="str">
            <v>VIRMOND</v>
          </cell>
        </row>
        <row r="148">
          <cell r="C148" t="str">
            <v>WENCESLAU BRAZ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erações"/>
      <sheetName val="BD-1"/>
      <sheetName val="BD-2"/>
      <sheetName val="RESUMO FORMAÇÃO "/>
      <sheetName val="1"/>
      <sheetName val="1A"/>
      <sheetName val="B"/>
      <sheetName val="C"/>
      <sheetName val="Outras CCTs"/>
      <sheetName val="2A"/>
      <sheetName val="2B"/>
      <sheetName val="3B"/>
      <sheetName val="Carta Proposta"/>
    </sheetNames>
    <sheetDataSet>
      <sheetData sheetId="0"/>
      <sheetData sheetId="1"/>
      <sheetData sheetId="2">
        <row r="5">
          <cell r="C5" t="str">
            <v>ABELARDO LUZ</v>
          </cell>
        </row>
        <row r="6">
          <cell r="C6" t="str">
            <v>ALFREDO WAGNER</v>
          </cell>
        </row>
        <row r="7">
          <cell r="C7" t="str">
            <v>ANCHIETA</v>
          </cell>
        </row>
        <row r="8">
          <cell r="C8" t="str">
            <v>ANITA GARIBALDI</v>
          </cell>
        </row>
        <row r="9">
          <cell r="C9" t="str">
            <v>ANTONIO CARLOS</v>
          </cell>
        </row>
        <row r="10">
          <cell r="C10" t="str">
            <v>APIÚNA</v>
          </cell>
        </row>
        <row r="11">
          <cell r="C11" t="str">
            <v>ARAQUARI</v>
          </cell>
        </row>
        <row r="12">
          <cell r="C12" t="str">
            <v>ARARANGUA</v>
          </cell>
        </row>
        <row r="13">
          <cell r="C13" t="str">
            <v>ARMAZÉM</v>
          </cell>
        </row>
        <row r="14">
          <cell r="C14" t="str">
            <v>ASCURRAS</v>
          </cell>
        </row>
        <row r="15">
          <cell r="C15" t="str">
            <v xml:space="preserve">BALNEÁRIO CAMBORIÚ </v>
          </cell>
        </row>
        <row r="16">
          <cell r="C16" t="str">
            <v>BALNEÁRIO PIÇARRAS</v>
          </cell>
        </row>
        <row r="17">
          <cell r="C17" t="str">
            <v>BARRA VELHA</v>
          </cell>
        </row>
        <row r="18">
          <cell r="C18" t="str">
            <v>BENEDITO NOVO</v>
          </cell>
        </row>
        <row r="19">
          <cell r="C19" t="str">
            <v xml:space="preserve">BIGUACU </v>
          </cell>
        </row>
        <row r="20">
          <cell r="C20" t="str">
            <v xml:space="preserve">BLUMENAU </v>
          </cell>
        </row>
        <row r="21">
          <cell r="C21" t="str">
            <v>BOM JARDIM DA SERRA</v>
          </cell>
        </row>
        <row r="22">
          <cell r="C22" t="str">
            <v>BOM RETIRO</v>
          </cell>
        </row>
        <row r="23">
          <cell r="C23" t="str">
            <v>BOMBINHAS</v>
          </cell>
        </row>
        <row r="24">
          <cell r="C24" t="str">
            <v>BOTUVERÁ</v>
          </cell>
        </row>
        <row r="25">
          <cell r="C25" t="str">
            <v>BRACO DO NORTE</v>
          </cell>
        </row>
        <row r="26">
          <cell r="C26" t="str">
            <v>BRUSQUE</v>
          </cell>
        </row>
        <row r="27">
          <cell r="C27" t="str">
            <v>CACADOR</v>
          </cell>
        </row>
        <row r="28">
          <cell r="C28" t="str">
            <v>CAMBORIÚ</v>
          </cell>
        </row>
        <row r="29">
          <cell r="C29" t="str">
            <v>CAMPO BELO DO SUL</v>
          </cell>
        </row>
        <row r="30">
          <cell r="C30" t="str">
            <v>CAMPO ERÊ</v>
          </cell>
        </row>
        <row r="31">
          <cell r="C31" t="str">
            <v>CAMPOS NOVOS</v>
          </cell>
        </row>
        <row r="32">
          <cell r="C32" t="str">
            <v>CANOINHAS</v>
          </cell>
        </row>
        <row r="33">
          <cell r="C33" t="str">
            <v>CAPINZAL</v>
          </cell>
        </row>
        <row r="34">
          <cell r="C34" t="str">
            <v>CAPIVARI DE BAIXO</v>
          </cell>
        </row>
        <row r="35">
          <cell r="C35" t="str">
            <v>CATANDUVAS</v>
          </cell>
        </row>
        <row r="36">
          <cell r="C36" t="str">
            <v xml:space="preserve">CHAPECO </v>
          </cell>
        </row>
        <row r="37">
          <cell r="C37" t="str">
            <v>COCAL DO SUL</v>
          </cell>
        </row>
        <row r="38">
          <cell r="C38" t="str">
            <v>CONCORDIA</v>
          </cell>
        </row>
        <row r="39">
          <cell r="C39" t="str">
            <v>CORONEL FREITAS</v>
          </cell>
        </row>
        <row r="40">
          <cell r="C40" t="str">
            <v>CORREIA PINTO</v>
          </cell>
        </row>
        <row r="41">
          <cell r="C41" t="str">
            <v>CORUPA</v>
          </cell>
        </row>
        <row r="42">
          <cell r="C42" t="str">
            <v xml:space="preserve">CRICIUMA </v>
          </cell>
        </row>
        <row r="43">
          <cell r="C43" t="str">
            <v>CUNHA PORÃ</v>
          </cell>
        </row>
        <row r="44">
          <cell r="C44" t="str">
            <v>CURITIBANOS</v>
          </cell>
        </row>
        <row r="45">
          <cell r="C45" t="str">
            <v>DESCANSO</v>
          </cell>
        </row>
        <row r="46">
          <cell r="C46" t="str">
            <v>DIONÍSIO CERQUEIRA</v>
          </cell>
        </row>
        <row r="47">
          <cell r="C47" t="str">
            <v>DR.PEDRINHO</v>
          </cell>
        </row>
        <row r="48">
          <cell r="C48" t="str">
            <v>DUNAPOLIS</v>
          </cell>
        </row>
        <row r="49">
          <cell r="C49" t="str">
            <v>ENTRE RIOS</v>
          </cell>
        </row>
        <row r="50">
          <cell r="C50" t="str">
            <v>FLORIANÓPOLIS</v>
          </cell>
        </row>
        <row r="51">
          <cell r="C51" t="str">
            <v>FORQUILHINHAS</v>
          </cell>
        </row>
        <row r="52">
          <cell r="C52" t="str">
            <v>FRAIBURGO</v>
          </cell>
        </row>
        <row r="53">
          <cell r="C53" t="str">
            <v>GAROPABA</v>
          </cell>
        </row>
        <row r="54">
          <cell r="C54" t="str">
            <v>GARUVA</v>
          </cell>
        </row>
        <row r="55">
          <cell r="C55" t="str">
            <v>GASPAR</v>
          </cell>
        </row>
        <row r="56">
          <cell r="C56" t="str">
            <v>GOVERNADOR CELSO RAMOS</v>
          </cell>
        </row>
        <row r="57">
          <cell r="C57" t="str">
            <v>GRAVATAL</v>
          </cell>
        </row>
        <row r="58">
          <cell r="C58" t="str">
            <v>GUABIRUBA</v>
          </cell>
        </row>
        <row r="59">
          <cell r="C59" t="str">
            <v>GUARAMIRIM</v>
          </cell>
        </row>
        <row r="60">
          <cell r="C60" t="str">
            <v>GUATAMBÚ</v>
          </cell>
        </row>
        <row r="61">
          <cell r="C61" t="str">
            <v>HERVAL D'OESTE</v>
          </cell>
        </row>
        <row r="62">
          <cell r="C62" t="str">
            <v>IBIRAMA</v>
          </cell>
        </row>
        <row r="63">
          <cell r="C63" t="str">
            <v>ICARA</v>
          </cell>
        </row>
        <row r="64">
          <cell r="C64" t="str">
            <v>ILHOTA</v>
          </cell>
        </row>
        <row r="65">
          <cell r="C65" t="str">
            <v>IMARUIM</v>
          </cell>
        </row>
        <row r="66">
          <cell r="C66" t="str">
            <v>IMBITUBA</v>
          </cell>
        </row>
        <row r="67">
          <cell r="C67" t="str">
            <v>INDAIAL</v>
          </cell>
        </row>
        <row r="68">
          <cell r="C68" t="str">
            <v>IPATINGA</v>
          </cell>
        </row>
        <row r="69">
          <cell r="C69" t="str">
            <v>IPUAÇU</v>
          </cell>
        </row>
        <row r="70">
          <cell r="C70" t="str">
            <v>IPUMIRIM</v>
          </cell>
        </row>
        <row r="71">
          <cell r="C71" t="str">
            <v>ITÁ</v>
          </cell>
        </row>
        <row r="72">
          <cell r="C72" t="str">
            <v>ITAIÓPOLIS</v>
          </cell>
        </row>
        <row r="73">
          <cell r="C73" t="str">
            <v xml:space="preserve">ITAJAI </v>
          </cell>
        </row>
        <row r="74">
          <cell r="C74" t="str">
            <v>ITAPEMA</v>
          </cell>
        </row>
        <row r="75">
          <cell r="C75" t="str">
            <v>ITAPIRANGA</v>
          </cell>
        </row>
        <row r="76">
          <cell r="C76" t="str">
            <v>ITAPOÁ</v>
          </cell>
        </row>
        <row r="77">
          <cell r="C77" t="str">
            <v>ITUPORANGA</v>
          </cell>
        </row>
        <row r="78">
          <cell r="C78" t="str">
            <v>JACINTO MACHADO</v>
          </cell>
        </row>
        <row r="79">
          <cell r="C79" t="str">
            <v>JAGUARUNA</v>
          </cell>
        </row>
        <row r="80">
          <cell r="C80" t="str">
            <v xml:space="preserve">JARAGUA DO SUL </v>
          </cell>
        </row>
        <row r="81">
          <cell r="C81" t="str">
            <v>JOACABA</v>
          </cell>
        </row>
        <row r="82">
          <cell r="C82" t="str">
            <v xml:space="preserve">JOINVILLE </v>
          </cell>
        </row>
        <row r="83">
          <cell r="C83" t="str">
            <v>JOSÉ BOITEUX</v>
          </cell>
        </row>
        <row r="84">
          <cell r="C84" t="str">
            <v xml:space="preserve">LAGES </v>
          </cell>
        </row>
        <row r="85">
          <cell r="C85" t="str">
            <v>LAGUNA</v>
          </cell>
        </row>
        <row r="86">
          <cell r="C86" t="str">
            <v>LAURO MÜLLER</v>
          </cell>
        </row>
        <row r="87">
          <cell r="C87" t="str">
            <v>LEBON RÉGIS</v>
          </cell>
        </row>
        <row r="88">
          <cell r="C88" t="str">
            <v>LONTRAS</v>
          </cell>
        </row>
        <row r="89">
          <cell r="C89" t="str">
            <v>LUIS ALVES</v>
          </cell>
        </row>
        <row r="90">
          <cell r="C90" t="str">
            <v>LUZERNA</v>
          </cell>
        </row>
        <row r="91">
          <cell r="C91" t="str">
            <v>MAFRA</v>
          </cell>
        </row>
        <row r="92">
          <cell r="C92" t="str">
            <v>MAJOR VIEIRA</v>
          </cell>
        </row>
        <row r="93">
          <cell r="C93" t="str">
            <v>MARAVILHA</v>
          </cell>
        </row>
        <row r="94">
          <cell r="C94" t="str">
            <v>MASSARANDUBA</v>
          </cell>
        </row>
        <row r="95">
          <cell r="C95" t="str">
            <v>MELEIROS</v>
          </cell>
        </row>
        <row r="96">
          <cell r="C96" t="str">
            <v>MODELO</v>
          </cell>
        </row>
        <row r="97">
          <cell r="C97" t="str">
            <v>MONDAÍ</v>
          </cell>
        </row>
        <row r="98">
          <cell r="C98" t="str">
            <v>MONTE CASTELO</v>
          </cell>
        </row>
        <row r="99">
          <cell r="C99" t="str">
            <v>MORRO DA FUMACA</v>
          </cell>
        </row>
        <row r="100">
          <cell r="C100" t="str">
            <v>NAVEGANTES</v>
          </cell>
        </row>
        <row r="101">
          <cell r="C101" t="str">
            <v>NOVA TRENTO</v>
          </cell>
        </row>
        <row r="102">
          <cell r="C102" t="str">
            <v>NOVA VENEZA</v>
          </cell>
        </row>
        <row r="103">
          <cell r="C103" t="str">
            <v>ORLEANS</v>
          </cell>
        </row>
        <row r="104">
          <cell r="C104" t="str">
            <v>OTACILIO COSTA</v>
          </cell>
        </row>
        <row r="105">
          <cell r="C105" t="str">
            <v xml:space="preserve">PALHOÇA </v>
          </cell>
        </row>
        <row r="106">
          <cell r="C106" t="str">
            <v>PALMITOS</v>
          </cell>
        </row>
        <row r="107">
          <cell r="C107" t="str">
            <v>PAPANDUVAS</v>
          </cell>
        </row>
        <row r="108">
          <cell r="C108" t="str">
            <v>PENHA</v>
          </cell>
        </row>
        <row r="109">
          <cell r="C109" t="str">
            <v>PIÇARRAS</v>
          </cell>
        </row>
        <row r="110">
          <cell r="C110" t="str">
            <v>PINHALZINHO</v>
          </cell>
        </row>
        <row r="111">
          <cell r="C111" t="str">
            <v>POMERODE</v>
          </cell>
        </row>
        <row r="112">
          <cell r="C112" t="str">
            <v>PONTE SERRADA</v>
          </cell>
        </row>
        <row r="113">
          <cell r="C113" t="str">
            <v>PORTO BELO</v>
          </cell>
        </row>
        <row r="114">
          <cell r="C114" t="str">
            <v>PORTO UNIAO</v>
          </cell>
        </row>
        <row r="115">
          <cell r="C115" t="str">
            <v>POUSO REDONDO</v>
          </cell>
        </row>
        <row r="116">
          <cell r="C116" t="str">
            <v>PRAIA GRANDE</v>
          </cell>
        </row>
        <row r="117">
          <cell r="C117" t="str">
            <v>PRESIDENTE GETÚLIO</v>
          </cell>
        </row>
        <row r="118">
          <cell r="C118" t="str">
            <v>QUILOMBO</v>
          </cell>
        </row>
        <row r="119">
          <cell r="C119" t="str">
            <v>RIO DO CAMPO</v>
          </cell>
        </row>
        <row r="120">
          <cell r="C120" t="str">
            <v>RIO DO OESTE</v>
          </cell>
        </row>
        <row r="121">
          <cell r="C121" t="str">
            <v>RIO DO SUL</v>
          </cell>
        </row>
        <row r="122">
          <cell r="C122" t="str">
            <v>RIO DOS CEDROS</v>
          </cell>
        </row>
        <row r="123">
          <cell r="C123" t="str">
            <v>RIO FORTUNA</v>
          </cell>
        </row>
        <row r="124">
          <cell r="C124" t="str">
            <v>RIO NEGRINHO</v>
          </cell>
        </row>
        <row r="125">
          <cell r="C125" t="str">
            <v>RIO RUFINO</v>
          </cell>
        </row>
        <row r="126">
          <cell r="C126" t="str">
            <v>RODEIO</v>
          </cell>
        </row>
        <row r="127">
          <cell r="C127" t="str">
            <v>SANTA CECÍLIA</v>
          </cell>
        </row>
        <row r="128">
          <cell r="C128" t="str">
            <v>SANTA ROSA DO SUL</v>
          </cell>
        </row>
        <row r="129">
          <cell r="C129" t="str">
            <v>SANTO AMARO IMPERATRIZ</v>
          </cell>
        </row>
        <row r="130">
          <cell r="C130" t="str">
            <v>SAO BENTO DO SUL</v>
          </cell>
        </row>
        <row r="131">
          <cell r="C131" t="str">
            <v>SÃO CARLOS</v>
          </cell>
        </row>
        <row r="132">
          <cell r="C132" t="str">
            <v>SÃO DOMINGOS</v>
          </cell>
        </row>
        <row r="133">
          <cell r="C133" t="str">
            <v>SAO FRANCISCO DO SUL</v>
          </cell>
        </row>
        <row r="134">
          <cell r="C134" t="str">
            <v>SÃO JOÃO BATISTA</v>
          </cell>
        </row>
        <row r="135">
          <cell r="C135" t="str">
            <v>SÃO JOÃO DO OESTE</v>
          </cell>
        </row>
        <row r="136">
          <cell r="C136" t="str">
            <v>SAO JOAQUIM</v>
          </cell>
        </row>
        <row r="137">
          <cell r="C137" t="str">
            <v xml:space="preserve">SAO JOSE </v>
          </cell>
        </row>
        <row r="138">
          <cell r="C138" t="str">
            <v>SAO JOSE DO CEDRO</v>
          </cell>
        </row>
        <row r="139">
          <cell r="C139" t="str">
            <v>SÃO LÇO. DO OESTE</v>
          </cell>
        </row>
        <row r="140">
          <cell r="C140" t="str">
            <v>SÃO LUDGERO</v>
          </cell>
        </row>
        <row r="141">
          <cell r="C141" t="str">
            <v>SÃO MIGUEL DO OESTE</v>
          </cell>
        </row>
        <row r="142">
          <cell r="C142" t="str">
            <v>SÃO PEDRO ALCANTARA</v>
          </cell>
        </row>
        <row r="143">
          <cell r="C143" t="str">
            <v>SEARA</v>
          </cell>
        </row>
        <row r="144">
          <cell r="C144" t="str">
            <v>SIDEROPOLIS</v>
          </cell>
        </row>
        <row r="145">
          <cell r="C145" t="str">
            <v>SOMBRIO</v>
          </cell>
        </row>
        <row r="146">
          <cell r="C146" t="str">
            <v>TAIO</v>
          </cell>
        </row>
        <row r="147">
          <cell r="C147" t="str">
            <v>TANGARÁ</v>
          </cell>
        </row>
        <row r="148">
          <cell r="C148" t="str">
            <v xml:space="preserve">TIJUCAS </v>
          </cell>
        </row>
        <row r="149">
          <cell r="C149" t="str">
            <v>TIMBO</v>
          </cell>
        </row>
        <row r="150">
          <cell r="C150" t="str">
            <v>TRÊS BARRAS</v>
          </cell>
        </row>
        <row r="151">
          <cell r="C151" t="str">
            <v>TRÊS RIACHOS</v>
          </cell>
        </row>
        <row r="152">
          <cell r="C152" t="str">
            <v>TREZE DE MAIO</v>
          </cell>
        </row>
        <row r="153">
          <cell r="C153" t="str">
            <v>TROMBUDO CENTRAL</v>
          </cell>
        </row>
        <row r="154">
          <cell r="C154" t="str">
            <v>TUBARAO</v>
          </cell>
        </row>
        <row r="155">
          <cell r="C155" t="str">
            <v>TUNAPOLIS</v>
          </cell>
        </row>
        <row r="156">
          <cell r="C156" t="str">
            <v>TURVO</v>
          </cell>
        </row>
        <row r="157">
          <cell r="C157" t="str">
            <v>URUBICI</v>
          </cell>
        </row>
        <row r="158">
          <cell r="C158" t="str">
            <v>URUPEMA</v>
          </cell>
        </row>
        <row r="159">
          <cell r="C159" t="str">
            <v>URUSSANGA</v>
          </cell>
        </row>
        <row r="160">
          <cell r="C160" t="str">
            <v>VIDEIRA</v>
          </cell>
        </row>
        <row r="161">
          <cell r="C161" t="str">
            <v>VITOR MEIRELLES</v>
          </cell>
        </row>
        <row r="162">
          <cell r="C162" t="str">
            <v>XANXERE</v>
          </cell>
        </row>
        <row r="163">
          <cell r="C163" t="str">
            <v>XAXIM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ACTUAÇÃO SIEMACO 2013"/>
      <sheetName val="ADITIVO E APOSTILAMENTO"/>
      <sheetName val="Resumo PARCIAL"/>
      <sheetName val="Super 2"/>
      <sheetName val="Recepção 2"/>
      <sheetName val="Recepção 3"/>
      <sheetName val="Recepção 4"/>
      <sheetName val="Copeira 2"/>
      <sheetName val="Copeira 3"/>
      <sheetName val="Copeira 4"/>
      <sheetName val="Porteiro 2"/>
      <sheetName val="Porteiro 3"/>
      <sheetName val="Porteiro 4"/>
      <sheetName val="Porteiro 5"/>
      <sheetName val="ASG 2"/>
      <sheetName val="ASG 3"/>
      <sheetName val="ASG 4"/>
      <sheetName val="ASG 5"/>
      <sheetName val="Caldereiro 3"/>
      <sheetName val="Almoxarife 2"/>
      <sheetName val="Oficial 2"/>
      <sheetName val="Oficial 3"/>
      <sheetName val="Oficial 4"/>
      <sheetName val="Oficial 5"/>
      <sheetName val="Op. de maq. 2"/>
      <sheetName val="Op.de maq. 3"/>
      <sheetName val="Op.de maq. 4"/>
      <sheetName val="Op.de maq. 5"/>
      <sheetName val="Cerim. 2"/>
      <sheetName val="Orçam 2"/>
      <sheetName val="Jardineiro 3"/>
      <sheetName val="Mat Maq Costal"/>
      <sheetName val="Mat Jard"/>
      <sheetName val="Manut."/>
      <sheetName val="Epis"/>
      <sheetName val="Uniforme 1"/>
      <sheetName val="Uniforme 2"/>
      <sheetName val="Memoria de calculo"/>
      <sheetName val="Memoria de calculo Lucro e Desp"/>
      <sheetName val="Plan1"/>
    </sheetNames>
    <sheetDataSet>
      <sheetData sheetId="0" refreshError="1"/>
      <sheetData sheetId="1" refreshError="1"/>
      <sheetData sheetId="2" refreshError="1"/>
      <sheetData sheetId="3" refreshError="1">
        <row r="137">
          <cell r="D137">
            <v>4482.8100000000004</v>
          </cell>
        </row>
      </sheetData>
      <sheetData sheetId="4" refreshError="1">
        <row r="137">
          <cell r="D137">
            <v>2622.17</v>
          </cell>
        </row>
      </sheetData>
      <sheetData sheetId="5" refreshError="1">
        <row r="137">
          <cell r="D137">
            <v>2652.06</v>
          </cell>
        </row>
      </sheetData>
      <sheetData sheetId="6" refreshError="1">
        <row r="137">
          <cell r="D137">
            <v>2682.63</v>
          </cell>
        </row>
      </sheetData>
      <sheetData sheetId="7" refreshError="1">
        <row r="137">
          <cell r="D137">
            <v>2320.86</v>
          </cell>
        </row>
      </sheetData>
      <sheetData sheetId="8" refreshError="1">
        <row r="137">
          <cell r="D137">
            <v>2347.3000000000002</v>
          </cell>
        </row>
      </sheetData>
      <sheetData sheetId="9" refreshError="1">
        <row r="137">
          <cell r="D137">
            <v>2374.36</v>
          </cell>
        </row>
      </sheetData>
      <sheetData sheetId="10" refreshError="1">
        <row r="137">
          <cell r="D137">
            <v>3292.56</v>
          </cell>
        </row>
      </sheetData>
      <sheetData sheetId="11" refreshError="1">
        <row r="137">
          <cell r="D137">
            <v>3330.09</v>
          </cell>
        </row>
        <row r="138">
          <cell r="D138">
            <v>3330.09</v>
          </cell>
        </row>
      </sheetData>
      <sheetData sheetId="12" refreshError="1">
        <row r="137">
          <cell r="D137">
            <v>3368.47</v>
          </cell>
        </row>
      </sheetData>
      <sheetData sheetId="13" refreshError="1">
        <row r="137">
          <cell r="D137">
            <v>3436.5</v>
          </cell>
        </row>
      </sheetData>
      <sheetData sheetId="14" refreshError="1">
        <row r="137">
          <cell r="D137">
            <v>2295.14</v>
          </cell>
        </row>
      </sheetData>
      <sheetData sheetId="15" refreshError="1">
        <row r="137">
          <cell r="D137">
            <v>2321.3000000000002</v>
          </cell>
        </row>
      </sheetData>
      <sheetData sheetId="16" refreshError="1">
        <row r="134">
          <cell r="D134">
            <v>2348.0500000000002</v>
          </cell>
        </row>
        <row r="137">
          <cell r="D137">
            <v>2348.0500000000002</v>
          </cell>
        </row>
      </sheetData>
      <sheetData sheetId="17" refreshError="1">
        <row r="137">
          <cell r="D137">
            <v>2375.4299999999998</v>
          </cell>
        </row>
      </sheetData>
      <sheetData sheetId="18" refreshError="1">
        <row r="136">
          <cell r="D136">
            <v>3902.63</v>
          </cell>
        </row>
      </sheetData>
      <sheetData sheetId="19" refreshError="1">
        <row r="137">
          <cell r="D137">
            <v>3331.13</v>
          </cell>
        </row>
      </sheetData>
      <sheetData sheetId="20" refreshError="1">
        <row r="136">
          <cell r="D136">
            <v>3471.01</v>
          </cell>
        </row>
      </sheetData>
      <sheetData sheetId="21" refreshError="1">
        <row r="136">
          <cell r="D136">
            <v>3510.56</v>
          </cell>
        </row>
      </sheetData>
      <sheetData sheetId="22" refreshError="1">
        <row r="136">
          <cell r="D136">
            <v>3551.03</v>
          </cell>
        </row>
      </sheetData>
      <sheetData sheetId="23" refreshError="1">
        <row r="136">
          <cell r="D136">
            <v>3592.45</v>
          </cell>
        </row>
      </sheetData>
      <sheetData sheetId="24" refreshError="1">
        <row r="137">
          <cell r="D137">
            <v>3029.63</v>
          </cell>
        </row>
        <row r="138">
          <cell r="D138">
            <v>3029.63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>
        <row r="134">
          <cell r="D134">
            <v>4148.87</v>
          </cell>
        </row>
        <row r="137">
          <cell r="D137">
            <v>4148.87</v>
          </cell>
        </row>
      </sheetData>
      <sheetData sheetId="30" refreshError="1">
        <row r="137">
          <cell r="D137">
            <v>2504.21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CENTAGEM 1º ADITIVO"/>
      <sheetName val="Resumo PARCIAL"/>
      <sheetName val="Super 2"/>
      <sheetName val="Recepção 2"/>
      <sheetName val="Recepção 3"/>
      <sheetName val="Recepção 4"/>
      <sheetName val="Copeira 2"/>
      <sheetName val="Copeira 3"/>
      <sheetName val="Copeira 4"/>
      <sheetName val="Porteiro 2"/>
      <sheetName val="Porteiro 3"/>
      <sheetName val="Porteiro 4"/>
      <sheetName val="ASG 2"/>
      <sheetName val="ASG 3"/>
      <sheetName val="ASG 4"/>
      <sheetName val="ASG 5"/>
      <sheetName val="Caldereiro 3"/>
      <sheetName val="Almoxarife 2"/>
      <sheetName val="Oficial 2"/>
      <sheetName val="Oficial 3"/>
      <sheetName val="Oficial 4"/>
      <sheetName val="Oficial 5"/>
      <sheetName val="Op. de maq. 2"/>
      <sheetName val="Op.de maq. 3"/>
      <sheetName val="Op.de maq. 4"/>
      <sheetName val="Op.de maq. 5"/>
      <sheetName val="Cerim. 2"/>
      <sheetName val="Orçam 2"/>
      <sheetName val="Jardineiro 3"/>
      <sheetName val="Mat Maq Costal"/>
      <sheetName val="Mat Jard"/>
      <sheetName val="Manut."/>
      <sheetName val="Epis"/>
      <sheetName val="Uniforme 1"/>
      <sheetName val="Uniforme 2"/>
      <sheetName val="Memoria de calculo"/>
      <sheetName val="Memoria de calculo Lucro e Desp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36">
          <cell r="D136">
            <v>1993.11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36">
          <cell r="D136">
            <v>2498.1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36">
          <cell r="D136">
            <v>2981.64</v>
          </cell>
        </row>
      </sheetData>
      <sheetData sheetId="20" refreshError="1"/>
      <sheetData sheetId="21" refreshError="1"/>
      <sheetData sheetId="22" refreshError="1"/>
      <sheetData sheetId="23">
        <row r="136">
          <cell r="D136">
            <v>2318.56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2.maringa.pr.gov.br/site/index.php?sessao=62f88c3591jk62" TargetMode="External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1"/>
  <sheetViews>
    <sheetView workbookViewId="0">
      <selection activeCell="F20" sqref="F20"/>
    </sheetView>
  </sheetViews>
  <sheetFormatPr defaultRowHeight="12.75"/>
  <sheetData>
    <row r="3" spans="1:13">
      <c r="A3" s="505" t="s">
        <v>383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7"/>
    </row>
    <row r="4" spans="1:13">
      <c r="A4" s="508"/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10"/>
    </row>
    <row r="5" spans="1:13">
      <c r="A5" s="177" t="s">
        <v>384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9"/>
    </row>
    <row r="6" spans="1:13">
      <c r="A6" s="177" t="s">
        <v>385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9"/>
    </row>
    <row r="7" spans="1:13">
      <c r="A7" s="177" t="s">
        <v>386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9"/>
    </row>
    <row r="8" spans="1:13">
      <c r="A8" s="177" t="s">
        <v>387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</row>
    <row r="9" spans="1:13">
      <c r="A9" s="185" t="s">
        <v>387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9"/>
    </row>
    <row r="10" spans="1:13">
      <c r="A10" s="185" t="s">
        <v>391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9"/>
    </row>
    <row r="11" spans="1:13">
      <c r="A11" s="185" t="s">
        <v>388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1"/>
    </row>
  </sheetData>
  <mergeCells count="1">
    <mergeCell ref="A3:M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154"/>
  <sheetViews>
    <sheetView showGridLines="0" view="pageBreakPreview" topLeftCell="A139" zoomScale="90" zoomScaleSheetLayoutView="90" workbookViewId="0">
      <selection activeCell="E136" sqref="E136"/>
    </sheetView>
  </sheetViews>
  <sheetFormatPr defaultRowHeight="15.75"/>
  <cols>
    <col min="1" max="1" width="9.28515625" style="53" customWidth="1"/>
    <col min="2" max="2" width="39.85546875" style="53" customWidth="1"/>
    <col min="3" max="3" width="18.28515625" style="53" customWidth="1"/>
    <col min="4" max="4" width="23.85546875" style="53" customWidth="1"/>
    <col min="5" max="5" width="16" style="53" bestFit="1" customWidth="1"/>
    <col min="6" max="6" width="13.7109375" style="53" bestFit="1" customWidth="1"/>
    <col min="7" max="7" width="15.7109375" style="53" bestFit="1" customWidth="1"/>
    <col min="8" max="8" width="13.140625" style="53" bestFit="1" customWidth="1"/>
    <col min="9" max="9" width="11.85546875" style="53" bestFit="1" customWidth="1"/>
    <col min="10" max="10" width="12.85546875" style="53" bestFit="1" customWidth="1"/>
    <col min="11" max="256" width="9.140625" style="53"/>
    <col min="257" max="257" width="9.28515625" style="53" customWidth="1"/>
    <col min="258" max="258" width="39.85546875" style="53" customWidth="1"/>
    <col min="259" max="259" width="18.28515625" style="53" customWidth="1"/>
    <col min="260" max="260" width="23.85546875" style="53" customWidth="1"/>
    <col min="261" max="261" width="16" style="53" bestFit="1" customWidth="1"/>
    <col min="262" max="262" width="13.7109375" style="53" bestFit="1" customWidth="1"/>
    <col min="263" max="263" width="15.7109375" style="53" bestFit="1" customWidth="1"/>
    <col min="264" max="264" width="13.140625" style="53" bestFit="1" customWidth="1"/>
    <col min="265" max="265" width="11.85546875" style="53" bestFit="1" customWidth="1"/>
    <col min="266" max="266" width="12.85546875" style="53" bestFit="1" customWidth="1"/>
    <col min="267" max="512" width="9.140625" style="53"/>
    <col min="513" max="513" width="9.28515625" style="53" customWidth="1"/>
    <col min="514" max="514" width="39.85546875" style="53" customWidth="1"/>
    <col min="515" max="515" width="18.28515625" style="53" customWidth="1"/>
    <col min="516" max="516" width="23.85546875" style="53" customWidth="1"/>
    <col min="517" max="517" width="16" style="53" bestFit="1" customWidth="1"/>
    <col min="518" max="518" width="13.7109375" style="53" bestFit="1" customWidth="1"/>
    <col min="519" max="519" width="15.7109375" style="53" bestFit="1" customWidth="1"/>
    <col min="520" max="520" width="13.140625" style="53" bestFit="1" customWidth="1"/>
    <col min="521" max="521" width="11.85546875" style="53" bestFit="1" customWidth="1"/>
    <col min="522" max="522" width="12.85546875" style="53" bestFit="1" customWidth="1"/>
    <col min="523" max="768" width="9.140625" style="53"/>
    <col min="769" max="769" width="9.28515625" style="53" customWidth="1"/>
    <col min="770" max="770" width="39.85546875" style="53" customWidth="1"/>
    <col min="771" max="771" width="18.28515625" style="53" customWidth="1"/>
    <col min="772" max="772" width="23.85546875" style="53" customWidth="1"/>
    <col min="773" max="773" width="16" style="53" bestFit="1" customWidth="1"/>
    <col min="774" max="774" width="13.7109375" style="53" bestFit="1" customWidth="1"/>
    <col min="775" max="775" width="15.7109375" style="53" bestFit="1" customWidth="1"/>
    <col min="776" max="776" width="13.140625" style="53" bestFit="1" customWidth="1"/>
    <col min="777" max="777" width="11.85546875" style="53" bestFit="1" customWidth="1"/>
    <col min="778" max="778" width="12.85546875" style="53" bestFit="1" customWidth="1"/>
    <col min="779" max="1024" width="9.140625" style="53"/>
    <col min="1025" max="1025" width="9.28515625" style="53" customWidth="1"/>
    <col min="1026" max="1026" width="39.85546875" style="53" customWidth="1"/>
    <col min="1027" max="1027" width="18.28515625" style="53" customWidth="1"/>
    <col min="1028" max="1028" width="23.85546875" style="53" customWidth="1"/>
    <col min="1029" max="1029" width="16" style="53" bestFit="1" customWidth="1"/>
    <col min="1030" max="1030" width="13.7109375" style="53" bestFit="1" customWidth="1"/>
    <col min="1031" max="1031" width="15.7109375" style="53" bestFit="1" customWidth="1"/>
    <col min="1032" max="1032" width="13.140625" style="53" bestFit="1" customWidth="1"/>
    <col min="1033" max="1033" width="11.85546875" style="53" bestFit="1" customWidth="1"/>
    <col min="1034" max="1034" width="12.85546875" style="53" bestFit="1" customWidth="1"/>
    <col min="1035" max="1280" width="9.140625" style="53"/>
    <col min="1281" max="1281" width="9.28515625" style="53" customWidth="1"/>
    <col min="1282" max="1282" width="39.85546875" style="53" customWidth="1"/>
    <col min="1283" max="1283" width="18.28515625" style="53" customWidth="1"/>
    <col min="1284" max="1284" width="23.85546875" style="53" customWidth="1"/>
    <col min="1285" max="1285" width="16" style="53" bestFit="1" customWidth="1"/>
    <col min="1286" max="1286" width="13.7109375" style="53" bestFit="1" customWidth="1"/>
    <col min="1287" max="1287" width="15.7109375" style="53" bestFit="1" customWidth="1"/>
    <col min="1288" max="1288" width="13.140625" style="53" bestFit="1" customWidth="1"/>
    <col min="1289" max="1289" width="11.85546875" style="53" bestFit="1" customWidth="1"/>
    <col min="1290" max="1290" width="12.85546875" style="53" bestFit="1" customWidth="1"/>
    <col min="1291" max="1536" width="9.140625" style="53"/>
    <col min="1537" max="1537" width="9.28515625" style="53" customWidth="1"/>
    <col min="1538" max="1538" width="39.85546875" style="53" customWidth="1"/>
    <col min="1539" max="1539" width="18.28515625" style="53" customWidth="1"/>
    <col min="1540" max="1540" width="23.85546875" style="53" customWidth="1"/>
    <col min="1541" max="1541" width="16" style="53" bestFit="1" customWidth="1"/>
    <col min="1542" max="1542" width="13.7109375" style="53" bestFit="1" customWidth="1"/>
    <col min="1543" max="1543" width="15.7109375" style="53" bestFit="1" customWidth="1"/>
    <col min="1544" max="1544" width="13.140625" style="53" bestFit="1" customWidth="1"/>
    <col min="1545" max="1545" width="11.85546875" style="53" bestFit="1" customWidth="1"/>
    <col min="1546" max="1546" width="12.85546875" style="53" bestFit="1" customWidth="1"/>
    <col min="1547" max="1792" width="9.140625" style="53"/>
    <col min="1793" max="1793" width="9.28515625" style="53" customWidth="1"/>
    <col min="1794" max="1794" width="39.85546875" style="53" customWidth="1"/>
    <col min="1795" max="1795" width="18.28515625" style="53" customWidth="1"/>
    <col min="1796" max="1796" width="23.85546875" style="53" customWidth="1"/>
    <col min="1797" max="1797" width="16" style="53" bestFit="1" customWidth="1"/>
    <col min="1798" max="1798" width="13.7109375" style="53" bestFit="1" customWidth="1"/>
    <col min="1799" max="1799" width="15.7109375" style="53" bestFit="1" customWidth="1"/>
    <col min="1800" max="1800" width="13.140625" style="53" bestFit="1" customWidth="1"/>
    <col min="1801" max="1801" width="11.85546875" style="53" bestFit="1" customWidth="1"/>
    <col min="1802" max="1802" width="12.85546875" style="53" bestFit="1" customWidth="1"/>
    <col min="1803" max="2048" width="9.140625" style="53"/>
    <col min="2049" max="2049" width="9.28515625" style="53" customWidth="1"/>
    <col min="2050" max="2050" width="39.85546875" style="53" customWidth="1"/>
    <col min="2051" max="2051" width="18.28515625" style="53" customWidth="1"/>
    <col min="2052" max="2052" width="23.85546875" style="53" customWidth="1"/>
    <col min="2053" max="2053" width="16" style="53" bestFit="1" customWidth="1"/>
    <col min="2054" max="2054" width="13.7109375" style="53" bestFit="1" customWidth="1"/>
    <col min="2055" max="2055" width="15.7109375" style="53" bestFit="1" customWidth="1"/>
    <col min="2056" max="2056" width="13.140625" style="53" bestFit="1" customWidth="1"/>
    <col min="2057" max="2057" width="11.85546875" style="53" bestFit="1" customWidth="1"/>
    <col min="2058" max="2058" width="12.85546875" style="53" bestFit="1" customWidth="1"/>
    <col min="2059" max="2304" width="9.140625" style="53"/>
    <col min="2305" max="2305" width="9.28515625" style="53" customWidth="1"/>
    <col min="2306" max="2306" width="39.85546875" style="53" customWidth="1"/>
    <col min="2307" max="2307" width="18.28515625" style="53" customWidth="1"/>
    <col min="2308" max="2308" width="23.85546875" style="53" customWidth="1"/>
    <col min="2309" max="2309" width="16" style="53" bestFit="1" customWidth="1"/>
    <col min="2310" max="2310" width="13.7109375" style="53" bestFit="1" customWidth="1"/>
    <col min="2311" max="2311" width="15.7109375" style="53" bestFit="1" customWidth="1"/>
    <col min="2312" max="2312" width="13.140625" style="53" bestFit="1" customWidth="1"/>
    <col min="2313" max="2313" width="11.85546875" style="53" bestFit="1" customWidth="1"/>
    <col min="2314" max="2314" width="12.85546875" style="53" bestFit="1" customWidth="1"/>
    <col min="2315" max="2560" width="9.140625" style="53"/>
    <col min="2561" max="2561" width="9.28515625" style="53" customWidth="1"/>
    <col min="2562" max="2562" width="39.85546875" style="53" customWidth="1"/>
    <col min="2563" max="2563" width="18.28515625" style="53" customWidth="1"/>
    <col min="2564" max="2564" width="23.85546875" style="53" customWidth="1"/>
    <col min="2565" max="2565" width="16" style="53" bestFit="1" customWidth="1"/>
    <col min="2566" max="2566" width="13.7109375" style="53" bestFit="1" customWidth="1"/>
    <col min="2567" max="2567" width="15.7109375" style="53" bestFit="1" customWidth="1"/>
    <col min="2568" max="2568" width="13.140625" style="53" bestFit="1" customWidth="1"/>
    <col min="2569" max="2569" width="11.85546875" style="53" bestFit="1" customWidth="1"/>
    <col min="2570" max="2570" width="12.85546875" style="53" bestFit="1" customWidth="1"/>
    <col min="2571" max="2816" width="9.140625" style="53"/>
    <col min="2817" max="2817" width="9.28515625" style="53" customWidth="1"/>
    <col min="2818" max="2818" width="39.85546875" style="53" customWidth="1"/>
    <col min="2819" max="2819" width="18.28515625" style="53" customWidth="1"/>
    <col min="2820" max="2820" width="23.85546875" style="53" customWidth="1"/>
    <col min="2821" max="2821" width="16" style="53" bestFit="1" customWidth="1"/>
    <col min="2822" max="2822" width="13.7109375" style="53" bestFit="1" customWidth="1"/>
    <col min="2823" max="2823" width="15.7109375" style="53" bestFit="1" customWidth="1"/>
    <col min="2824" max="2824" width="13.140625" style="53" bestFit="1" customWidth="1"/>
    <col min="2825" max="2825" width="11.85546875" style="53" bestFit="1" customWidth="1"/>
    <col min="2826" max="2826" width="12.85546875" style="53" bestFit="1" customWidth="1"/>
    <col min="2827" max="3072" width="9.140625" style="53"/>
    <col min="3073" max="3073" width="9.28515625" style="53" customWidth="1"/>
    <col min="3074" max="3074" width="39.85546875" style="53" customWidth="1"/>
    <col min="3075" max="3075" width="18.28515625" style="53" customWidth="1"/>
    <col min="3076" max="3076" width="23.85546875" style="53" customWidth="1"/>
    <col min="3077" max="3077" width="16" style="53" bestFit="1" customWidth="1"/>
    <col min="3078" max="3078" width="13.7109375" style="53" bestFit="1" customWidth="1"/>
    <col min="3079" max="3079" width="15.7109375" style="53" bestFit="1" customWidth="1"/>
    <col min="3080" max="3080" width="13.140625" style="53" bestFit="1" customWidth="1"/>
    <col min="3081" max="3081" width="11.85546875" style="53" bestFit="1" customWidth="1"/>
    <col min="3082" max="3082" width="12.85546875" style="53" bestFit="1" customWidth="1"/>
    <col min="3083" max="3328" width="9.140625" style="53"/>
    <col min="3329" max="3329" width="9.28515625" style="53" customWidth="1"/>
    <col min="3330" max="3330" width="39.85546875" style="53" customWidth="1"/>
    <col min="3331" max="3331" width="18.28515625" style="53" customWidth="1"/>
    <col min="3332" max="3332" width="23.85546875" style="53" customWidth="1"/>
    <col min="3333" max="3333" width="16" style="53" bestFit="1" customWidth="1"/>
    <col min="3334" max="3334" width="13.7109375" style="53" bestFit="1" customWidth="1"/>
    <col min="3335" max="3335" width="15.7109375" style="53" bestFit="1" customWidth="1"/>
    <col min="3336" max="3336" width="13.140625" style="53" bestFit="1" customWidth="1"/>
    <col min="3337" max="3337" width="11.85546875" style="53" bestFit="1" customWidth="1"/>
    <col min="3338" max="3338" width="12.85546875" style="53" bestFit="1" customWidth="1"/>
    <col min="3339" max="3584" width="9.140625" style="53"/>
    <col min="3585" max="3585" width="9.28515625" style="53" customWidth="1"/>
    <col min="3586" max="3586" width="39.85546875" style="53" customWidth="1"/>
    <col min="3587" max="3587" width="18.28515625" style="53" customWidth="1"/>
    <col min="3588" max="3588" width="23.85546875" style="53" customWidth="1"/>
    <col min="3589" max="3589" width="16" style="53" bestFit="1" customWidth="1"/>
    <col min="3590" max="3590" width="13.7109375" style="53" bestFit="1" customWidth="1"/>
    <col min="3591" max="3591" width="15.7109375" style="53" bestFit="1" customWidth="1"/>
    <col min="3592" max="3592" width="13.140625" style="53" bestFit="1" customWidth="1"/>
    <col min="3593" max="3593" width="11.85546875" style="53" bestFit="1" customWidth="1"/>
    <col min="3594" max="3594" width="12.85546875" style="53" bestFit="1" customWidth="1"/>
    <col min="3595" max="3840" width="9.140625" style="53"/>
    <col min="3841" max="3841" width="9.28515625" style="53" customWidth="1"/>
    <col min="3842" max="3842" width="39.85546875" style="53" customWidth="1"/>
    <col min="3843" max="3843" width="18.28515625" style="53" customWidth="1"/>
    <col min="3844" max="3844" width="23.85546875" style="53" customWidth="1"/>
    <col min="3845" max="3845" width="16" style="53" bestFit="1" customWidth="1"/>
    <col min="3846" max="3846" width="13.7109375" style="53" bestFit="1" customWidth="1"/>
    <col min="3847" max="3847" width="15.7109375" style="53" bestFit="1" customWidth="1"/>
    <col min="3848" max="3848" width="13.140625" style="53" bestFit="1" customWidth="1"/>
    <col min="3849" max="3849" width="11.85546875" style="53" bestFit="1" customWidth="1"/>
    <col min="3850" max="3850" width="12.85546875" style="53" bestFit="1" customWidth="1"/>
    <col min="3851" max="4096" width="9.140625" style="53"/>
    <col min="4097" max="4097" width="9.28515625" style="53" customWidth="1"/>
    <col min="4098" max="4098" width="39.85546875" style="53" customWidth="1"/>
    <col min="4099" max="4099" width="18.28515625" style="53" customWidth="1"/>
    <col min="4100" max="4100" width="23.85546875" style="53" customWidth="1"/>
    <col min="4101" max="4101" width="16" style="53" bestFit="1" customWidth="1"/>
    <col min="4102" max="4102" width="13.7109375" style="53" bestFit="1" customWidth="1"/>
    <col min="4103" max="4103" width="15.7109375" style="53" bestFit="1" customWidth="1"/>
    <col min="4104" max="4104" width="13.140625" style="53" bestFit="1" customWidth="1"/>
    <col min="4105" max="4105" width="11.85546875" style="53" bestFit="1" customWidth="1"/>
    <col min="4106" max="4106" width="12.85546875" style="53" bestFit="1" customWidth="1"/>
    <col min="4107" max="4352" width="9.140625" style="53"/>
    <col min="4353" max="4353" width="9.28515625" style="53" customWidth="1"/>
    <col min="4354" max="4354" width="39.85546875" style="53" customWidth="1"/>
    <col min="4355" max="4355" width="18.28515625" style="53" customWidth="1"/>
    <col min="4356" max="4356" width="23.85546875" style="53" customWidth="1"/>
    <col min="4357" max="4357" width="16" style="53" bestFit="1" customWidth="1"/>
    <col min="4358" max="4358" width="13.7109375" style="53" bestFit="1" customWidth="1"/>
    <col min="4359" max="4359" width="15.7109375" style="53" bestFit="1" customWidth="1"/>
    <col min="4360" max="4360" width="13.140625" style="53" bestFit="1" customWidth="1"/>
    <col min="4361" max="4361" width="11.85546875" style="53" bestFit="1" customWidth="1"/>
    <col min="4362" max="4362" width="12.85546875" style="53" bestFit="1" customWidth="1"/>
    <col min="4363" max="4608" width="9.140625" style="53"/>
    <col min="4609" max="4609" width="9.28515625" style="53" customWidth="1"/>
    <col min="4610" max="4610" width="39.85546875" style="53" customWidth="1"/>
    <col min="4611" max="4611" width="18.28515625" style="53" customWidth="1"/>
    <col min="4612" max="4612" width="23.85546875" style="53" customWidth="1"/>
    <col min="4613" max="4613" width="16" style="53" bestFit="1" customWidth="1"/>
    <col min="4614" max="4614" width="13.7109375" style="53" bestFit="1" customWidth="1"/>
    <col min="4615" max="4615" width="15.7109375" style="53" bestFit="1" customWidth="1"/>
    <col min="4616" max="4616" width="13.140625" style="53" bestFit="1" customWidth="1"/>
    <col min="4617" max="4617" width="11.85546875" style="53" bestFit="1" customWidth="1"/>
    <col min="4618" max="4618" width="12.85546875" style="53" bestFit="1" customWidth="1"/>
    <col min="4619" max="4864" width="9.140625" style="53"/>
    <col min="4865" max="4865" width="9.28515625" style="53" customWidth="1"/>
    <col min="4866" max="4866" width="39.85546875" style="53" customWidth="1"/>
    <col min="4867" max="4867" width="18.28515625" style="53" customWidth="1"/>
    <col min="4868" max="4868" width="23.85546875" style="53" customWidth="1"/>
    <col min="4869" max="4869" width="16" style="53" bestFit="1" customWidth="1"/>
    <col min="4870" max="4870" width="13.7109375" style="53" bestFit="1" customWidth="1"/>
    <col min="4871" max="4871" width="15.7109375" style="53" bestFit="1" customWidth="1"/>
    <col min="4872" max="4872" width="13.140625" style="53" bestFit="1" customWidth="1"/>
    <col min="4873" max="4873" width="11.85546875" style="53" bestFit="1" customWidth="1"/>
    <col min="4874" max="4874" width="12.85546875" style="53" bestFit="1" customWidth="1"/>
    <col min="4875" max="5120" width="9.140625" style="53"/>
    <col min="5121" max="5121" width="9.28515625" style="53" customWidth="1"/>
    <col min="5122" max="5122" width="39.85546875" style="53" customWidth="1"/>
    <col min="5123" max="5123" width="18.28515625" style="53" customWidth="1"/>
    <col min="5124" max="5124" width="23.85546875" style="53" customWidth="1"/>
    <col min="5125" max="5125" width="16" style="53" bestFit="1" customWidth="1"/>
    <col min="5126" max="5126" width="13.7109375" style="53" bestFit="1" customWidth="1"/>
    <col min="5127" max="5127" width="15.7109375" style="53" bestFit="1" customWidth="1"/>
    <col min="5128" max="5128" width="13.140625" style="53" bestFit="1" customWidth="1"/>
    <col min="5129" max="5129" width="11.85546875" style="53" bestFit="1" customWidth="1"/>
    <col min="5130" max="5130" width="12.85546875" style="53" bestFit="1" customWidth="1"/>
    <col min="5131" max="5376" width="9.140625" style="53"/>
    <col min="5377" max="5377" width="9.28515625" style="53" customWidth="1"/>
    <col min="5378" max="5378" width="39.85546875" style="53" customWidth="1"/>
    <col min="5379" max="5379" width="18.28515625" style="53" customWidth="1"/>
    <col min="5380" max="5380" width="23.85546875" style="53" customWidth="1"/>
    <col min="5381" max="5381" width="16" style="53" bestFit="1" customWidth="1"/>
    <col min="5382" max="5382" width="13.7109375" style="53" bestFit="1" customWidth="1"/>
    <col min="5383" max="5383" width="15.7109375" style="53" bestFit="1" customWidth="1"/>
    <col min="5384" max="5384" width="13.140625" style="53" bestFit="1" customWidth="1"/>
    <col min="5385" max="5385" width="11.85546875" style="53" bestFit="1" customWidth="1"/>
    <col min="5386" max="5386" width="12.85546875" style="53" bestFit="1" customWidth="1"/>
    <col min="5387" max="5632" width="9.140625" style="53"/>
    <col min="5633" max="5633" width="9.28515625" style="53" customWidth="1"/>
    <col min="5634" max="5634" width="39.85546875" style="53" customWidth="1"/>
    <col min="5635" max="5635" width="18.28515625" style="53" customWidth="1"/>
    <col min="5636" max="5636" width="23.85546875" style="53" customWidth="1"/>
    <col min="5637" max="5637" width="16" style="53" bestFit="1" customWidth="1"/>
    <col min="5638" max="5638" width="13.7109375" style="53" bestFit="1" customWidth="1"/>
    <col min="5639" max="5639" width="15.7109375" style="53" bestFit="1" customWidth="1"/>
    <col min="5640" max="5640" width="13.140625" style="53" bestFit="1" customWidth="1"/>
    <col min="5641" max="5641" width="11.85546875" style="53" bestFit="1" customWidth="1"/>
    <col min="5642" max="5642" width="12.85546875" style="53" bestFit="1" customWidth="1"/>
    <col min="5643" max="5888" width="9.140625" style="53"/>
    <col min="5889" max="5889" width="9.28515625" style="53" customWidth="1"/>
    <col min="5890" max="5890" width="39.85546875" style="53" customWidth="1"/>
    <col min="5891" max="5891" width="18.28515625" style="53" customWidth="1"/>
    <col min="5892" max="5892" width="23.85546875" style="53" customWidth="1"/>
    <col min="5893" max="5893" width="16" style="53" bestFit="1" customWidth="1"/>
    <col min="5894" max="5894" width="13.7109375" style="53" bestFit="1" customWidth="1"/>
    <col min="5895" max="5895" width="15.7109375" style="53" bestFit="1" customWidth="1"/>
    <col min="5896" max="5896" width="13.140625" style="53" bestFit="1" customWidth="1"/>
    <col min="5897" max="5897" width="11.85546875" style="53" bestFit="1" customWidth="1"/>
    <col min="5898" max="5898" width="12.85546875" style="53" bestFit="1" customWidth="1"/>
    <col min="5899" max="6144" width="9.140625" style="53"/>
    <col min="6145" max="6145" width="9.28515625" style="53" customWidth="1"/>
    <col min="6146" max="6146" width="39.85546875" style="53" customWidth="1"/>
    <col min="6147" max="6147" width="18.28515625" style="53" customWidth="1"/>
    <col min="6148" max="6148" width="23.85546875" style="53" customWidth="1"/>
    <col min="6149" max="6149" width="16" style="53" bestFit="1" customWidth="1"/>
    <col min="6150" max="6150" width="13.7109375" style="53" bestFit="1" customWidth="1"/>
    <col min="6151" max="6151" width="15.7109375" style="53" bestFit="1" customWidth="1"/>
    <col min="6152" max="6152" width="13.140625" style="53" bestFit="1" customWidth="1"/>
    <col min="6153" max="6153" width="11.85546875" style="53" bestFit="1" customWidth="1"/>
    <col min="6154" max="6154" width="12.85546875" style="53" bestFit="1" customWidth="1"/>
    <col min="6155" max="6400" width="9.140625" style="53"/>
    <col min="6401" max="6401" width="9.28515625" style="53" customWidth="1"/>
    <col min="6402" max="6402" width="39.85546875" style="53" customWidth="1"/>
    <col min="6403" max="6403" width="18.28515625" style="53" customWidth="1"/>
    <col min="6404" max="6404" width="23.85546875" style="53" customWidth="1"/>
    <col min="6405" max="6405" width="16" style="53" bestFit="1" customWidth="1"/>
    <col min="6406" max="6406" width="13.7109375" style="53" bestFit="1" customWidth="1"/>
    <col min="6407" max="6407" width="15.7109375" style="53" bestFit="1" customWidth="1"/>
    <col min="6408" max="6408" width="13.140625" style="53" bestFit="1" customWidth="1"/>
    <col min="6409" max="6409" width="11.85546875" style="53" bestFit="1" customWidth="1"/>
    <col min="6410" max="6410" width="12.85546875" style="53" bestFit="1" customWidth="1"/>
    <col min="6411" max="6656" width="9.140625" style="53"/>
    <col min="6657" max="6657" width="9.28515625" style="53" customWidth="1"/>
    <col min="6658" max="6658" width="39.85546875" style="53" customWidth="1"/>
    <col min="6659" max="6659" width="18.28515625" style="53" customWidth="1"/>
    <col min="6660" max="6660" width="23.85546875" style="53" customWidth="1"/>
    <col min="6661" max="6661" width="16" style="53" bestFit="1" customWidth="1"/>
    <col min="6662" max="6662" width="13.7109375" style="53" bestFit="1" customWidth="1"/>
    <col min="6663" max="6663" width="15.7109375" style="53" bestFit="1" customWidth="1"/>
    <col min="6664" max="6664" width="13.140625" style="53" bestFit="1" customWidth="1"/>
    <col min="6665" max="6665" width="11.85546875" style="53" bestFit="1" customWidth="1"/>
    <col min="6666" max="6666" width="12.85546875" style="53" bestFit="1" customWidth="1"/>
    <col min="6667" max="6912" width="9.140625" style="53"/>
    <col min="6913" max="6913" width="9.28515625" style="53" customWidth="1"/>
    <col min="6914" max="6914" width="39.85546875" style="53" customWidth="1"/>
    <col min="6915" max="6915" width="18.28515625" style="53" customWidth="1"/>
    <col min="6916" max="6916" width="23.85546875" style="53" customWidth="1"/>
    <col min="6917" max="6917" width="16" style="53" bestFit="1" customWidth="1"/>
    <col min="6918" max="6918" width="13.7109375" style="53" bestFit="1" customWidth="1"/>
    <col min="6919" max="6919" width="15.7109375" style="53" bestFit="1" customWidth="1"/>
    <col min="6920" max="6920" width="13.140625" style="53" bestFit="1" customWidth="1"/>
    <col min="6921" max="6921" width="11.85546875" style="53" bestFit="1" customWidth="1"/>
    <col min="6922" max="6922" width="12.85546875" style="53" bestFit="1" customWidth="1"/>
    <col min="6923" max="7168" width="9.140625" style="53"/>
    <col min="7169" max="7169" width="9.28515625" style="53" customWidth="1"/>
    <col min="7170" max="7170" width="39.85546875" style="53" customWidth="1"/>
    <col min="7171" max="7171" width="18.28515625" style="53" customWidth="1"/>
    <col min="7172" max="7172" width="23.85546875" style="53" customWidth="1"/>
    <col min="7173" max="7173" width="16" style="53" bestFit="1" customWidth="1"/>
    <col min="7174" max="7174" width="13.7109375" style="53" bestFit="1" customWidth="1"/>
    <col min="7175" max="7175" width="15.7109375" style="53" bestFit="1" customWidth="1"/>
    <col min="7176" max="7176" width="13.140625" style="53" bestFit="1" customWidth="1"/>
    <col min="7177" max="7177" width="11.85546875" style="53" bestFit="1" customWidth="1"/>
    <col min="7178" max="7178" width="12.85546875" style="53" bestFit="1" customWidth="1"/>
    <col min="7179" max="7424" width="9.140625" style="53"/>
    <col min="7425" max="7425" width="9.28515625" style="53" customWidth="1"/>
    <col min="7426" max="7426" width="39.85546875" style="53" customWidth="1"/>
    <col min="7427" max="7427" width="18.28515625" style="53" customWidth="1"/>
    <col min="7428" max="7428" width="23.85546875" style="53" customWidth="1"/>
    <col min="7429" max="7429" width="16" style="53" bestFit="1" customWidth="1"/>
    <col min="7430" max="7430" width="13.7109375" style="53" bestFit="1" customWidth="1"/>
    <col min="7431" max="7431" width="15.7109375" style="53" bestFit="1" customWidth="1"/>
    <col min="7432" max="7432" width="13.140625" style="53" bestFit="1" customWidth="1"/>
    <col min="7433" max="7433" width="11.85546875" style="53" bestFit="1" customWidth="1"/>
    <col min="7434" max="7434" width="12.85546875" style="53" bestFit="1" customWidth="1"/>
    <col min="7435" max="7680" width="9.140625" style="53"/>
    <col min="7681" max="7681" width="9.28515625" style="53" customWidth="1"/>
    <col min="7682" max="7682" width="39.85546875" style="53" customWidth="1"/>
    <col min="7683" max="7683" width="18.28515625" style="53" customWidth="1"/>
    <col min="7684" max="7684" width="23.85546875" style="53" customWidth="1"/>
    <col min="7685" max="7685" width="16" style="53" bestFit="1" customWidth="1"/>
    <col min="7686" max="7686" width="13.7109375" style="53" bestFit="1" customWidth="1"/>
    <col min="7687" max="7687" width="15.7109375" style="53" bestFit="1" customWidth="1"/>
    <col min="7688" max="7688" width="13.140625" style="53" bestFit="1" customWidth="1"/>
    <col min="7689" max="7689" width="11.85546875" style="53" bestFit="1" customWidth="1"/>
    <col min="7690" max="7690" width="12.85546875" style="53" bestFit="1" customWidth="1"/>
    <col min="7691" max="7936" width="9.140625" style="53"/>
    <col min="7937" max="7937" width="9.28515625" style="53" customWidth="1"/>
    <col min="7938" max="7938" width="39.85546875" style="53" customWidth="1"/>
    <col min="7939" max="7939" width="18.28515625" style="53" customWidth="1"/>
    <col min="7940" max="7940" width="23.85546875" style="53" customWidth="1"/>
    <col min="7941" max="7941" width="16" style="53" bestFit="1" customWidth="1"/>
    <col min="7942" max="7942" width="13.7109375" style="53" bestFit="1" customWidth="1"/>
    <col min="7943" max="7943" width="15.7109375" style="53" bestFit="1" customWidth="1"/>
    <col min="7944" max="7944" width="13.140625" style="53" bestFit="1" customWidth="1"/>
    <col min="7945" max="7945" width="11.85546875" style="53" bestFit="1" customWidth="1"/>
    <col min="7946" max="7946" width="12.85546875" style="53" bestFit="1" customWidth="1"/>
    <col min="7947" max="8192" width="9.140625" style="53"/>
    <col min="8193" max="8193" width="9.28515625" style="53" customWidth="1"/>
    <col min="8194" max="8194" width="39.85546875" style="53" customWidth="1"/>
    <col min="8195" max="8195" width="18.28515625" style="53" customWidth="1"/>
    <col min="8196" max="8196" width="23.85546875" style="53" customWidth="1"/>
    <col min="8197" max="8197" width="16" style="53" bestFit="1" customWidth="1"/>
    <col min="8198" max="8198" width="13.7109375" style="53" bestFit="1" customWidth="1"/>
    <col min="8199" max="8199" width="15.7109375" style="53" bestFit="1" customWidth="1"/>
    <col min="8200" max="8200" width="13.140625" style="53" bestFit="1" customWidth="1"/>
    <col min="8201" max="8201" width="11.85546875" style="53" bestFit="1" customWidth="1"/>
    <col min="8202" max="8202" width="12.85546875" style="53" bestFit="1" customWidth="1"/>
    <col min="8203" max="8448" width="9.140625" style="53"/>
    <col min="8449" max="8449" width="9.28515625" style="53" customWidth="1"/>
    <col min="8450" max="8450" width="39.85546875" style="53" customWidth="1"/>
    <col min="8451" max="8451" width="18.28515625" style="53" customWidth="1"/>
    <col min="8452" max="8452" width="23.85546875" style="53" customWidth="1"/>
    <col min="8453" max="8453" width="16" style="53" bestFit="1" customWidth="1"/>
    <col min="8454" max="8454" width="13.7109375" style="53" bestFit="1" customWidth="1"/>
    <col min="8455" max="8455" width="15.7109375" style="53" bestFit="1" customWidth="1"/>
    <col min="8456" max="8456" width="13.140625" style="53" bestFit="1" customWidth="1"/>
    <col min="8457" max="8457" width="11.85546875" style="53" bestFit="1" customWidth="1"/>
    <col min="8458" max="8458" width="12.85546875" style="53" bestFit="1" customWidth="1"/>
    <col min="8459" max="8704" width="9.140625" style="53"/>
    <col min="8705" max="8705" width="9.28515625" style="53" customWidth="1"/>
    <col min="8706" max="8706" width="39.85546875" style="53" customWidth="1"/>
    <col min="8707" max="8707" width="18.28515625" style="53" customWidth="1"/>
    <col min="8708" max="8708" width="23.85546875" style="53" customWidth="1"/>
    <col min="8709" max="8709" width="16" style="53" bestFit="1" customWidth="1"/>
    <col min="8710" max="8710" width="13.7109375" style="53" bestFit="1" customWidth="1"/>
    <col min="8711" max="8711" width="15.7109375" style="53" bestFit="1" customWidth="1"/>
    <col min="8712" max="8712" width="13.140625" style="53" bestFit="1" customWidth="1"/>
    <col min="8713" max="8713" width="11.85546875" style="53" bestFit="1" customWidth="1"/>
    <col min="8714" max="8714" width="12.85546875" style="53" bestFit="1" customWidth="1"/>
    <col min="8715" max="8960" width="9.140625" style="53"/>
    <col min="8961" max="8961" width="9.28515625" style="53" customWidth="1"/>
    <col min="8962" max="8962" width="39.85546875" style="53" customWidth="1"/>
    <col min="8963" max="8963" width="18.28515625" style="53" customWidth="1"/>
    <col min="8964" max="8964" width="23.85546875" style="53" customWidth="1"/>
    <col min="8965" max="8965" width="16" style="53" bestFit="1" customWidth="1"/>
    <col min="8966" max="8966" width="13.7109375" style="53" bestFit="1" customWidth="1"/>
    <col min="8967" max="8967" width="15.7109375" style="53" bestFit="1" customWidth="1"/>
    <col min="8968" max="8968" width="13.140625" style="53" bestFit="1" customWidth="1"/>
    <col min="8969" max="8969" width="11.85546875" style="53" bestFit="1" customWidth="1"/>
    <col min="8970" max="8970" width="12.85546875" style="53" bestFit="1" customWidth="1"/>
    <col min="8971" max="9216" width="9.140625" style="53"/>
    <col min="9217" max="9217" width="9.28515625" style="53" customWidth="1"/>
    <col min="9218" max="9218" width="39.85546875" style="53" customWidth="1"/>
    <col min="9219" max="9219" width="18.28515625" style="53" customWidth="1"/>
    <col min="9220" max="9220" width="23.85546875" style="53" customWidth="1"/>
    <col min="9221" max="9221" width="16" style="53" bestFit="1" customWidth="1"/>
    <col min="9222" max="9222" width="13.7109375" style="53" bestFit="1" customWidth="1"/>
    <col min="9223" max="9223" width="15.7109375" style="53" bestFit="1" customWidth="1"/>
    <col min="9224" max="9224" width="13.140625" style="53" bestFit="1" customWidth="1"/>
    <col min="9225" max="9225" width="11.85546875" style="53" bestFit="1" customWidth="1"/>
    <col min="9226" max="9226" width="12.85546875" style="53" bestFit="1" customWidth="1"/>
    <col min="9227" max="9472" width="9.140625" style="53"/>
    <col min="9473" max="9473" width="9.28515625" style="53" customWidth="1"/>
    <col min="9474" max="9474" width="39.85546875" style="53" customWidth="1"/>
    <col min="9475" max="9475" width="18.28515625" style="53" customWidth="1"/>
    <col min="9476" max="9476" width="23.85546875" style="53" customWidth="1"/>
    <col min="9477" max="9477" width="16" style="53" bestFit="1" customWidth="1"/>
    <col min="9478" max="9478" width="13.7109375" style="53" bestFit="1" customWidth="1"/>
    <col min="9479" max="9479" width="15.7109375" style="53" bestFit="1" customWidth="1"/>
    <col min="9480" max="9480" width="13.140625" style="53" bestFit="1" customWidth="1"/>
    <col min="9481" max="9481" width="11.85546875" style="53" bestFit="1" customWidth="1"/>
    <col min="9482" max="9482" width="12.85546875" style="53" bestFit="1" customWidth="1"/>
    <col min="9483" max="9728" width="9.140625" style="53"/>
    <col min="9729" max="9729" width="9.28515625" style="53" customWidth="1"/>
    <col min="9730" max="9730" width="39.85546875" style="53" customWidth="1"/>
    <col min="9731" max="9731" width="18.28515625" style="53" customWidth="1"/>
    <col min="9732" max="9732" width="23.85546875" style="53" customWidth="1"/>
    <col min="9733" max="9733" width="16" style="53" bestFit="1" customWidth="1"/>
    <col min="9734" max="9734" width="13.7109375" style="53" bestFit="1" customWidth="1"/>
    <col min="9735" max="9735" width="15.7109375" style="53" bestFit="1" customWidth="1"/>
    <col min="9736" max="9736" width="13.140625" style="53" bestFit="1" customWidth="1"/>
    <col min="9737" max="9737" width="11.85546875" style="53" bestFit="1" customWidth="1"/>
    <col min="9738" max="9738" width="12.85546875" style="53" bestFit="1" customWidth="1"/>
    <col min="9739" max="9984" width="9.140625" style="53"/>
    <col min="9985" max="9985" width="9.28515625" style="53" customWidth="1"/>
    <col min="9986" max="9986" width="39.85546875" style="53" customWidth="1"/>
    <col min="9987" max="9987" width="18.28515625" style="53" customWidth="1"/>
    <col min="9988" max="9988" width="23.85546875" style="53" customWidth="1"/>
    <col min="9989" max="9989" width="16" style="53" bestFit="1" customWidth="1"/>
    <col min="9990" max="9990" width="13.7109375" style="53" bestFit="1" customWidth="1"/>
    <col min="9991" max="9991" width="15.7109375" style="53" bestFit="1" customWidth="1"/>
    <col min="9992" max="9992" width="13.140625" style="53" bestFit="1" customWidth="1"/>
    <col min="9993" max="9993" width="11.85546875" style="53" bestFit="1" customWidth="1"/>
    <col min="9994" max="9994" width="12.85546875" style="53" bestFit="1" customWidth="1"/>
    <col min="9995" max="10240" width="9.140625" style="53"/>
    <col min="10241" max="10241" width="9.28515625" style="53" customWidth="1"/>
    <col min="10242" max="10242" width="39.85546875" style="53" customWidth="1"/>
    <col min="10243" max="10243" width="18.28515625" style="53" customWidth="1"/>
    <col min="10244" max="10244" width="23.85546875" style="53" customWidth="1"/>
    <col min="10245" max="10245" width="16" style="53" bestFit="1" customWidth="1"/>
    <col min="10246" max="10246" width="13.7109375" style="53" bestFit="1" customWidth="1"/>
    <col min="10247" max="10247" width="15.7109375" style="53" bestFit="1" customWidth="1"/>
    <col min="10248" max="10248" width="13.140625" style="53" bestFit="1" customWidth="1"/>
    <col min="10249" max="10249" width="11.85546875" style="53" bestFit="1" customWidth="1"/>
    <col min="10250" max="10250" width="12.85546875" style="53" bestFit="1" customWidth="1"/>
    <col min="10251" max="10496" width="9.140625" style="53"/>
    <col min="10497" max="10497" width="9.28515625" style="53" customWidth="1"/>
    <col min="10498" max="10498" width="39.85546875" style="53" customWidth="1"/>
    <col min="10499" max="10499" width="18.28515625" style="53" customWidth="1"/>
    <col min="10500" max="10500" width="23.85546875" style="53" customWidth="1"/>
    <col min="10501" max="10501" width="16" style="53" bestFit="1" customWidth="1"/>
    <col min="10502" max="10502" width="13.7109375" style="53" bestFit="1" customWidth="1"/>
    <col min="10503" max="10503" width="15.7109375" style="53" bestFit="1" customWidth="1"/>
    <col min="10504" max="10504" width="13.140625" style="53" bestFit="1" customWidth="1"/>
    <col min="10505" max="10505" width="11.85546875" style="53" bestFit="1" customWidth="1"/>
    <col min="10506" max="10506" width="12.85546875" style="53" bestFit="1" customWidth="1"/>
    <col min="10507" max="10752" width="9.140625" style="53"/>
    <col min="10753" max="10753" width="9.28515625" style="53" customWidth="1"/>
    <col min="10754" max="10754" width="39.85546875" style="53" customWidth="1"/>
    <col min="10755" max="10755" width="18.28515625" style="53" customWidth="1"/>
    <col min="10756" max="10756" width="23.85546875" style="53" customWidth="1"/>
    <col min="10757" max="10757" width="16" style="53" bestFit="1" customWidth="1"/>
    <col min="10758" max="10758" width="13.7109375" style="53" bestFit="1" customWidth="1"/>
    <col min="10759" max="10759" width="15.7109375" style="53" bestFit="1" customWidth="1"/>
    <col min="10760" max="10760" width="13.140625" style="53" bestFit="1" customWidth="1"/>
    <col min="10761" max="10761" width="11.85546875" style="53" bestFit="1" customWidth="1"/>
    <col min="10762" max="10762" width="12.85546875" style="53" bestFit="1" customWidth="1"/>
    <col min="10763" max="11008" width="9.140625" style="53"/>
    <col min="11009" max="11009" width="9.28515625" style="53" customWidth="1"/>
    <col min="11010" max="11010" width="39.85546875" style="53" customWidth="1"/>
    <col min="11011" max="11011" width="18.28515625" style="53" customWidth="1"/>
    <col min="11012" max="11012" width="23.85546875" style="53" customWidth="1"/>
    <col min="11013" max="11013" width="16" style="53" bestFit="1" customWidth="1"/>
    <col min="11014" max="11014" width="13.7109375" style="53" bestFit="1" customWidth="1"/>
    <col min="11015" max="11015" width="15.7109375" style="53" bestFit="1" customWidth="1"/>
    <col min="11016" max="11016" width="13.140625" style="53" bestFit="1" customWidth="1"/>
    <col min="11017" max="11017" width="11.85546875" style="53" bestFit="1" customWidth="1"/>
    <col min="11018" max="11018" width="12.85546875" style="53" bestFit="1" customWidth="1"/>
    <col min="11019" max="11264" width="9.140625" style="53"/>
    <col min="11265" max="11265" width="9.28515625" style="53" customWidth="1"/>
    <col min="11266" max="11266" width="39.85546875" style="53" customWidth="1"/>
    <col min="11267" max="11267" width="18.28515625" style="53" customWidth="1"/>
    <col min="11268" max="11268" width="23.85546875" style="53" customWidth="1"/>
    <col min="11269" max="11269" width="16" style="53" bestFit="1" customWidth="1"/>
    <col min="11270" max="11270" width="13.7109375" style="53" bestFit="1" customWidth="1"/>
    <col min="11271" max="11271" width="15.7109375" style="53" bestFit="1" customWidth="1"/>
    <col min="11272" max="11272" width="13.140625" style="53" bestFit="1" customWidth="1"/>
    <col min="11273" max="11273" width="11.85546875" style="53" bestFit="1" customWidth="1"/>
    <col min="11274" max="11274" width="12.85546875" style="53" bestFit="1" customWidth="1"/>
    <col min="11275" max="11520" width="9.140625" style="53"/>
    <col min="11521" max="11521" width="9.28515625" style="53" customWidth="1"/>
    <col min="11522" max="11522" width="39.85546875" style="53" customWidth="1"/>
    <col min="11523" max="11523" width="18.28515625" style="53" customWidth="1"/>
    <col min="11524" max="11524" width="23.85546875" style="53" customWidth="1"/>
    <col min="11525" max="11525" width="16" style="53" bestFit="1" customWidth="1"/>
    <col min="11526" max="11526" width="13.7109375" style="53" bestFit="1" customWidth="1"/>
    <col min="11527" max="11527" width="15.7109375" style="53" bestFit="1" customWidth="1"/>
    <col min="11528" max="11528" width="13.140625" style="53" bestFit="1" customWidth="1"/>
    <col min="11529" max="11529" width="11.85546875" style="53" bestFit="1" customWidth="1"/>
    <col min="11530" max="11530" width="12.85546875" style="53" bestFit="1" customWidth="1"/>
    <col min="11531" max="11776" width="9.140625" style="53"/>
    <col min="11777" max="11777" width="9.28515625" style="53" customWidth="1"/>
    <col min="11778" max="11778" width="39.85546875" style="53" customWidth="1"/>
    <col min="11779" max="11779" width="18.28515625" style="53" customWidth="1"/>
    <col min="11780" max="11780" width="23.85546875" style="53" customWidth="1"/>
    <col min="11781" max="11781" width="16" style="53" bestFit="1" customWidth="1"/>
    <col min="11782" max="11782" width="13.7109375" style="53" bestFit="1" customWidth="1"/>
    <col min="11783" max="11783" width="15.7109375" style="53" bestFit="1" customWidth="1"/>
    <col min="11784" max="11784" width="13.140625" style="53" bestFit="1" customWidth="1"/>
    <col min="11785" max="11785" width="11.85546875" style="53" bestFit="1" customWidth="1"/>
    <col min="11786" max="11786" width="12.85546875" style="53" bestFit="1" customWidth="1"/>
    <col min="11787" max="12032" width="9.140625" style="53"/>
    <col min="12033" max="12033" width="9.28515625" style="53" customWidth="1"/>
    <col min="12034" max="12034" width="39.85546875" style="53" customWidth="1"/>
    <col min="12035" max="12035" width="18.28515625" style="53" customWidth="1"/>
    <col min="12036" max="12036" width="23.85546875" style="53" customWidth="1"/>
    <col min="12037" max="12037" width="16" style="53" bestFit="1" customWidth="1"/>
    <col min="12038" max="12038" width="13.7109375" style="53" bestFit="1" customWidth="1"/>
    <col min="12039" max="12039" width="15.7109375" style="53" bestFit="1" customWidth="1"/>
    <col min="12040" max="12040" width="13.140625" style="53" bestFit="1" customWidth="1"/>
    <col min="12041" max="12041" width="11.85546875" style="53" bestFit="1" customWidth="1"/>
    <col min="12042" max="12042" width="12.85546875" style="53" bestFit="1" customWidth="1"/>
    <col min="12043" max="12288" width="9.140625" style="53"/>
    <col min="12289" max="12289" width="9.28515625" style="53" customWidth="1"/>
    <col min="12290" max="12290" width="39.85546875" style="53" customWidth="1"/>
    <col min="12291" max="12291" width="18.28515625" style="53" customWidth="1"/>
    <col min="12292" max="12292" width="23.85546875" style="53" customWidth="1"/>
    <col min="12293" max="12293" width="16" style="53" bestFit="1" customWidth="1"/>
    <col min="12294" max="12294" width="13.7109375" style="53" bestFit="1" customWidth="1"/>
    <col min="12295" max="12295" width="15.7109375" style="53" bestFit="1" customWidth="1"/>
    <col min="12296" max="12296" width="13.140625" style="53" bestFit="1" customWidth="1"/>
    <col min="12297" max="12297" width="11.85546875" style="53" bestFit="1" customWidth="1"/>
    <col min="12298" max="12298" width="12.85546875" style="53" bestFit="1" customWidth="1"/>
    <col min="12299" max="12544" width="9.140625" style="53"/>
    <col min="12545" max="12545" width="9.28515625" style="53" customWidth="1"/>
    <col min="12546" max="12546" width="39.85546875" style="53" customWidth="1"/>
    <col min="12547" max="12547" width="18.28515625" style="53" customWidth="1"/>
    <col min="12548" max="12548" width="23.85546875" style="53" customWidth="1"/>
    <col min="12549" max="12549" width="16" style="53" bestFit="1" customWidth="1"/>
    <col min="12550" max="12550" width="13.7109375" style="53" bestFit="1" customWidth="1"/>
    <col min="12551" max="12551" width="15.7109375" style="53" bestFit="1" customWidth="1"/>
    <col min="12552" max="12552" width="13.140625" style="53" bestFit="1" customWidth="1"/>
    <col min="12553" max="12553" width="11.85546875" style="53" bestFit="1" customWidth="1"/>
    <col min="12554" max="12554" width="12.85546875" style="53" bestFit="1" customWidth="1"/>
    <col min="12555" max="12800" width="9.140625" style="53"/>
    <col min="12801" max="12801" width="9.28515625" style="53" customWidth="1"/>
    <col min="12802" max="12802" width="39.85546875" style="53" customWidth="1"/>
    <col min="12803" max="12803" width="18.28515625" style="53" customWidth="1"/>
    <col min="12804" max="12804" width="23.85546875" style="53" customWidth="1"/>
    <col min="12805" max="12805" width="16" style="53" bestFit="1" customWidth="1"/>
    <col min="12806" max="12806" width="13.7109375" style="53" bestFit="1" customWidth="1"/>
    <col min="12807" max="12807" width="15.7109375" style="53" bestFit="1" customWidth="1"/>
    <col min="12808" max="12808" width="13.140625" style="53" bestFit="1" customWidth="1"/>
    <col min="12809" max="12809" width="11.85546875" style="53" bestFit="1" customWidth="1"/>
    <col min="12810" max="12810" width="12.85546875" style="53" bestFit="1" customWidth="1"/>
    <col min="12811" max="13056" width="9.140625" style="53"/>
    <col min="13057" max="13057" width="9.28515625" style="53" customWidth="1"/>
    <col min="13058" max="13058" width="39.85546875" style="53" customWidth="1"/>
    <col min="13059" max="13059" width="18.28515625" style="53" customWidth="1"/>
    <col min="13060" max="13060" width="23.85546875" style="53" customWidth="1"/>
    <col min="13061" max="13061" width="16" style="53" bestFit="1" customWidth="1"/>
    <col min="13062" max="13062" width="13.7109375" style="53" bestFit="1" customWidth="1"/>
    <col min="13063" max="13063" width="15.7109375" style="53" bestFit="1" customWidth="1"/>
    <col min="13064" max="13064" width="13.140625" style="53" bestFit="1" customWidth="1"/>
    <col min="13065" max="13065" width="11.85546875" style="53" bestFit="1" customWidth="1"/>
    <col min="13066" max="13066" width="12.85546875" style="53" bestFit="1" customWidth="1"/>
    <col min="13067" max="13312" width="9.140625" style="53"/>
    <col min="13313" max="13313" width="9.28515625" style="53" customWidth="1"/>
    <col min="13314" max="13314" width="39.85546875" style="53" customWidth="1"/>
    <col min="13315" max="13315" width="18.28515625" style="53" customWidth="1"/>
    <col min="13316" max="13316" width="23.85546875" style="53" customWidth="1"/>
    <col min="13317" max="13317" width="16" style="53" bestFit="1" customWidth="1"/>
    <col min="13318" max="13318" width="13.7109375" style="53" bestFit="1" customWidth="1"/>
    <col min="13319" max="13319" width="15.7109375" style="53" bestFit="1" customWidth="1"/>
    <col min="13320" max="13320" width="13.140625" style="53" bestFit="1" customWidth="1"/>
    <col min="13321" max="13321" width="11.85546875" style="53" bestFit="1" customWidth="1"/>
    <col min="13322" max="13322" width="12.85546875" style="53" bestFit="1" customWidth="1"/>
    <col min="13323" max="13568" width="9.140625" style="53"/>
    <col min="13569" max="13569" width="9.28515625" style="53" customWidth="1"/>
    <col min="13570" max="13570" width="39.85546875" style="53" customWidth="1"/>
    <col min="13571" max="13571" width="18.28515625" style="53" customWidth="1"/>
    <col min="13572" max="13572" width="23.85546875" style="53" customWidth="1"/>
    <col min="13573" max="13573" width="16" style="53" bestFit="1" customWidth="1"/>
    <col min="13574" max="13574" width="13.7109375" style="53" bestFit="1" customWidth="1"/>
    <col min="13575" max="13575" width="15.7109375" style="53" bestFit="1" customWidth="1"/>
    <col min="13576" max="13576" width="13.140625" style="53" bestFit="1" customWidth="1"/>
    <col min="13577" max="13577" width="11.85546875" style="53" bestFit="1" customWidth="1"/>
    <col min="13578" max="13578" width="12.85546875" style="53" bestFit="1" customWidth="1"/>
    <col min="13579" max="13824" width="9.140625" style="53"/>
    <col min="13825" max="13825" width="9.28515625" style="53" customWidth="1"/>
    <col min="13826" max="13826" width="39.85546875" style="53" customWidth="1"/>
    <col min="13827" max="13827" width="18.28515625" style="53" customWidth="1"/>
    <col min="13828" max="13828" width="23.85546875" style="53" customWidth="1"/>
    <col min="13829" max="13829" width="16" style="53" bestFit="1" customWidth="1"/>
    <col min="13830" max="13830" width="13.7109375" style="53" bestFit="1" customWidth="1"/>
    <col min="13831" max="13831" width="15.7109375" style="53" bestFit="1" customWidth="1"/>
    <col min="13832" max="13832" width="13.140625" style="53" bestFit="1" customWidth="1"/>
    <col min="13833" max="13833" width="11.85546875" style="53" bestFit="1" customWidth="1"/>
    <col min="13834" max="13834" width="12.85546875" style="53" bestFit="1" customWidth="1"/>
    <col min="13835" max="14080" width="9.140625" style="53"/>
    <col min="14081" max="14081" width="9.28515625" style="53" customWidth="1"/>
    <col min="14082" max="14082" width="39.85546875" style="53" customWidth="1"/>
    <col min="14083" max="14083" width="18.28515625" style="53" customWidth="1"/>
    <col min="14084" max="14084" width="23.85546875" style="53" customWidth="1"/>
    <col min="14085" max="14085" width="16" style="53" bestFit="1" customWidth="1"/>
    <col min="14086" max="14086" width="13.7109375" style="53" bestFit="1" customWidth="1"/>
    <col min="14087" max="14087" width="15.7109375" style="53" bestFit="1" customWidth="1"/>
    <col min="14088" max="14088" width="13.140625" style="53" bestFit="1" customWidth="1"/>
    <col min="14089" max="14089" width="11.85546875" style="53" bestFit="1" customWidth="1"/>
    <col min="14090" max="14090" width="12.85546875" style="53" bestFit="1" customWidth="1"/>
    <col min="14091" max="14336" width="9.140625" style="53"/>
    <col min="14337" max="14337" width="9.28515625" style="53" customWidth="1"/>
    <col min="14338" max="14338" width="39.85546875" style="53" customWidth="1"/>
    <col min="14339" max="14339" width="18.28515625" style="53" customWidth="1"/>
    <col min="14340" max="14340" width="23.85546875" style="53" customWidth="1"/>
    <col min="14341" max="14341" width="16" style="53" bestFit="1" customWidth="1"/>
    <col min="14342" max="14342" width="13.7109375" style="53" bestFit="1" customWidth="1"/>
    <col min="14343" max="14343" width="15.7109375" style="53" bestFit="1" customWidth="1"/>
    <col min="14344" max="14344" width="13.140625" style="53" bestFit="1" customWidth="1"/>
    <col min="14345" max="14345" width="11.85546875" style="53" bestFit="1" customWidth="1"/>
    <col min="14346" max="14346" width="12.85546875" style="53" bestFit="1" customWidth="1"/>
    <col min="14347" max="14592" width="9.140625" style="53"/>
    <col min="14593" max="14593" width="9.28515625" style="53" customWidth="1"/>
    <col min="14594" max="14594" width="39.85546875" style="53" customWidth="1"/>
    <col min="14595" max="14595" width="18.28515625" style="53" customWidth="1"/>
    <col min="14596" max="14596" width="23.85546875" style="53" customWidth="1"/>
    <col min="14597" max="14597" width="16" style="53" bestFit="1" customWidth="1"/>
    <col min="14598" max="14598" width="13.7109375" style="53" bestFit="1" customWidth="1"/>
    <col min="14599" max="14599" width="15.7109375" style="53" bestFit="1" customWidth="1"/>
    <col min="14600" max="14600" width="13.140625" style="53" bestFit="1" customWidth="1"/>
    <col min="14601" max="14601" width="11.85546875" style="53" bestFit="1" customWidth="1"/>
    <col min="14602" max="14602" width="12.85546875" style="53" bestFit="1" customWidth="1"/>
    <col min="14603" max="14848" width="9.140625" style="53"/>
    <col min="14849" max="14849" width="9.28515625" style="53" customWidth="1"/>
    <col min="14850" max="14850" width="39.85546875" style="53" customWidth="1"/>
    <col min="14851" max="14851" width="18.28515625" style="53" customWidth="1"/>
    <col min="14852" max="14852" width="23.85546875" style="53" customWidth="1"/>
    <col min="14853" max="14853" width="16" style="53" bestFit="1" customWidth="1"/>
    <col min="14854" max="14854" width="13.7109375" style="53" bestFit="1" customWidth="1"/>
    <col min="14855" max="14855" width="15.7109375" style="53" bestFit="1" customWidth="1"/>
    <col min="14856" max="14856" width="13.140625" style="53" bestFit="1" customWidth="1"/>
    <col min="14857" max="14857" width="11.85546875" style="53" bestFit="1" customWidth="1"/>
    <col min="14858" max="14858" width="12.85546875" style="53" bestFit="1" customWidth="1"/>
    <col min="14859" max="15104" width="9.140625" style="53"/>
    <col min="15105" max="15105" width="9.28515625" style="53" customWidth="1"/>
    <col min="15106" max="15106" width="39.85546875" style="53" customWidth="1"/>
    <col min="15107" max="15107" width="18.28515625" style="53" customWidth="1"/>
    <col min="15108" max="15108" width="23.85546875" style="53" customWidth="1"/>
    <col min="15109" max="15109" width="16" style="53" bestFit="1" customWidth="1"/>
    <col min="15110" max="15110" width="13.7109375" style="53" bestFit="1" customWidth="1"/>
    <col min="15111" max="15111" width="15.7109375" style="53" bestFit="1" customWidth="1"/>
    <col min="15112" max="15112" width="13.140625" style="53" bestFit="1" customWidth="1"/>
    <col min="15113" max="15113" width="11.85546875" style="53" bestFit="1" customWidth="1"/>
    <col min="15114" max="15114" width="12.85546875" style="53" bestFit="1" customWidth="1"/>
    <col min="15115" max="15360" width="9.140625" style="53"/>
    <col min="15361" max="15361" width="9.28515625" style="53" customWidth="1"/>
    <col min="15362" max="15362" width="39.85546875" style="53" customWidth="1"/>
    <col min="15363" max="15363" width="18.28515625" style="53" customWidth="1"/>
    <col min="15364" max="15364" width="23.85546875" style="53" customWidth="1"/>
    <col min="15365" max="15365" width="16" style="53" bestFit="1" customWidth="1"/>
    <col min="15366" max="15366" width="13.7109375" style="53" bestFit="1" customWidth="1"/>
    <col min="15367" max="15367" width="15.7109375" style="53" bestFit="1" customWidth="1"/>
    <col min="15368" max="15368" width="13.140625" style="53" bestFit="1" customWidth="1"/>
    <col min="15369" max="15369" width="11.85546875" style="53" bestFit="1" customWidth="1"/>
    <col min="15370" max="15370" width="12.85546875" style="53" bestFit="1" customWidth="1"/>
    <col min="15371" max="15616" width="9.140625" style="53"/>
    <col min="15617" max="15617" width="9.28515625" style="53" customWidth="1"/>
    <col min="15618" max="15618" width="39.85546875" style="53" customWidth="1"/>
    <col min="15619" max="15619" width="18.28515625" style="53" customWidth="1"/>
    <col min="15620" max="15620" width="23.85546875" style="53" customWidth="1"/>
    <col min="15621" max="15621" width="16" style="53" bestFit="1" customWidth="1"/>
    <col min="15622" max="15622" width="13.7109375" style="53" bestFit="1" customWidth="1"/>
    <col min="15623" max="15623" width="15.7109375" style="53" bestFit="1" customWidth="1"/>
    <col min="15624" max="15624" width="13.140625" style="53" bestFit="1" customWidth="1"/>
    <col min="15625" max="15625" width="11.85546875" style="53" bestFit="1" customWidth="1"/>
    <col min="15626" max="15626" width="12.85546875" style="53" bestFit="1" customWidth="1"/>
    <col min="15627" max="15872" width="9.140625" style="53"/>
    <col min="15873" max="15873" width="9.28515625" style="53" customWidth="1"/>
    <col min="15874" max="15874" width="39.85546875" style="53" customWidth="1"/>
    <col min="15875" max="15875" width="18.28515625" style="53" customWidth="1"/>
    <col min="15876" max="15876" width="23.85546875" style="53" customWidth="1"/>
    <col min="15877" max="15877" width="16" style="53" bestFit="1" customWidth="1"/>
    <col min="15878" max="15878" width="13.7109375" style="53" bestFit="1" customWidth="1"/>
    <col min="15879" max="15879" width="15.7109375" style="53" bestFit="1" customWidth="1"/>
    <col min="15880" max="15880" width="13.140625" style="53" bestFit="1" customWidth="1"/>
    <col min="15881" max="15881" width="11.85546875" style="53" bestFit="1" customWidth="1"/>
    <col min="15882" max="15882" width="12.85546875" style="53" bestFit="1" customWidth="1"/>
    <col min="15883" max="16128" width="9.140625" style="53"/>
    <col min="16129" max="16129" width="9.28515625" style="53" customWidth="1"/>
    <col min="16130" max="16130" width="39.85546875" style="53" customWidth="1"/>
    <col min="16131" max="16131" width="18.28515625" style="53" customWidth="1"/>
    <col min="16132" max="16132" width="23.85546875" style="53" customWidth="1"/>
    <col min="16133" max="16133" width="16" style="53" bestFit="1" customWidth="1"/>
    <col min="16134" max="16134" width="13.7109375" style="53" bestFit="1" customWidth="1"/>
    <col min="16135" max="16135" width="15.7109375" style="53" bestFit="1" customWidth="1"/>
    <col min="16136" max="16136" width="13.140625" style="53" bestFit="1" customWidth="1"/>
    <col min="16137" max="16137" width="11.85546875" style="53" bestFit="1" customWidth="1"/>
    <col min="16138" max="16138" width="12.85546875" style="53" bestFit="1" customWidth="1"/>
    <col min="16139" max="16384" width="9.140625" style="53"/>
  </cols>
  <sheetData>
    <row r="3" spans="1:7" ht="15.75" customHeight="1">
      <c r="A3" s="543" t="s">
        <v>255</v>
      </c>
      <c r="B3" s="543"/>
      <c r="C3" s="543"/>
      <c r="D3" s="543"/>
      <c r="E3" s="52"/>
      <c r="F3" s="52"/>
      <c r="G3" s="52"/>
    </row>
    <row r="4" spans="1:7">
      <c r="A4" s="543"/>
      <c r="B4" s="543"/>
      <c r="C4" s="543"/>
      <c r="D4" s="543"/>
      <c r="E4" s="52"/>
      <c r="F4" s="52"/>
      <c r="G4" s="52"/>
    </row>
    <row r="5" spans="1:7">
      <c r="A5" s="54"/>
      <c r="B5" s="52"/>
      <c r="C5" s="52"/>
      <c r="D5" s="52"/>
      <c r="E5" s="52"/>
      <c r="F5" s="52"/>
      <c r="G5" s="52"/>
    </row>
    <row r="6" spans="1:7" ht="15.75" customHeight="1">
      <c r="A6" s="544" t="s">
        <v>550</v>
      </c>
      <c r="B6" s="544"/>
      <c r="C6" s="544"/>
      <c r="D6" s="544"/>
      <c r="E6" s="52"/>
      <c r="F6" s="52"/>
      <c r="G6" s="52"/>
    </row>
    <row r="7" spans="1:7">
      <c r="A7" s="522"/>
      <c r="B7" s="522"/>
      <c r="C7" s="522"/>
      <c r="D7" s="522"/>
    </row>
    <row r="8" spans="1:7">
      <c r="A8" s="237" t="s">
        <v>551</v>
      </c>
      <c r="B8" s="238"/>
      <c r="C8" s="187"/>
      <c r="D8" s="187"/>
    </row>
    <row r="9" spans="1:7">
      <c r="A9" s="522"/>
      <c r="B9" s="522"/>
      <c r="C9" s="522"/>
      <c r="D9" s="522"/>
    </row>
    <row r="10" spans="1:7">
      <c r="A10" s="57" t="s">
        <v>256</v>
      </c>
      <c r="B10" s="188"/>
      <c r="C10" s="187"/>
      <c r="D10" s="187"/>
    </row>
    <row r="11" spans="1:7">
      <c r="A11" s="59" t="s">
        <v>257</v>
      </c>
      <c r="B11" s="541" t="s">
        <v>258</v>
      </c>
      <c r="C11" s="542"/>
      <c r="D11" s="239">
        <v>42550</v>
      </c>
    </row>
    <row r="12" spans="1:7">
      <c r="A12" s="59" t="s">
        <v>259</v>
      </c>
      <c r="B12" s="62" t="s">
        <v>260</v>
      </c>
      <c r="C12" s="63"/>
      <c r="D12" s="240" t="s">
        <v>374</v>
      </c>
    </row>
    <row r="13" spans="1:7">
      <c r="A13" s="59" t="s">
        <v>261</v>
      </c>
      <c r="B13" s="541" t="s">
        <v>262</v>
      </c>
      <c r="C13" s="542"/>
      <c r="D13" s="240">
        <v>2016</v>
      </c>
    </row>
    <row r="14" spans="1:7">
      <c r="A14" s="64" t="s">
        <v>263</v>
      </c>
      <c r="B14" s="65" t="s">
        <v>555</v>
      </c>
      <c r="C14" s="66"/>
      <c r="D14" s="239">
        <v>42625</v>
      </c>
    </row>
    <row r="16" spans="1:7">
      <c r="A16" s="190"/>
    </row>
    <row r="17" spans="1:7">
      <c r="A17" s="523"/>
      <c r="B17" s="523"/>
      <c r="C17" s="523"/>
      <c r="D17" s="523"/>
      <c r="E17" s="523"/>
      <c r="F17" s="523"/>
      <c r="G17" s="523"/>
    </row>
    <row r="18" spans="1:7" ht="35.25" customHeight="1">
      <c r="A18" s="545" t="s">
        <v>264</v>
      </c>
      <c r="B18" s="545"/>
      <c r="C18" s="67" t="s">
        <v>265</v>
      </c>
      <c r="D18" s="67" t="s">
        <v>266</v>
      </c>
    </row>
    <row r="19" spans="1:7">
      <c r="A19" s="241">
        <v>1</v>
      </c>
      <c r="B19" s="242" t="s">
        <v>0</v>
      </c>
      <c r="C19" s="241" t="s">
        <v>267</v>
      </c>
      <c r="D19" s="243">
        <v>1</v>
      </c>
    </row>
    <row r="20" spans="1:7">
      <c r="A20" s="68"/>
      <c r="B20" s="69"/>
      <c r="C20" s="68"/>
      <c r="D20" s="70"/>
    </row>
    <row r="21" spans="1:7">
      <c r="A21" s="522" t="s">
        <v>268</v>
      </c>
      <c r="B21" s="522"/>
      <c r="C21" s="522"/>
      <c r="D21" s="522"/>
      <c r="E21" s="522"/>
      <c r="F21" s="522"/>
      <c r="G21" s="522"/>
    </row>
    <row r="22" spans="1:7">
      <c r="A22" s="71"/>
    </row>
    <row r="23" spans="1:7">
      <c r="A23" s="57" t="s">
        <v>269</v>
      </c>
    </row>
    <row r="24" spans="1:7">
      <c r="A24" s="57" t="s">
        <v>270</v>
      </c>
    </row>
    <row r="25" spans="1:7">
      <c r="A25" s="72" t="s">
        <v>271</v>
      </c>
      <c r="B25" s="60"/>
      <c r="C25" s="60"/>
      <c r="D25" s="61"/>
    </row>
    <row r="26" spans="1:7">
      <c r="A26" s="73">
        <v>1</v>
      </c>
      <c r="B26" s="74" t="s">
        <v>272</v>
      </c>
      <c r="C26" s="74"/>
      <c r="D26" s="244" t="str">
        <f>B19</f>
        <v>Copeira</v>
      </c>
    </row>
    <row r="27" spans="1:7" ht="30.75" customHeight="1">
      <c r="A27" s="73">
        <v>2</v>
      </c>
      <c r="B27" s="539" t="s">
        <v>273</v>
      </c>
      <c r="C27" s="540"/>
      <c r="D27" s="175">
        <v>1104</v>
      </c>
    </row>
    <row r="28" spans="1:7" ht="31.5" customHeight="1">
      <c r="A28" s="73">
        <v>3</v>
      </c>
      <c r="B28" s="539" t="s">
        <v>274</v>
      </c>
      <c r="C28" s="540"/>
      <c r="D28" s="176" t="s">
        <v>375</v>
      </c>
    </row>
    <row r="29" spans="1:7">
      <c r="A29" s="75">
        <v>4</v>
      </c>
      <c r="B29" s="76" t="s">
        <v>275</v>
      </c>
      <c r="C29" s="76"/>
      <c r="D29" s="77">
        <v>42401</v>
      </c>
    </row>
    <row r="30" spans="1:7">
      <c r="A30" s="71"/>
    </row>
    <row r="31" spans="1:7">
      <c r="A31" s="71"/>
    </row>
    <row r="32" spans="1:7">
      <c r="A32" s="71"/>
    </row>
    <row r="33" spans="1:7" ht="16.5" customHeight="1" thickBot="1">
      <c r="A33" s="523" t="s">
        <v>276</v>
      </c>
      <c r="B33" s="523"/>
      <c r="C33" s="523"/>
      <c r="D33" s="523"/>
      <c r="E33" s="523"/>
      <c r="F33" s="52"/>
      <c r="G33" s="52"/>
    </row>
    <row r="34" spans="1:7" ht="16.5" thickBot="1">
      <c r="A34" s="78" t="s">
        <v>277</v>
      </c>
      <c r="B34" s="79" t="s">
        <v>278</v>
      </c>
      <c r="C34" s="80"/>
      <c r="D34" s="81" t="s">
        <v>279</v>
      </c>
    </row>
    <row r="35" spans="1:7">
      <c r="A35" s="82" t="s">
        <v>257</v>
      </c>
      <c r="B35" s="83" t="s">
        <v>280</v>
      </c>
      <c r="C35" s="84"/>
      <c r="D35" s="85">
        <f>ROUND(((D27/220)*(365.25/12)*(30/6)),2)</f>
        <v>763.7</v>
      </c>
    </row>
    <row r="36" spans="1:7">
      <c r="A36" s="191" t="s">
        <v>259</v>
      </c>
      <c r="B36" s="87" t="s">
        <v>281</v>
      </c>
      <c r="C36" s="88"/>
      <c r="D36" s="89">
        <v>0</v>
      </c>
    </row>
    <row r="37" spans="1:7">
      <c r="A37" s="191" t="s">
        <v>261</v>
      </c>
      <c r="B37" s="87" t="s">
        <v>282</v>
      </c>
      <c r="C37" s="90"/>
      <c r="D37" s="89">
        <v>0</v>
      </c>
    </row>
    <row r="38" spans="1:7">
      <c r="A38" s="191" t="s">
        <v>263</v>
      </c>
      <c r="B38" s="91" t="s">
        <v>552</v>
      </c>
      <c r="C38" s="88"/>
      <c r="D38" s="89">
        <v>0</v>
      </c>
    </row>
    <row r="39" spans="1:7">
      <c r="A39" s="191" t="s">
        <v>284</v>
      </c>
      <c r="B39" s="91" t="s">
        <v>285</v>
      </c>
      <c r="C39" s="92"/>
      <c r="D39" s="89">
        <v>0</v>
      </c>
    </row>
    <row r="40" spans="1:7">
      <c r="A40" s="191" t="s">
        <v>286</v>
      </c>
      <c r="B40" s="93" t="s">
        <v>287</v>
      </c>
      <c r="C40" s="92"/>
      <c r="D40" s="89">
        <v>0</v>
      </c>
    </row>
    <row r="41" spans="1:7">
      <c r="A41" s="191" t="s">
        <v>288</v>
      </c>
      <c r="B41" s="93" t="s">
        <v>289</v>
      </c>
      <c r="C41" s="92"/>
      <c r="D41" s="89">
        <v>0</v>
      </c>
    </row>
    <row r="42" spans="1:7" ht="16.5" thickBot="1">
      <c r="A42" s="191" t="s">
        <v>290</v>
      </c>
      <c r="B42" s="94" t="s">
        <v>376</v>
      </c>
      <c r="C42" s="95"/>
      <c r="D42" s="89">
        <v>0</v>
      </c>
    </row>
    <row r="43" spans="1:7" ht="16.5" thickBot="1">
      <c r="A43" s="96"/>
      <c r="B43" s="97" t="s">
        <v>292</v>
      </c>
      <c r="C43" s="98"/>
      <c r="D43" s="99">
        <f>SUM(D35:D42)</f>
        <v>763.7</v>
      </c>
    </row>
    <row r="44" spans="1:7">
      <c r="A44" s="190"/>
    </row>
    <row r="45" spans="1:7" ht="16.5" thickBot="1">
      <c r="A45" s="523" t="s">
        <v>293</v>
      </c>
      <c r="B45" s="523"/>
      <c r="C45" s="523"/>
      <c r="D45" s="523"/>
      <c r="E45" s="523"/>
      <c r="F45" s="523"/>
      <c r="G45" s="523"/>
    </row>
    <row r="46" spans="1:7" ht="16.5" thickBot="1">
      <c r="A46" s="100">
        <v>2</v>
      </c>
      <c r="B46" s="189" t="s">
        <v>294</v>
      </c>
      <c r="C46" s="102"/>
      <c r="D46" s="100" t="s">
        <v>279</v>
      </c>
    </row>
    <row r="47" spans="1:7">
      <c r="A47" s="82" t="s">
        <v>257</v>
      </c>
      <c r="B47" s="83" t="s">
        <v>295</v>
      </c>
      <c r="C47" s="103"/>
      <c r="D47" s="104">
        <f>(3.7*44)-(D35*6%)</f>
        <v>116.97800000000001</v>
      </c>
    </row>
    <row r="48" spans="1:7" ht="31.5">
      <c r="A48" s="105" t="s">
        <v>259</v>
      </c>
      <c r="B48" s="106" t="s">
        <v>296</v>
      </c>
      <c r="C48" s="90"/>
      <c r="D48" s="107">
        <f>330*(1-20%)</f>
        <v>264</v>
      </c>
    </row>
    <row r="49" spans="1:7">
      <c r="A49" s="191" t="s">
        <v>261</v>
      </c>
      <c r="B49" s="87" t="s">
        <v>389</v>
      </c>
      <c r="C49" s="90"/>
      <c r="D49" s="107">
        <v>50</v>
      </c>
    </row>
    <row r="50" spans="1:7">
      <c r="A50" s="191" t="s">
        <v>263</v>
      </c>
      <c r="B50" s="87" t="s">
        <v>297</v>
      </c>
      <c r="C50" s="88"/>
      <c r="D50" s="107">
        <v>0</v>
      </c>
    </row>
    <row r="51" spans="1:7">
      <c r="A51" s="191" t="s">
        <v>284</v>
      </c>
      <c r="B51" s="87" t="s">
        <v>390</v>
      </c>
      <c r="C51" s="92"/>
      <c r="D51" s="108">
        <v>16</v>
      </c>
    </row>
    <row r="52" spans="1:7" ht="16.5" customHeight="1">
      <c r="A52" s="191" t="s">
        <v>286</v>
      </c>
      <c r="B52" s="535" t="s">
        <v>377</v>
      </c>
      <c r="C52" s="536"/>
      <c r="D52" s="108">
        <v>16</v>
      </c>
    </row>
    <row r="53" spans="1:7" ht="16.5" thickBot="1">
      <c r="A53" s="109" t="s">
        <v>288</v>
      </c>
      <c r="B53" s="537" t="s">
        <v>291</v>
      </c>
      <c r="C53" s="538"/>
      <c r="D53" s="110">
        <v>0</v>
      </c>
    </row>
    <row r="54" spans="1:7" ht="16.5" thickBot="1">
      <c r="A54" s="111"/>
      <c r="B54" s="189" t="s">
        <v>298</v>
      </c>
      <c r="C54" s="112"/>
      <c r="D54" s="113">
        <f>SUM(D47:D53)</f>
        <v>462.97800000000001</v>
      </c>
    </row>
    <row r="55" spans="1:7" ht="33" customHeight="1">
      <c r="A55" s="522" t="s">
        <v>299</v>
      </c>
      <c r="B55" s="522"/>
      <c r="C55" s="522"/>
      <c r="D55" s="522"/>
    </row>
    <row r="56" spans="1:7">
      <c r="A56" s="190"/>
    </row>
    <row r="57" spans="1:7" ht="16.5" thickBot="1">
      <c r="A57" s="523" t="s">
        <v>300</v>
      </c>
      <c r="B57" s="523"/>
      <c r="C57" s="523"/>
      <c r="D57" s="523"/>
      <c r="E57" s="523"/>
      <c r="F57" s="523"/>
      <c r="G57" s="523"/>
    </row>
    <row r="58" spans="1:7" ht="16.5" thickBot="1">
      <c r="A58" s="114">
        <v>3</v>
      </c>
      <c r="B58" s="189" t="s">
        <v>301</v>
      </c>
      <c r="C58" s="102"/>
      <c r="D58" s="100" t="s">
        <v>279</v>
      </c>
    </row>
    <row r="59" spans="1:7">
      <c r="A59" s="82" t="s">
        <v>257</v>
      </c>
      <c r="B59" s="83" t="s">
        <v>302</v>
      </c>
      <c r="C59" s="115"/>
      <c r="D59" s="116">
        <f>'ANEXO IV'!D43</f>
        <v>39.5</v>
      </c>
    </row>
    <row r="60" spans="1:7">
      <c r="A60" s="105" t="s">
        <v>259</v>
      </c>
      <c r="B60" s="106" t="s">
        <v>15</v>
      </c>
      <c r="C60" s="90"/>
      <c r="D60" s="107">
        <v>0</v>
      </c>
    </row>
    <row r="61" spans="1:7">
      <c r="A61" s="191" t="s">
        <v>261</v>
      </c>
      <c r="B61" s="87" t="s">
        <v>21</v>
      </c>
      <c r="C61" s="90"/>
      <c r="D61" s="107">
        <v>0</v>
      </c>
    </row>
    <row r="62" spans="1:7">
      <c r="A62" s="191" t="s">
        <v>263</v>
      </c>
      <c r="B62" s="535" t="s">
        <v>18</v>
      </c>
      <c r="C62" s="536"/>
      <c r="D62" s="108">
        <v>0</v>
      </c>
    </row>
    <row r="63" spans="1:7" ht="16.5" thickBot="1">
      <c r="A63" s="109" t="s">
        <v>284</v>
      </c>
      <c r="B63" s="537" t="s">
        <v>291</v>
      </c>
      <c r="C63" s="538"/>
      <c r="D63" s="110">
        <v>0</v>
      </c>
    </row>
    <row r="64" spans="1:7" ht="16.5" thickBot="1">
      <c r="A64" s="111"/>
      <c r="B64" s="189" t="s">
        <v>303</v>
      </c>
      <c r="C64" s="112"/>
      <c r="D64" s="113">
        <f>SUM(D59:D63)</f>
        <v>39.5</v>
      </c>
    </row>
    <row r="65" spans="1:7">
      <c r="A65" s="522" t="s">
        <v>304</v>
      </c>
      <c r="B65" s="522"/>
      <c r="C65" s="522"/>
      <c r="D65" s="522"/>
      <c r="E65" s="522"/>
      <c r="F65" s="522"/>
      <c r="G65" s="522"/>
    </row>
    <row r="66" spans="1:7">
      <c r="A66" s="190"/>
    </row>
    <row r="67" spans="1:7">
      <c r="A67" s="523" t="s">
        <v>305</v>
      </c>
      <c r="B67" s="523"/>
      <c r="C67" s="523"/>
      <c r="D67" s="523"/>
      <c r="E67" s="523"/>
      <c r="F67" s="523"/>
      <c r="G67" s="523"/>
    </row>
    <row r="68" spans="1:7" ht="16.5" thickBot="1">
      <c r="A68" s="523" t="s">
        <v>306</v>
      </c>
      <c r="B68" s="523"/>
      <c r="C68" s="523"/>
      <c r="D68" s="523"/>
      <c r="E68" s="523"/>
      <c r="F68" s="523"/>
      <c r="G68" s="523"/>
    </row>
    <row r="69" spans="1:7" ht="16.5" thickBot="1">
      <c r="A69" s="117" t="s">
        <v>307</v>
      </c>
      <c r="B69" s="118" t="s">
        <v>308</v>
      </c>
      <c r="C69" s="117" t="s">
        <v>4</v>
      </c>
      <c r="D69" s="117" t="s">
        <v>279</v>
      </c>
    </row>
    <row r="70" spans="1:7">
      <c r="A70" s="82" t="s">
        <v>257</v>
      </c>
      <c r="B70" s="119" t="s">
        <v>8</v>
      </c>
      <c r="C70" s="120">
        <v>0.2</v>
      </c>
      <c r="D70" s="104">
        <f t="shared" ref="D70:D77" si="0">ROUND($D$43*C70,2)</f>
        <v>152.74</v>
      </c>
    </row>
    <row r="71" spans="1:7">
      <c r="A71" s="105" t="s">
        <v>259</v>
      </c>
      <c r="B71" s="121" t="s">
        <v>309</v>
      </c>
      <c r="C71" s="122">
        <v>1.4999999999999999E-2</v>
      </c>
      <c r="D71" s="107">
        <f t="shared" si="0"/>
        <v>11.46</v>
      </c>
    </row>
    <row r="72" spans="1:7">
      <c r="A72" s="191" t="s">
        <v>261</v>
      </c>
      <c r="B72" s="123" t="s">
        <v>310</v>
      </c>
      <c r="C72" s="122">
        <v>0.01</v>
      </c>
      <c r="D72" s="107">
        <f t="shared" si="0"/>
        <v>7.64</v>
      </c>
    </row>
    <row r="73" spans="1:7">
      <c r="A73" s="105" t="s">
        <v>263</v>
      </c>
      <c r="B73" s="121" t="s">
        <v>9</v>
      </c>
      <c r="C73" s="122">
        <v>2E-3</v>
      </c>
      <c r="D73" s="107">
        <f t="shared" si="0"/>
        <v>1.53</v>
      </c>
    </row>
    <row r="74" spans="1:7">
      <c r="A74" s="191" t="s">
        <v>284</v>
      </c>
      <c r="B74" s="123" t="s">
        <v>10</v>
      </c>
      <c r="C74" s="122">
        <v>2.5000000000000001E-2</v>
      </c>
      <c r="D74" s="107">
        <f t="shared" si="0"/>
        <v>19.09</v>
      </c>
    </row>
    <row r="75" spans="1:7">
      <c r="A75" s="105" t="s">
        <v>286</v>
      </c>
      <c r="B75" s="121" t="s">
        <v>11</v>
      </c>
      <c r="C75" s="122">
        <v>0.08</v>
      </c>
      <c r="D75" s="107">
        <f t="shared" si="0"/>
        <v>61.1</v>
      </c>
    </row>
    <row r="76" spans="1:7" ht="31.5">
      <c r="A76" s="191" t="s">
        <v>288</v>
      </c>
      <c r="B76" s="123" t="s">
        <v>378</v>
      </c>
      <c r="C76" s="141">
        <v>3.0499999999999999E-2</v>
      </c>
      <c r="D76" s="245">
        <f t="shared" si="0"/>
        <v>23.29</v>
      </c>
    </row>
    <row r="77" spans="1:7" ht="16.5" thickBot="1">
      <c r="A77" s="124" t="s">
        <v>290</v>
      </c>
      <c r="B77" s="125" t="s">
        <v>12</v>
      </c>
      <c r="C77" s="126">
        <v>6.0000000000000001E-3</v>
      </c>
      <c r="D77" s="110">
        <f t="shared" si="0"/>
        <v>4.58</v>
      </c>
    </row>
    <row r="78" spans="1:7" ht="16.5" thickBot="1">
      <c r="A78" s="530" t="s">
        <v>7</v>
      </c>
      <c r="B78" s="531"/>
      <c r="C78" s="127">
        <f>SUM(C70:C77)</f>
        <v>0.36850000000000005</v>
      </c>
      <c r="D78" s="113">
        <f>SUM(D70:D77)</f>
        <v>281.43</v>
      </c>
    </row>
    <row r="79" spans="1:7">
      <c r="A79" s="534" t="s">
        <v>311</v>
      </c>
      <c r="B79" s="534"/>
      <c r="C79" s="534"/>
      <c r="D79" s="534"/>
    </row>
    <row r="80" spans="1:7" ht="16.5" customHeight="1">
      <c r="A80" s="534" t="s">
        <v>312</v>
      </c>
      <c r="B80" s="534"/>
      <c r="C80" s="534"/>
      <c r="D80" s="534"/>
    </row>
    <row r="81" spans="1:7">
      <c r="A81" s="190"/>
    </row>
    <row r="82" spans="1:7" ht="16.5" thickBot="1">
      <c r="A82" s="523" t="s">
        <v>313</v>
      </c>
      <c r="B82" s="523"/>
      <c r="C82" s="523"/>
      <c r="D82" s="523"/>
      <c r="E82" s="523"/>
      <c r="F82" s="523"/>
      <c r="G82" s="523"/>
    </row>
    <row r="83" spans="1:7" ht="16.5" thickBot="1">
      <c r="A83" s="117" t="s">
        <v>314</v>
      </c>
      <c r="B83" s="118" t="s">
        <v>315</v>
      </c>
      <c r="C83" s="117" t="s">
        <v>4</v>
      </c>
      <c r="D83" s="117" t="s">
        <v>279</v>
      </c>
    </row>
    <row r="84" spans="1:7">
      <c r="A84" s="82" t="s">
        <v>257</v>
      </c>
      <c r="B84" s="119" t="s">
        <v>316</v>
      </c>
      <c r="C84" s="120">
        <f>((5/56)*100)/100</f>
        <v>8.9285714285714288E-2</v>
      </c>
      <c r="D84" s="104">
        <f>ROUND($D$43*C84,2)</f>
        <v>68.19</v>
      </c>
    </row>
    <row r="85" spans="1:7">
      <c r="A85" s="105" t="s">
        <v>259</v>
      </c>
      <c r="B85" s="121" t="s">
        <v>317</v>
      </c>
      <c r="C85" s="128">
        <f>(1/3)*(5/56)</f>
        <v>2.976190476190476E-2</v>
      </c>
      <c r="D85" s="129">
        <f>ROUND($D$43*C85,2)</f>
        <v>22.73</v>
      </c>
    </row>
    <row r="86" spans="1:7">
      <c r="A86" s="130" t="s">
        <v>318</v>
      </c>
      <c r="B86" s="121"/>
      <c r="C86" s="131">
        <f>SUM(C84:C85)</f>
        <v>0.11904761904761904</v>
      </c>
      <c r="D86" s="132">
        <f>SUM(D84:D85)</f>
        <v>90.92</v>
      </c>
    </row>
    <row r="87" spans="1:7" ht="32.25" thickBot="1">
      <c r="A87" s="105" t="s">
        <v>261</v>
      </c>
      <c r="B87" s="121" t="s">
        <v>319</v>
      </c>
      <c r="C87" s="122">
        <f>D87/D43</f>
        <v>4.3865392169700139E-2</v>
      </c>
      <c r="D87" s="107">
        <f>ROUND(D78*C86,2)</f>
        <v>33.5</v>
      </c>
    </row>
    <row r="88" spans="1:7" ht="16.5" thickBot="1">
      <c r="A88" s="530" t="s">
        <v>7</v>
      </c>
      <c r="B88" s="531"/>
      <c r="C88" s="127">
        <f>C87+C86</f>
        <v>0.16291301121731919</v>
      </c>
      <c r="D88" s="113">
        <f>D86+D87</f>
        <v>124.42</v>
      </c>
    </row>
    <row r="89" spans="1:7">
      <c r="A89" s="190"/>
    </row>
    <row r="90" spans="1:7" ht="16.5" thickBot="1">
      <c r="A90" s="523" t="s">
        <v>320</v>
      </c>
      <c r="B90" s="523"/>
      <c r="C90" s="523"/>
      <c r="D90" s="523"/>
      <c r="E90" s="523"/>
      <c r="F90" s="523"/>
      <c r="G90" s="523"/>
    </row>
    <row r="91" spans="1:7" ht="16.5" thickBot="1">
      <c r="A91" s="117" t="s">
        <v>321</v>
      </c>
      <c r="B91" s="118" t="s">
        <v>322</v>
      </c>
      <c r="C91" s="117" t="s">
        <v>4</v>
      </c>
      <c r="D91" s="117" t="s">
        <v>279</v>
      </c>
    </row>
    <row r="92" spans="1:7">
      <c r="A92" s="82" t="s">
        <v>257</v>
      </c>
      <c r="B92" s="133" t="s">
        <v>323</v>
      </c>
      <c r="C92" s="120">
        <f>0.1111*0.02*0.3333</f>
        <v>7.4059259999999997E-4</v>
      </c>
      <c r="D92" s="104">
        <f>ROUND($D$43*C92,2)</f>
        <v>0.56999999999999995</v>
      </c>
    </row>
    <row r="93" spans="1:7" ht="32.25" thickBot="1">
      <c r="A93" s="109" t="s">
        <v>259</v>
      </c>
      <c r="B93" s="134" t="s">
        <v>324</v>
      </c>
      <c r="C93" s="126">
        <f>D93/D43</f>
        <v>2.7497708524289638E-4</v>
      </c>
      <c r="D93" s="110">
        <f>ROUND(D78*C92,2)</f>
        <v>0.21</v>
      </c>
    </row>
    <row r="94" spans="1:7" ht="16.5" thickBot="1">
      <c r="A94" s="530" t="s">
        <v>7</v>
      </c>
      <c r="B94" s="531"/>
      <c r="C94" s="127">
        <f>SUM(C92:C93)</f>
        <v>1.0155696852428963E-3</v>
      </c>
      <c r="D94" s="113">
        <f>SUM(D92:D93)</f>
        <v>0.77999999999999992</v>
      </c>
    </row>
    <row r="95" spans="1:7">
      <c r="A95" s="190"/>
    </row>
    <row r="96" spans="1:7">
      <c r="A96" s="190"/>
    </row>
    <row r="97" spans="1:7" ht="16.5" thickBot="1">
      <c r="A97" s="523" t="s">
        <v>325</v>
      </c>
      <c r="B97" s="523"/>
      <c r="C97" s="523"/>
      <c r="D97" s="523"/>
      <c r="E97" s="523"/>
      <c r="F97" s="523"/>
      <c r="G97" s="523"/>
    </row>
    <row r="98" spans="1:7" ht="16.5" thickBot="1">
      <c r="A98" s="117" t="s">
        <v>326</v>
      </c>
      <c r="B98" s="118" t="s">
        <v>327</v>
      </c>
      <c r="C98" s="117" t="s">
        <v>4</v>
      </c>
      <c r="D98" s="117" t="s">
        <v>279</v>
      </c>
    </row>
    <row r="99" spans="1:7">
      <c r="A99" s="82" t="s">
        <v>257</v>
      </c>
      <c r="B99" s="133" t="s">
        <v>328</v>
      </c>
      <c r="C99" s="135">
        <f>((1/12)*0.05)</f>
        <v>4.1666666666666666E-3</v>
      </c>
      <c r="D99" s="104">
        <f>ROUND($D$43*C99,2)</f>
        <v>3.18</v>
      </c>
    </row>
    <row r="100" spans="1:7" ht="31.5">
      <c r="A100" s="191" t="s">
        <v>259</v>
      </c>
      <c r="B100" s="91" t="s">
        <v>329</v>
      </c>
      <c r="C100" s="136">
        <f>D100/D43</f>
        <v>3.2735367290821001E-4</v>
      </c>
      <c r="D100" s="137">
        <f>ROUND(D75*C99,2)</f>
        <v>0.25</v>
      </c>
    </row>
    <row r="101" spans="1:7">
      <c r="A101" s="191" t="s">
        <v>261</v>
      </c>
      <c r="B101" s="138" t="s">
        <v>330</v>
      </c>
      <c r="C101" s="139">
        <f>0.08*0.5*0.9*(1+(5/56)+(5/56)+(1/3)*(5/56))</f>
        <v>4.3499999999999997E-2</v>
      </c>
      <c r="D101" s="107">
        <f>ROUND($D$43*C101,2)</f>
        <v>33.22</v>
      </c>
    </row>
    <row r="102" spans="1:7">
      <c r="A102" s="191" t="s">
        <v>263</v>
      </c>
      <c r="B102" s="138" t="s">
        <v>331</v>
      </c>
      <c r="C102" s="140">
        <f>(((7/30)/12))</f>
        <v>1.9444444444444445E-2</v>
      </c>
      <c r="D102" s="107">
        <f>ROUND($D$43*C102,2)</f>
        <v>14.85</v>
      </c>
    </row>
    <row r="103" spans="1:7" ht="31.5">
      <c r="A103" s="191" t="s">
        <v>284</v>
      </c>
      <c r="B103" s="138" t="s">
        <v>332</v>
      </c>
      <c r="C103" s="141">
        <f>D103/D43</f>
        <v>7.1624983632316347E-3</v>
      </c>
      <c r="D103" s="107">
        <f>ROUND(D78*C102,2)</f>
        <v>5.47</v>
      </c>
    </row>
    <row r="104" spans="1:7" ht="16.5" thickBot="1">
      <c r="A104" s="109" t="s">
        <v>286</v>
      </c>
      <c r="B104" s="134" t="s">
        <v>333</v>
      </c>
      <c r="C104" s="142">
        <f>(40%+10%)*C75*C102</f>
        <v>7.7777777777777784E-4</v>
      </c>
      <c r="D104" s="107">
        <f>ROUND($D$43*C104,2)</f>
        <v>0.59</v>
      </c>
    </row>
    <row r="105" spans="1:7" ht="16.5" thickBot="1">
      <c r="A105" s="525" t="s">
        <v>7</v>
      </c>
      <c r="B105" s="526"/>
      <c r="C105" s="127">
        <f>SUM(C99:C104)</f>
        <v>7.5378740925028734E-2</v>
      </c>
      <c r="D105" s="143">
        <f>SUM(D99:D104)</f>
        <v>57.56</v>
      </c>
    </row>
    <row r="106" spans="1:7">
      <c r="A106" s="71"/>
    </row>
    <row r="107" spans="1:7" ht="16.5" thickBot="1">
      <c r="A107" s="523" t="s">
        <v>334</v>
      </c>
      <c r="B107" s="523"/>
      <c r="C107" s="523"/>
      <c r="D107" s="523"/>
      <c r="E107" s="523"/>
      <c r="F107" s="523"/>
      <c r="G107" s="523"/>
    </row>
    <row r="108" spans="1:7" ht="32.25" thickBot="1">
      <c r="A108" s="117" t="s">
        <v>335</v>
      </c>
      <c r="B108" s="118" t="s">
        <v>336</v>
      </c>
      <c r="C108" s="117" t="s">
        <v>4</v>
      </c>
      <c r="D108" s="117" t="s">
        <v>279</v>
      </c>
    </row>
    <row r="109" spans="1:7">
      <c r="A109" s="82" t="s">
        <v>257</v>
      </c>
      <c r="B109" s="133" t="s">
        <v>13</v>
      </c>
      <c r="C109" s="144">
        <f>(5/56)</f>
        <v>8.9285714285714288E-2</v>
      </c>
      <c r="D109" s="107">
        <f t="shared" ref="D109:D114" si="1">ROUND($D$43*C109,2)</f>
        <v>68.19</v>
      </c>
    </row>
    <row r="110" spans="1:7">
      <c r="A110" s="191" t="s">
        <v>259</v>
      </c>
      <c r="B110" s="138" t="s">
        <v>379</v>
      </c>
      <c r="C110" s="122">
        <f>(10.96/30)/12</f>
        <v>3.0444444444444444E-2</v>
      </c>
      <c r="D110" s="107">
        <f t="shared" si="1"/>
        <v>23.25</v>
      </c>
      <c r="E110" s="184" t="s">
        <v>380</v>
      </c>
    </row>
    <row r="111" spans="1:7">
      <c r="A111" s="191" t="s">
        <v>261</v>
      </c>
      <c r="B111" s="138" t="s">
        <v>337</v>
      </c>
      <c r="C111" s="122">
        <f>((5/30)/12)*0.015</f>
        <v>2.0833333333333332E-4</v>
      </c>
      <c r="D111" s="107">
        <f t="shared" si="1"/>
        <v>0.16</v>
      </c>
    </row>
    <row r="112" spans="1:7">
      <c r="A112" s="191" t="s">
        <v>263</v>
      </c>
      <c r="B112" s="138" t="s">
        <v>338</v>
      </c>
      <c r="C112" s="122">
        <f>((1/30)/12)</f>
        <v>2.7777777777777779E-3</v>
      </c>
      <c r="D112" s="107">
        <f t="shared" si="1"/>
        <v>2.12</v>
      </c>
    </row>
    <row r="113" spans="1:7">
      <c r="A113" s="191" t="s">
        <v>284</v>
      </c>
      <c r="B113" s="138" t="s">
        <v>339</v>
      </c>
      <c r="C113" s="122">
        <f>((15/30)/12)*0.0078</f>
        <v>3.2499999999999999E-4</v>
      </c>
      <c r="D113" s="107">
        <f t="shared" si="1"/>
        <v>0.25</v>
      </c>
    </row>
    <row r="114" spans="1:7">
      <c r="A114" s="191" t="s">
        <v>286</v>
      </c>
      <c r="B114" s="138" t="s">
        <v>291</v>
      </c>
      <c r="C114" s="145"/>
      <c r="D114" s="107">
        <f t="shared" si="1"/>
        <v>0</v>
      </c>
    </row>
    <row r="115" spans="1:7">
      <c r="A115" s="532" t="s">
        <v>318</v>
      </c>
      <c r="B115" s="533"/>
      <c r="C115" s="122">
        <f>SUM(C109:C114)</f>
        <v>0.12304126984126985</v>
      </c>
      <c r="D115" s="107">
        <f>SUM(D109:D114)</f>
        <v>93.97</v>
      </c>
    </row>
    <row r="116" spans="1:7" ht="32.25" thickBot="1">
      <c r="A116" s="109" t="s">
        <v>288</v>
      </c>
      <c r="B116" s="134" t="s">
        <v>340</v>
      </c>
      <c r="C116" s="142">
        <f>D116/$D$43</f>
        <v>4.5345030771245257E-2</v>
      </c>
      <c r="D116" s="107">
        <f>ROUND(D78*C115,2)</f>
        <v>34.630000000000003</v>
      </c>
    </row>
    <row r="117" spans="1:7" ht="16.5" thickBot="1">
      <c r="A117" s="525" t="s">
        <v>7</v>
      </c>
      <c r="B117" s="526"/>
      <c r="C117" s="127">
        <f>C116+C115</f>
        <v>0.16838630061251511</v>
      </c>
      <c r="D117" s="146">
        <f>D116+D115</f>
        <v>128.6</v>
      </c>
    </row>
    <row r="118" spans="1:7">
      <c r="A118" s="190" t="s">
        <v>341</v>
      </c>
    </row>
    <row r="119" spans="1:7" ht="16.5" thickBot="1">
      <c r="A119" s="522" t="s">
        <v>342</v>
      </c>
      <c r="B119" s="522"/>
      <c r="C119" s="522"/>
      <c r="D119" s="522"/>
      <c r="E119" s="522"/>
      <c r="F119" s="522"/>
      <c r="G119" s="522"/>
    </row>
    <row r="120" spans="1:7" ht="32.25" customHeight="1" thickBot="1">
      <c r="A120" s="147">
        <v>4</v>
      </c>
      <c r="B120" s="148" t="s">
        <v>343</v>
      </c>
      <c r="C120" s="149" t="s">
        <v>4</v>
      </c>
      <c r="D120" s="150" t="s">
        <v>279</v>
      </c>
    </row>
    <row r="121" spans="1:7">
      <c r="A121" s="82" t="s">
        <v>307</v>
      </c>
      <c r="B121" s="133" t="s">
        <v>344</v>
      </c>
      <c r="C121" s="142">
        <f t="shared" ref="C121:C126" si="2">D121/$D$43</f>
        <v>0.16291737593295796</v>
      </c>
      <c r="D121" s="107">
        <f>D88</f>
        <v>124.42</v>
      </c>
    </row>
    <row r="122" spans="1:7">
      <c r="A122" s="191" t="s">
        <v>314</v>
      </c>
      <c r="B122" s="138" t="s">
        <v>308</v>
      </c>
      <c r="C122" s="142">
        <f t="shared" si="2"/>
        <v>0.36850857666623016</v>
      </c>
      <c r="D122" s="107">
        <f>D78</f>
        <v>281.43</v>
      </c>
    </row>
    <row r="123" spans="1:7">
      <c r="A123" s="191" t="s">
        <v>321</v>
      </c>
      <c r="B123" s="138" t="s">
        <v>323</v>
      </c>
      <c r="C123" s="142">
        <f t="shared" si="2"/>
        <v>1.021343459473615E-3</v>
      </c>
      <c r="D123" s="107">
        <f>D94</f>
        <v>0.77999999999999992</v>
      </c>
    </row>
    <row r="124" spans="1:7">
      <c r="A124" s="151" t="s">
        <v>326</v>
      </c>
      <c r="B124" s="152" t="s">
        <v>345</v>
      </c>
      <c r="C124" s="142">
        <f t="shared" si="2"/>
        <v>7.5369909650386271E-2</v>
      </c>
      <c r="D124" s="107">
        <f>D105</f>
        <v>57.56</v>
      </c>
    </row>
    <row r="125" spans="1:7">
      <c r="A125" s="153" t="s">
        <v>335</v>
      </c>
      <c r="B125" s="154" t="s">
        <v>346</v>
      </c>
      <c r="C125" s="142">
        <f t="shared" si="2"/>
        <v>0.16839072934398322</v>
      </c>
      <c r="D125" s="107">
        <f>D117</f>
        <v>128.6</v>
      </c>
    </row>
    <row r="126" spans="1:7" ht="16.5" thickBot="1">
      <c r="A126" s="191" t="s">
        <v>347</v>
      </c>
      <c r="B126" s="138" t="s">
        <v>291</v>
      </c>
      <c r="C126" s="142">
        <f t="shared" si="2"/>
        <v>0</v>
      </c>
      <c r="D126" s="107">
        <v>0</v>
      </c>
    </row>
    <row r="127" spans="1:7" ht="37.5" customHeight="1" thickBot="1">
      <c r="A127" s="530" t="s">
        <v>348</v>
      </c>
      <c r="B127" s="531"/>
      <c r="C127" s="127">
        <f>SUM(C121:C126)</f>
        <v>0.77620793505303121</v>
      </c>
      <c r="D127" s="113">
        <f>SUM(D121:D126)</f>
        <v>592.79</v>
      </c>
    </row>
    <row r="128" spans="1:7">
      <c r="A128" s="155"/>
      <c r="B128" s="155"/>
      <c r="C128" s="156"/>
      <c r="D128" s="157"/>
      <c r="E128" s="158"/>
      <c r="F128" s="159"/>
      <c r="G128" s="159"/>
    </row>
    <row r="129" spans="1:8" ht="16.5" thickBot="1">
      <c r="A129" s="522" t="s">
        <v>349</v>
      </c>
      <c r="B129" s="522"/>
      <c r="C129" s="522"/>
      <c r="D129" s="522"/>
      <c r="E129" s="522"/>
      <c r="F129" s="522"/>
      <c r="G129" s="522"/>
      <c r="H129" s="160"/>
    </row>
    <row r="130" spans="1:8" ht="16.5" thickBot="1">
      <c r="A130" s="147" t="s">
        <v>350</v>
      </c>
      <c r="B130" s="148" t="s">
        <v>351</v>
      </c>
      <c r="C130" s="149" t="s">
        <v>4</v>
      </c>
      <c r="D130" s="114" t="s">
        <v>279</v>
      </c>
      <c r="E130" s="161">
        <f>D43+D54+D64+D78+D88+D94+D105+D117</f>
        <v>1858.9680000000001</v>
      </c>
      <c r="G130" s="160"/>
    </row>
    <row r="131" spans="1:8">
      <c r="A131" s="82" t="s">
        <v>257</v>
      </c>
      <c r="B131" s="133" t="s">
        <v>352</v>
      </c>
      <c r="C131" s="162">
        <v>7.2217000000000003E-2</v>
      </c>
      <c r="D131" s="163">
        <f>E130*C131</f>
        <v>134.24909205600002</v>
      </c>
      <c r="G131" s="160"/>
    </row>
    <row r="132" spans="1:8">
      <c r="A132" s="191" t="s">
        <v>259</v>
      </c>
      <c r="B132" s="138" t="s">
        <v>353</v>
      </c>
      <c r="C132" s="142"/>
      <c r="D132" s="164"/>
      <c r="F132" s="165"/>
    </row>
    <row r="133" spans="1:8">
      <c r="A133" s="191"/>
      <c r="B133" s="138" t="s">
        <v>354</v>
      </c>
      <c r="C133" s="142"/>
      <c r="D133" s="129"/>
      <c r="F133" s="182"/>
      <c r="G133" s="160"/>
    </row>
    <row r="134" spans="1:8">
      <c r="A134" s="191"/>
      <c r="B134" s="138" t="s">
        <v>355</v>
      </c>
      <c r="C134" s="142">
        <v>7.5999999999999998E-2</v>
      </c>
      <c r="D134" s="107">
        <f>$D$152*C134</f>
        <v>178.11395849712505</v>
      </c>
      <c r="E134" s="165">
        <f>D152</f>
        <v>2343.6047170674351</v>
      </c>
      <c r="G134" s="160"/>
    </row>
    <row r="135" spans="1:8">
      <c r="A135" s="191"/>
      <c r="B135" s="138" t="s">
        <v>356</v>
      </c>
      <c r="C135" s="142">
        <v>1.6500000000000001E-2</v>
      </c>
      <c r="D135" s="107">
        <f>$D$152*C135</f>
        <v>38.669477831612681</v>
      </c>
      <c r="E135" s="246"/>
      <c r="G135" s="160"/>
    </row>
    <row r="136" spans="1:8">
      <c r="A136" s="191"/>
      <c r="B136" s="138" t="s">
        <v>357</v>
      </c>
      <c r="C136" s="142"/>
      <c r="D136" s="107"/>
    </row>
    <row r="137" spans="1:8">
      <c r="A137" s="191"/>
      <c r="B137" s="138" t="s">
        <v>358</v>
      </c>
      <c r="C137" s="142">
        <v>0.04</v>
      </c>
      <c r="D137" s="107">
        <f>$D$152*C137</f>
        <v>93.744188682697413</v>
      </c>
      <c r="G137" s="160"/>
    </row>
    <row r="138" spans="1:8">
      <c r="A138" s="191"/>
      <c r="B138" s="138" t="s">
        <v>359</v>
      </c>
      <c r="C138" s="142"/>
      <c r="D138" s="107"/>
    </row>
    <row r="139" spans="1:8" ht="16.5" thickBot="1">
      <c r="A139" s="191" t="s">
        <v>261</v>
      </c>
      <c r="B139" s="138" t="s">
        <v>360</v>
      </c>
      <c r="C139" s="142">
        <v>0.02</v>
      </c>
      <c r="D139" s="107">
        <f>ROUND(E139*C139,2)</f>
        <v>39.86</v>
      </c>
      <c r="E139" s="132">
        <f>E130+D131</f>
        <v>1993.2170920560002</v>
      </c>
    </row>
    <row r="140" spans="1:8" ht="33" customHeight="1" thickBot="1">
      <c r="A140" s="527" t="s">
        <v>361</v>
      </c>
      <c r="B140" s="528"/>
      <c r="C140" s="529"/>
      <c r="D140" s="166">
        <f>D131+D134+D135+D137+D139</f>
        <v>484.63671706743514</v>
      </c>
    </row>
    <row r="141" spans="1:8">
      <c r="A141" s="522" t="s">
        <v>362</v>
      </c>
      <c r="B141" s="522"/>
      <c r="C141" s="522"/>
      <c r="D141" s="522"/>
      <c r="E141" s="522"/>
      <c r="F141" s="522"/>
      <c r="G141" s="522"/>
    </row>
    <row r="142" spans="1:8">
      <c r="A142" s="522" t="s">
        <v>363</v>
      </c>
      <c r="B142" s="522"/>
      <c r="C142" s="522"/>
      <c r="D142" s="522"/>
      <c r="E142" s="522"/>
      <c r="F142" s="522"/>
      <c r="G142" s="522"/>
    </row>
    <row r="143" spans="1:8">
      <c r="A143" s="190"/>
    </row>
    <row r="144" spans="1:8" ht="16.5" thickBot="1">
      <c r="A144" s="523" t="s">
        <v>364</v>
      </c>
      <c r="B144" s="523"/>
      <c r="C144" s="523"/>
      <c r="D144" s="523"/>
      <c r="E144" s="523"/>
      <c r="F144" s="523"/>
      <c r="G144" s="523"/>
    </row>
    <row r="145" spans="1:8" ht="32.25" customHeight="1" thickBot="1">
      <c r="A145" s="147"/>
      <c r="B145" s="524" t="s">
        <v>365</v>
      </c>
      <c r="C145" s="524"/>
      <c r="D145" s="167" t="s">
        <v>366</v>
      </c>
    </row>
    <row r="146" spans="1:8">
      <c r="A146" s="191" t="s">
        <v>257</v>
      </c>
      <c r="B146" s="138" t="s">
        <v>367</v>
      </c>
      <c r="C146" s="122">
        <f t="shared" ref="C146:C151" si="3">D146/$D$152</f>
        <v>0.32586553288543552</v>
      </c>
      <c r="D146" s="129">
        <f>D43</f>
        <v>763.7</v>
      </c>
    </row>
    <row r="147" spans="1:8">
      <c r="A147" s="191" t="s">
        <v>259</v>
      </c>
      <c r="B147" s="138" t="s">
        <v>368</v>
      </c>
      <c r="C147" s="122">
        <f t="shared" si="3"/>
        <v>0.19754952557841188</v>
      </c>
      <c r="D147" s="129">
        <f>D54</f>
        <v>462.97800000000001</v>
      </c>
    </row>
    <row r="148" spans="1:8" ht="31.5">
      <c r="A148" s="191" t="s">
        <v>261</v>
      </c>
      <c r="B148" s="138" t="s">
        <v>369</v>
      </c>
      <c r="C148" s="122">
        <f t="shared" si="3"/>
        <v>1.685437809214967E-2</v>
      </c>
      <c r="D148" s="129">
        <f>D64</f>
        <v>39.5</v>
      </c>
      <c r="E148" s="165">
        <f>D150+D131+D139</f>
        <v>2033.0770920560001</v>
      </c>
    </row>
    <row r="149" spans="1:8" ht="31.5">
      <c r="A149" s="191" t="s">
        <v>263</v>
      </c>
      <c r="B149" s="138" t="s">
        <v>370</v>
      </c>
      <c r="C149" s="122">
        <f t="shared" si="3"/>
        <v>0.25293941238595952</v>
      </c>
      <c r="D149" s="129">
        <f>D127</f>
        <v>592.79</v>
      </c>
      <c r="E149" s="174">
        <f>C137+C135+C134</f>
        <v>0.13250000000000001</v>
      </c>
    </row>
    <row r="150" spans="1:8" ht="16.5" customHeight="1">
      <c r="A150" s="168" t="s">
        <v>371</v>
      </c>
      <c r="B150" s="169"/>
      <c r="C150" s="131">
        <f t="shared" si="3"/>
        <v>0.79320884894195665</v>
      </c>
      <c r="D150" s="170">
        <f>SUM(D146:D149)</f>
        <v>1858.9680000000001</v>
      </c>
      <c r="E150" s="174">
        <f>100%-E149</f>
        <v>0.86749999999999994</v>
      </c>
    </row>
    <row r="151" spans="1:8" ht="32.25" thickBot="1">
      <c r="A151" s="191" t="s">
        <v>284</v>
      </c>
      <c r="B151" s="138" t="s">
        <v>372</v>
      </c>
      <c r="C151" s="122">
        <f t="shared" si="3"/>
        <v>0.20679115105804344</v>
      </c>
      <c r="D151" s="129">
        <f>D140</f>
        <v>484.63671706743514</v>
      </c>
      <c r="G151" s="171"/>
    </row>
    <row r="152" spans="1:8" ht="16.5" customHeight="1" thickBot="1">
      <c r="A152" s="525" t="s">
        <v>373</v>
      </c>
      <c r="B152" s="526"/>
      <c r="C152" s="127">
        <f>C151+C150</f>
        <v>1</v>
      </c>
      <c r="D152" s="166">
        <f>(D150+D139+D131)/0.8675</f>
        <v>2343.6047170674351</v>
      </c>
      <c r="E152" s="171"/>
      <c r="F152" s="165">
        <f>D150+D151</f>
        <v>2343.6047170674351</v>
      </c>
      <c r="H152" s="172"/>
    </row>
    <row r="153" spans="1:8">
      <c r="E153" s="171"/>
    </row>
    <row r="154" spans="1:8">
      <c r="A154" s="186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1.299212598425197" right="0.51181102362204722" top="2.1653543307086616" bottom="0.98425196850393704" header="0.31496062992125984" footer="0.31496062992125984"/>
  <pageSetup paperSize="9" scale="79" fitToHeight="4" orientation="portrait" r:id="rId1"/>
  <headerFooter alignWithMargins="0"/>
  <rowBreaks count="3" manualBreakCount="3">
    <brk id="43" max="3" man="1"/>
    <brk id="88" max="3" man="1"/>
    <brk id="128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154"/>
  <sheetViews>
    <sheetView showGridLines="0" view="pageBreakPreview" topLeftCell="A140" zoomScale="90" zoomScaleSheetLayoutView="90" workbookViewId="0">
      <selection activeCell="E135" sqref="E135"/>
    </sheetView>
  </sheetViews>
  <sheetFormatPr defaultRowHeight="15.75"/>
  <cols>
    <col min="1" max="1" width="9.28515625" style="53" customWidth="1"/>
    <col min="2" max="2" width="39.85546875" style="53" customWidth="1"/>
    <col min="3" max="3" width="18.28515625" style="53" customWidth="1"/>
    <col min="4" max="4" width="23.85546875" style="53" customWidth="1"/>
    <col min="5" max="5" width="16" style="53" bestFit="1" customWidth="1"/>
    <col min="6" max="6" width="13.7109375" style="53" bestFit="1" customWidth="1"/>
    <col min="7" max="7" width="15.7109375" style="53" bestFit="1" customWidth="1"/>
    <col min="8" max="8" width="13.140625" style="53" bestFit="1" customWidth="1"/>
    <col min="9" max="9" width="11.85546875" style="53" bestFit="1" customWidth="1"/>
    <col min="10" max="10" width="12.85546875" style="53" bestFit="1" customWidth="1"/>
    <col min="11" max="256" width="9.140625" style="53"/>
    <col min="257" max="257" width="9.28515625" style="53" customWidth="1"/>
    <col min="258" max="258" width="39.85546875" style="53" customWidth="1"/>
    <col min="259" max="259" width="18.28515625" style="53" customWidth="1"/>
    <col min="260" max="260" width="23.85546875" style="53" customWidth="1"/>
    <col min="261" max="261" width="16" style="53" bestFit="1" customWidth="1"/>
    <col min="262" max="262" width="13.7109375" style="53" bestFit="1" customWidth="1"/>
    <col min="263" max="263" width="15.7109375" style="53" bestFit="1" customWidth="1"/>
    <col min="264" max="264" width="13.140625" style="53" bestFit="1" customWidth="1"/>
    <col min="265" max="265" width="11.85546875" style="53" bestFit="1" customWidth="1"/>
    <col min="266" max="266" width="12.85546875" style="53" bestFit="1" customWidth="1"/>
    <col min="267" max="512" width="9.140625" style="53"/>
    <col min="513" max="513" width="9.28515625" style="53" customWidth="1"/>
    <col min="514" max="514" width="39.85546875" style="53" customWidth="1"/>
    <col min="515" max="515" width="18.28515625" style="53" customWidth="1"/>
    <col min="516" max="516" width="23.85546875" style="53" customWidth="1"/>
    <col min="517" max="517" width="16" style="53" bestFit="1" customWidth="1"/>
    <col min="518" max="518" width="13.7109375" style="53" bestFit="1" customWidth="1"/>
    <col min="519" max="519" width="15.7109375" style="53" bestFit="1" customWidth="1"/>
    <col min="520" max="520" width="13.140625" style="53" bestFit="1" customWidth="1"/>
    <col min="521" max="521" width="11.85546875" style="53" bestFit="1" customWidth="1"/>
    <col min="522" max="522" width="12.85546875" style="53" bestFit="1" customWidth="1"/>
    <col min="523" max="768" width="9.140625" style="53"/>
    <col min="769" max="769" width="9.28515625" style="53" customWidth="1"/>
    <col min="770" max="770" width="39.85546875" style="53" customWidth="1"/>
    <col min="771" max="771" width="18.28515625" style="53" customWidth="1"/>
    <col min="772" max="772" width="23.85546875" style="53" customWidth="1"/>
    <col min="773" max="773" width="16" style="53" bestFit="1" customWidth="1"/>
    <col min="774" max="774" width="13.7109375" style="53" bestFit="1" customWidth="1"/>
    <col min="775" max="775" width="15.7109375" style="53" bestFit="1" customWidth="1"/>
    <col min="776" max="776" width="13.140625" style="53" bestFit="1" customWidth="1"/>
    <col min="777" max="777" width="11.85546875" style="53" bestFit="1" customWidth="1"/>
    <col min="778" max="778" width="12.85546875" style="53" bestFit="1" customWidth="1"/>
    <col min="779" max="1024" width="9.140625" style="53"/>
    <col min="1025" max="1025" width="9.28515625" style="53" customWidth="1"/>
    <col min="1026" max="1026" width="39.85546875" style="53" customWidth="1"/>
    <col min="1027" max="1027" width="18.28515625" style="53" customWidth="1"/>
    <col min="1028" max="1028" width="23.85546875" style="53" customWidth="1"/>
    <col min="1029" max="1029" width="16" style="53" bestFit="1" customWidth="1"/>
    <col min="1030" max="1030" width="13.7109375" style="53" bestFit="1" customWidth="1"/>
    <col min="1031" max="1031" width="15.7109375" style="53" bestFit="1" customWidth="1"/>
    <col min="1032" max="1032" width="13.140625" style="53" bestFit="1" customWidth="1"/>
    <col min="1033" max="1033" width="11.85546875" style="53" bestFit="1" customWidth="1"/>
    <col min="1034" max="1034" width="12.85546875" style="53" bestFit="1" customWidth="1"/>
    <col min="1035" max="1280" width="9.140625" style="53"/>
    <col min="1281" max="1281" width="9.28515625" style="53" customWidth="1"/>
    <col min="1282" max="1282" width="39.85546875" style="53" customWidth="1"/>
    <col min="1283" max="1283" width="18.28515625" style="53" customWidth="1"/>
    <col min="1284" max="1284" width="23.85546875" style="53" customWidth="1"/>
    <col min="1285" max="1285" width="16" style="53" bestFit="1" customWidth="1"/>
    <col min="1286" max="1286" width="13.7109375" style="53" bestFit="1" customWidth="1"/>
    <col min="1287" max="1287" width="15.7109375" style="53" bestFit="1" customWidth="1"/>
    <col min="1288" max="1288" width="13.140625" style="53" bestFit="1" customWidth="1"/>
    <col min="1289" max="1289" width="11.85546875" style="53" bestFit="1" customWidth="1"/>
    <col min="1290" max="1290" width="12.85546875" style="53" bestFit="1" customWidth="1"/>
    <col min="1291" max="1536" width="9.140625" style="53"/>
    <col min="1537" max="1537" width="9.28515625" style="53" customWidth="1"/>
    <col min="1538" max="1538" width="39.85546875" style="53" customWidth="1"/>
    <col min="1539" max="1539" width="18.28515625" style="53" customWidth="1"/>
    <col min="1540" max="1540" width="23.85546875" style="53" customWidth="1"/>
    <col min="1541" max="1541" width="16" style="53" bestFit="1" customWidth="1"/>
    <col min="1542" max="1542" width="13.7109375" style="53" bestFit="1" customWidth="1"/>
    <col min="1543" max="1543" width="15.7109375" style="53" bestFit="1" customWidth="1"/>
    <col min="1544" max="1544" width="13.140625" style="53" bestFit="1" customWidth="1"/>
    <col min="1545" max="1545" width="11.85546875" style="53" bestFit="1" customWidth="1"/>
    <col min="1546" max="1546" width="12.85546875" style="53" bestFit="1" customWidth="1"/>
    <col min="1547" max="1792" width="9.140625" style="53"/>
    <col min="1793" max="1793" width="9.28515625" style="53" customWidth="1"/>
    <col min="1794" max="1794" width="39.85546875" style="53" customWidth="1"/>
    <col min="1795" max="1795" width="18.28515625" style="53" customWidth="1"/>
    <col min="1796" max="1796" width="23.85546875" style="53" customWidth="1"/>
    <col min="1797" max="1797" width="16" style="53" bestFit="1" customWidth="1"/>
    <col min="1798" max="1798" width="13.7109375" style="53" bestFit="1" customWidth="1"/>
    <col min="1799" max="1799" width="15.7109375" style="53" bestFit="1" customWidth="1"/>
    <col min="1800" max="1800" width="13.140625" style="53" bestFit="1" customWidth="1"/>
    <col min="1801" max="1801" width="11.85546875" style="53" bestFit="1" customWidth="1"/>
    <col min="1802" max="1802" width="12.85546875" style="53" bestFit="1" customWidth="1"/>
    <col min="1803" max="2048" width="9.140625" style="53"/>
    <col min="2049" max="2049" width="9.28515625" style="53" customWidth="1"/>
    <col min="2050" max="2050" width="39.85546875" style="53" customWidth="1"/>
    <col min="2051" max="2051" width="18.28515625" style="53" customWidth="1"/>
    <col min="2052" max="2052" width="23.85546875" style="53" customWidth="1"/>
    <col min="2053" max="2053" width="16" style="53" bestFit="1" customWidth="1"/>
    <col min="2054" max="2054" width="13.7109375" style="53" bestFit="1" customWidth="1"/>
    <col min="2055" max="2055" width="15.7109375" style="53" bestFit="1" customWidth="1"/>
    <col min="2056" max="2056" width="13.140625" style="53" bestFit="1" customWidth="1"/>
    <col min="2057" max="2057" width="11.85546875" style="53" bestFit="1" customWidth="1"/>
    <col min="2058" max="2058" width="12.85546875" style="53" bestFit="1" customWidth="1"/>
    <col min="2059" max="2304" width="9.140625" style="53"/>
    <col min="2305" max="2305" width="9.28515625" style="53" customWidth="1"/>
    <col min="2306" max="2306" width="39.85546875" style="53" customWidth="1"/>
    <col min="2307" max="2307" width="18.28515625" style="53" customWidth="1"/>
    <col min="2308" max="2308" width="23.85546875" style="53" customWidth="1"/>
    <col min="2309" max="2309" width="16" style="53" bestFit="1" customWidth="1"/>
    <col min="2310" max="2310" width="13.7109375" style="53" bestFit="1" customWidth="1"/>
    <col min="2311" max="2311" width="15.7109375" style="53" bestFit="1" customWidth="1"/>
    <col min="2312" max="2312" width="13.140625" style="53" bestFit="1" customWidth="1"/>
    <col min="2313" max="2313" width="11.85546875" style="53" bestFit="1" customWidth="1"/>
    <col min="2314" max="2314" width="12.85546875" style="53" bestFit="1" customWidth="1"/>
    <col min="2315" max="2560" width="9.140625" style="53"/>
    <col min="2561" max="2561" width="9.28515625" style="53" customWidth="1"/>
    <col min="2562" max="2562" width="39.85546875" style="53" customWidth="1"/>
    <col min="2563" max="2563" width="18.28515625" style="53" customWidth="1"/>
    <col min="2564" max="2564" width="23.85546875" style="53" customWidth="1"/>
    <col min="2565" max="2565" width="16" style="53" bestFit="1" customWidth="1"/>
    <col min="2566" max="2566" width="13.7109375" style="53" bestFit="1" customWidth="1"/>
    <col min="2567" max="2567" width="15.7109375" style="53" bestFit="1" customWidth="1"/>
    <col min="2568" max="2568" width="13.140625" style="53" bestFit="1" customWidth="1"/>
    <col min="2569" max="2569" width="11.85546875" style="53" bestFit="1" customWidth="1"/>
    <col min="2570" max="2570" width="12.85546875" style="53" bestFit="1" customWidth="1"/>
    <col min="2571" max="2816" width="9.140625" style="53"/>
    <col min="2817" max="2817" width="9.28515625" style="53" customWidth="1"/>
    <col min="2818" max="2818" width="39.85546875" style="53" customWidth="1"/>
    <col min="2819" max="2819" width="18.28515625" style="53" customWidth="1"/>
    <col min="2820" max="2820" width="23.85546875" style="53" customWidth="1"/>
    <col min="2821" max="2821" width="16" style="53" bestFit="1" customWidth="1"/>
    <col min="2822" max="2822" width="13.7109375" style="53" bestFit="1" customWidth="1"/>
    <col min="2823" max="2823" width="15.7109375" style="53" bestFit="1" customWidth="1"/>
    <col min="2824" max="2824" width="13.140625" style="53" bestFit="1" customWidth="1"/>
    <col min="2825" max="2825" width="11.85546875" style="53" bestFit="1" customWidth="1"/>
    <col min="2826" max="2826" width="12.85546875" style="53" bestFit="1" customWidth="1"/>
    <col min="2827" max="3072" width="9.140625" style="53"/>
    <col min="3073" max="3073" width="9.28515625" style="53" customWidth="1"/>
    <col min="3074" max="3074" width="39.85546875" style="53" customWidth="1"/>
    <col min="3075" max="3075" width="18.28515625" style="53" customWidth="1"/>
    <col min="3076" max="3076" width="23.85546875" style="53" customWidth="1"/>
    <col min="3077" max="3077" width="16" style="53" bestFit="1" customWidth="1"/>
    <col min="3078" max="3078" width="13.7109375" style="53" bestFit="1" customWidth="1"/>
    <col min="3079" max="3079" width="15.7109375" style="53" bestFit="1" customWidth="1"/>
    <col min="3080" max="3080" width="13.140625" style="53" bestFit="1" customWidth="1"/>
    <col min="3081" max="3081" width="11.85546875" style="53" bestFit="1" customWidth="1"/>
    <col min="3082" max="3082" width="12.85546875" style="53" bestFit="1" customWidth="1"/>
    <col min="3083" max="3328" width="9.140625" style="53"/>
    <col min="3329" max="3329" width="9.28515625" style="53" customWidth="1"/>
    <col min="3330" max="3330" width="39.85546875" style="53" customWidth="1"/>
    <col min="3331" max="3331" width="18.28515625" style="53" customWidth="1"/>
    <col min="3332" max="3332" width="23.85546875" style="53" customWidth="1"/>
    <col min="3333" max="3333" width="16" style="53" bestFit="1" customWidth="1"/>
    <col min="3334" max="3334" width="13.7109375" style="53" bestFit="1" customWidth="1"/>
    <col min="3335" max="3335" width="15.7109375" style="53" bestFit="1" customWidth="1"/>
    <col min="3336" max="3336" width="13.140625" style="53" bestFit="1" customWidth="1"/>
    <col min="3337" max="3337" width="11.85546875" style="53" bestFit="1" customWidth="1"/>
    <col min="3338" max="3338" width="12.85546875" style="53" bestFit="1" customWidth="1"/>
    <col min="3339" max="3584" width="9.140625" style="53"/>
    <col min="3585" max="3585" width="9.28515625" style="53" customWidth="1"/>
    <col min="3586" max="3586" width="39.85546875" style="53" customWidth="1"/>
    <col min="3587" max="3587" width="18.28515625" style="53" customWidth="1"/>
    <col min="3588" max="3588" width="23.85546875" style="53" customWidth="1"/>
    <col min="3589" max="3589" width="16" style="53" bestFit="1" customWidth="1"/>
    <col min="3590" max="3590" width="13.7109375" style="53" bestFit="1" customWidth="1"/>
    <col min="3591" max="3591" width="15.7109375" style="53" bestFit="1" customWidth="1"/>
    <col min="3592" max="3592" width="13.140625" style="53" bestFit="1" customWidth="1"/>
    <col min="3593" max="3593" width="11.85546875" style="53" bestFit="1" customWidth="1"/>
    <col min="3594" max="3594" width="12.85546875" style="53" bestFit="1" customWidth="1"/>
    <col min="3595" max="3840" width="9.140625" style="53"/>
    <col min="3841" max="3841" width="9.28515625" style="53" customWidth="1"/>
    <col min="3842" max="3842" width="39.85546875" style="53" customWidth="1"/>
    <col min="3843" max="3843" width="18.28515625" style="53" customWidth="1"/>
    <col min="3844" max="3844" width="23.85546875" style="53" customWidth="1"/>
    <col min="3845" max="3845" width="16" style="53" bestFit="1" customWidth="1"/>
    <col min="3846" max="3846" width="13.7109375" style="53" bestFit="1" customWidth="1"/>
    <col min="3847" max="3847" width="15.7109375" style="53" bestFit="1" customWidth="1"/>
    <col min="3848" max="3848" width="13.140625" style="53" bestFit="1" customWidth="1"/>
    <col min="3849" max="3849" width="11.85546875" style="53" bestFit="1" customWidth="1"/>
    <col min="3850" max="3850" width="12.85546875" style="53" bestFit="1" customWidth="1"/>
    <col min="3851" max="4096" width="9.140625" style="53"/>
    <col min="4097" max="4097" width="9.28515625" style="53" customWidth="1"/>
    <col min="4098" max="4098" width="39.85546875" style="53" customWidth="1"/>
    <col min="4099" max="4099" width="18.28515625" style="53" customWidth="1"/>
    <col min="4100" max="4100" width="23.85546875" style="53" customWidth="1"/>
    <col min="4101" max="4101" width="16" style="53" bestFit="1" customWidth="1"/>
    <col min="4102" max="4102" width="13.7109375" style="53" bestFit="1" customWidth="1"/>
    <col min="4103" max="4103" width="15.7109375" style="53" bestFit="1" customWidth="1"/>
    <col min="4104" max="4104" width="13.140625" style="53" bestFit="1" customWidth="1"/>
    <col min="4105" max="4105" width="11.85546875" style="53" bestFit="1" customWidth="1"/>
    <col min="4106" max="4106" width="12.85546875" style="53" bestFit="1" customWidth="1"/>
    <col min="4107" max="4352" width="9.140625" style="53"/>
    <col min="4353" max="4353" width="9.28515625" style="53" customWidth="1"/>
    <col min="4354" max="4354" width="39.85546875" style="53" customWidth="1"/>
    <col min="4355" max="4355" width="18.28515625" style="53" customWidth="1"/>
    <col min="4356" max="4356" width="23.85546875" style="53" customWidth="1"/>
    <col min="4357" max="4357" width="16" style="53" bestFit="1" customWidth="1"/>
    <col min="4358" max="4358" width="13.7109375" style="53" bestFit="1" customWidth="1"/>
    <col min="4359" max="4359" width="15.7109375" style="53" bestFit="1" customWidth="1"/>
    <col min="4360" max="4360" width="13.140625" style="53" bestFit="1" customWidth="1"/>
    <col min="4361" max="4361" width="11.85546875" style="53" bestFit="1" customWidth="1"/>
    <col min="4362" max="4362" width="12.85546875" style="53" bestFit="1" customWidth="1"/>
    <col min="4363" max="4608" width="9.140625" style="53"/>
    <col min="4609" max="4609" width="9.28515625" style="53" customWidth="1"/>
    <col min="4610" max="4610" width="39.85546875" style="53" customWidth="1"/>
    <col min="4611" max="4611" width="18.28515625" style="53" customWidth="1"/>
    <col min="4612" max="4612" width="23.85546875" style="53" customWidth="1"/>
    <col min="4613" max="4613" width="16" style="53" bestFit="1" customWidth="1"/>
    <col min="4614" max="4614" width="13.7109375" style="53" bestFit="1" customWidth="1"/>
    <col min="4615" max="4615" width="15.7109375" style="53" bestFit="1" customWidth="1"/>
    <col min="4616" max="4616" width="13.140625" style="53" bestFit="1" customWidth="1"/>
    <col min="4617" max="4617" width="11.85546875" style="53" bestFit="1" customWidth="1"/>
    <col min="4618" max="4618" width="12.85546875" style="53" bestFit="1" customWidth="1"/>
    <col min="4619" max="4864" width="9.140625" style="53"/>
    <col min="4865" max="4865" width="9.28515625" style="53" customWidth="1"/>
    <col min="4866" max="4866" width="39.85546875" style="53" customWidth="1"/>
    <col min="4867" max="4867" width="18.28515625" style="53" customWidth="1"/>
    <col min="4868" max="4868" width="23.85546875" style="53" customWidth="1"/>
    <col min="4869" max="4869" width="16" style="53" bestFit="1" customWidth="1"/>
    <col min="4870" max="4870" width="13.7109375" style="53" bestFit="1" customWidth="1"/>
    <col min="4871" max="4871" width="15.7109375" style="53" bestFit="1" customWidth="1"/>
    <col min="4872" max="4872" width="13.140625" style="53" bestFit="1" customWidth="1"/>
    <col min="4873" max="4873" width="11.85546875" style="53" bestFit="1" customWidth="1"/>
    <col min="4874" max="4874" width="12.85546875" style="53" bestFit="1" customWidth="1"/>
    <col min="4875" max="5120" width="9.140625" style="53"/>
    <col min="5121" max="5121" width="9.28515625" style="53" customWidth="1"/>
    <col min="5122" max="5122" width="39.85546875" style="53" customWidth="1"/>
    <col min="5123" max="5123" width="18.28515625" style="53" customWidth="1"/>
    <col min="5124" max="5124" width="23.85546875" style="53" customWidth="1"/>
    <col min="5125" max="5125" width="16" style="53" bestFit="1" customWidth="1"/>
    <col min="5126" max="5126" width="13.7109375" style="53" bestFit="1" customWidth="1"/>
    <col min="5127" max="5127" width="15.7109375" style="53" bestFit="1" customWidth="1"/>
    <col min="5128" max="5128" width="13.140625" style="53" bestFit="1" customWidth="1"/>
    <col min="5129" max="5129" width="11.85546875" style="53" bestFit="1" customWidth="1"/>
    <col min="5130" max="5130" width="12.85546875" style="53" bestFit="1" customWidth="1"/>
    <col min="5131" max="5376" width="9.140625" style="53"/>
    <col min="5377" max="5377" width="9.28515625" style="53" customWidth="1"/>
    <col min="5378" max="5378" width="39.85546875" style="53" customWidth="1"/>
    <col min="5379" max="5379" width="18.28515625" style="53" customWidth="1"/>
    <col min="5380" max="5380" width="23.85546875" style="53" customWidth="1"/>
    <col min="5381" max="5381" width="16" style="53" bestFit="1" customWidth="1"/>
    <col min="5382" max="5382" width="13.7109375" style="53" bestFit="1" customWidth="1"/>
    <col min="5383" max="5383" width="15.7109375" style="53" bestFit="1" customWidth="1"/>
    <col min="5384" max="5384" width="13.140625" style="53" bestFit="1" customWidth="1"/>
    <col min="5385" max="5385" width="11.85546875" style="53" bestFit="1" customWidth="1"/>
    <col min="5386" max="5386" width="12.85546875" style="53" bestFit="1" customWidth="1"/>
    <col min="5387" max="5632" width="9.140625" style="53"/>
    <col min="5633" max="5633" width="9.28515625" style="53" customWidth="1"/>
    <col min="5634" max="5634" width="39.85546875" style="53" customWidth="1"/>
    <col min="5635" max="5635" width="18.28515625" style="53" customWidth="1"/>
    <col min="5636" max="5636" width="23.85546875" style="53" customWidth="1"/>
    <col min="5637" max="5637" width="16" style="53" bestFit="1" customWidth="1"/>
    <col min="5638" max="5638" width="13.7109375" style="53" bestFit="1" customWidth="1"/>
    <col min="5639" max="5639" width="15.7109375" style="53" bestFit="1" customWidth="1"/>
    <col min="5640" max="5640" width="13.140625" style="53" bestFit="1" customWidth="1"/>
    <col min="5641" max="5641" width="11.85546875" style="53" bestFit="1" customWidth="1"/>
    <col min="5642" max="5642" width="12.85546875" style="53" bestFit="1" customWidth="1"/>
    <col min="5643" max="5888" width="9.140625" style="53"/>
    <col min="5889" max="5889" width="9.28515625" style="53" customWidth="1"/>
    <col min="5890" max="5890" width="39.85546875" style="53" customWidth="1"/>
    <col min="5891" max="5891" width="18.28515625" style="53" customWidth="1"/>
    <col min="5892" max="5892" width="23.85546875" style="53" customWidth="1"/>
    <col min="5893" max="5893" width="16" style="53" bestFit="1" customWidth="1"/>
    <col min="5894" max="5894" width="13.7109375" style="53" bestFit="1" customWidth="1"/>
    <col min="5895" max="5895" width="15.7109375" style="53" bestFit="1" customWidth="1"/>
    <col min="5896" max="5896" width="13.140625" style="53" bestFit="1" customWidth="1"/>
    <col min="5897" max="5897" width="11.85546875" style="53" bestFit="1" customWidth="1"/>
    <col min="5898" max="5898" width="12.85546875" style="53" bestFit="1" customWidth="1"/>
    <col min="5899" max="6144" width="9.140625" style="53"/>
    <col min="6145" max="6145" width="9.28515625" style="53" customWidth="1"/>
    <col min="6146" max="6146" width="39.85546875" style="53" customWidth="1"/>
    <col min="6147" max="6147" width="18.28515625" style="53" customWidth="1"/>
    <col min="6148" max="6148" width="23.85546875" style="53" customWidth="1"/>
    <col min="6149" max="6149" width="16" style="53" bestFit="1" customWidth="1"/>
    <col min="6150" max="6150" width="13.7109375" style="53" bestFit="1" customWidth="1"/>
    <col min="6151" max="6151" width="15.7109375" style="53" bestFit="1" customWidth="1"/>
    <col min="6152" max="6152" width="13.140625" style="53" bestFit="1" customWidth="1"/>
    <col min="6153" max="6153" width="11.85546875" style="53" bestFit="1" customWidth="1"/>
    <col min="6154" max="6154" width="12.85546875" style="53" bestFit="1" customWidth="1"/>
    <col min="6155" max="6400" width="9.140625" style="53"/>
    <col min="6401" max="6401" width="9.28515625" style="53" customWidth="1"/>
    <col min="6402" max="6402" width="39.85546875" style="53" customWidth="1"/>
    <col min="6403" max="6403" width="18.28515625" style="53" customWidth="1"/>
    <col min="6404" max="6404" width="23.85546875" style="53" customWidth="1"/>
    <col min="6405" max="6405" width="16" style="53" bestFit="1" customWidth="1"/>
    <col min="6406" max="6406" width="13.7109375" style="53" bestFit="1" customWidth="1"/>
    <col min="6407" max="6407" width="15.7109375" style="53" bestFit="1" customWidth="1"/>
    <col min="6408" max="6408" width="13.140625" style="53" bestFit="1" customWidth="1"/>
    <col min="6409" max="6409" width="11.85546875" style="53" bestFit="1" customWidth="1"/>
    <col min="6410" max="6410" width="12.85546875" style="53" bestFit="1" customWidth="1"/>
    <col min="6411" max="6656" width="9.140625" style="53"/>
    <col min="6657" max="6657" width="9.28515625" style="53" customWidth="1"/>
    <col min="6658" max="6658" width="39.85546875" style="53" customWidth="1"/>
    <col min="6659" max="6659" width="18.28515625" style="53" customWidth="1"/>
    <col min="6660" max="6660" width="23.85546875" style="53" customWidth="1"/>
    <col min="6661" max="6661" width="16" style="53" bestFit="1" customWidth="1"/>
    <col min="6662" max="6662" width="13.7109375" style="53" bestFit="1" customWidth="1"/>
    <col min="6663" max="6663" width="15.7109375" style="53" bestFit="1" customWidth="1"/>
    <col min="6664" max="6664" width="13.140625" style="53" bestFit="1" customWidth="1"/>
    <col min="6665" max="6665" width="11.85546875" style="53" bestFit="1" customWidth="1"/>
    <col min="6666" max="6666" width="12.85546875" style="53" bestFit="1" customWidth="1"/>
    <col min="6667" max="6912" width="9.140625" style="53"/>
    <col min="6913" max="6913" width="9.28515625" style="53" customWidth="1"/>
    <col min="6914" max="6914" width="39.85546875" style="53" customWidth="1"/>
    <col min="6915" max="6915" width="18.28515625" style="53" customWidth="1"/>
    <col min="6916" max="6916" width="23.85546875" style="53" customWidth="1"/>
    <col min="6917" max="6917" width="16" style="53" bestFit="1" customWidth="1"/>
    <col min="6918" max="6918" width="13.7109375" style="53" bestFit="1" customWidth="1"/>
    <col min="6919" max="6919" width="15.7109375" style="53" bestFit="1" customWidth="1"/>
    <col min="6920" max="6920" width="13.140625" style="53" bestFit="1" customWidth="1"/>
    <col min="6921" max="6921" width="11.85546875" style="53" bestFit="1" customWidth="1"/>
    <col min="6922" max="6922" width="12.85546875" style="53" bestFit="1" customWidth="1"/>
    <col min="6923" max="7168" width="9.140625" style="53"/>
    <col min="7169" max="7169" width="9.28515625" style="53" customWidth="1"/>
    <col min="7170" max="7170" width="39.85546875" style="53" customWidth="1"/>
    <col min="7171" max="7171" width="18.28515625" style="53" customWidth="1"/>
    <col min="7172" max="7172" width="23.85546875" style="53" customWidth="1"/>
    <col min="7173" max="7173" width="16" style="53" bestFit="1" customWidth="1"/>
    <col min="7174" max="7174" width="13.7109375" style="53" bestFit="1" customWidth="1"/>
    <col min="7175" max="7175" width="15.7109375" style="53" bestFit="1" customWidth="1"/>
    <col min="7176" max="7176" width="13.140625" style="53" bestFit="1" customWidth="1"/>
    <col min="7177" max="7177" width="11.85546875" style="53" bestFit="1" customWidth="1"/>
    <col min="7178" max="7178" width="12.85546875" style="53" bestFit="1" customWidth="1"/>
    <col min="7179" max="7424" width="9.140625" style="53"/>
    <col min="7425" max="7425" width="9.28515625" style="53" customWidth="1"/>
    <col min="7426" max="7426" width="39.85546875" style="53" customWidth="1"/>
    <col min="7427" max="7427" width="18.28515625" style="53" customWidth="1"/>
    <col min="7428" max="7428" width="23.85546875" style="53" customWidth="1"/>
    <col min="7429" max="7429" width="16" style="53" bestFit="1" customWidth="1"/>
    <col min="7430" max="7430" width="13.7109375" style="53" bestFit="1" customWidth="1"/>
    <col min="7431" max="7431" width="15.7109375" style="53" bestFit="1" customWidth="1"/>
    <col min="7432" max="7432" width="13.140625" style="53" bestFit="1" customWidth="1"/>
    <col min="7433" max="7433" width="11.85546875" style="53" bestFit="1" customWidth="1"/>
    <col min="7434" max="7434" width="12.85546875" style="53" bestFit="1" customWidth="1"/>
    <col min="7435" max="7680" width="9.140625" style="53"/>
    <col min="7681" max="7681" width="9.28515625" style="53" customWidth="1"/>
    <col min="7682" max="7682" width="39.85546875" style="53" customWidth="1"/>
    <col min="7683" max="7683" width="18.28515625" style="53" customWidth="1"/>
    <col min="7684" max="7684" width="23.85546875" style="53" customWidth="1"/>
    <col min="7685" max="7685" width="16" style="53" bestFit="1" customWidth="1"/>
    <col min="7686" max="7686" width="13.7109375" style="53" bestFit="1" customWidth="1"/>
    <col min="7687" max="7687" width="15.7109375" style="53" bestFit="1" customWidth="1"/>
    <col min="7688" max="7688" width="13.140625" style="53" bestFit="1" customWidth="1"/>
    <col min="7689" max="7689" width="11.85546875" style="53" bestFit="1" customWidth="1"/>
    <col min="7690" max="7690" width="12.85546875" style="53" bestFit="1" customWidth="1"/>
    <col min="7691" max="7936" width="9.140625" style="53"/>
    <col min="7937" max="7937" width="9.28515625" style="53" customWidth="1"/>
    <col min="7938" max="7938" width="39.85546875" style="53" customWidth="1"/>
    <col min="7939" max="7939" width="18.28515625" style="53" customWidth="1"/>
    <col min="7940" max="7940" width="23.85546875" style="53" customWidth="1"/>
    <col min="7941" max="7941" width="16" style="53" bestFit="1" customWidth="1"/>
    <col min="7942" max="7942" width="13.7109375" style="53" bestFit="1" customWidth="1"/>
    <col min="7943" max="7943" width="15.7109375" style="53" bestFit="1" customWidth="1"/>
    <col min="7944" max="7944" width="13.140625" style="53" bestFit="1" customWidth="1"/>
    <col min="7945" max="7945" width="11.85546875" style="53" bestFit="1" customWidth="1"/>
    <col min="7946" max="7946" width="12.85546875" style="53" bestFit="1" customWidth="1"/>
    <col min="7947" max="8192" width="9.140625" style="53"/>
    <col min="8193" max="8193" width="9.28515625" style="53" customWidth="1"/>
    <col min="8194" max="8194" width="39.85546875" style="53" customWidth="1"/>
    <col min="8195" max="8195" width="18.28515625" style="53" customWidth="1"/>
    <col min="8196" max="8196" width="23.85546875" style="53" customWidth="1"/>
    <col min="8197" max="8197" width="16" style="53" bestFit="1" customWidth="1"/>
    <col min="8198" max="8198" width="13.7109375" style="53" bestFit="1" customWidth="1"/>
    <col min="8199" max="8199" width="15.7109375" style="53" bestFit="1" customWidth="1"/>
    <col min="8200" max="8200" width="13.140625" style="53" bestFit="1" customWidth="1"/>
    <col min="8201" max="8201" width="11.85546875" style="53" bestFit="1" customWidth="1"/>
    <col min="8202" max="8202" width="12.85546875" style="53" bestFit="1" customWidth="1"/>
    <col min="8203" max="8448" width="9.140625" style="53"/>
    <col min="8449" max="8449" width="9.28515625" style="53" customWidth="1"/>
    <col min="8450" max="8450" width="39.85546875" style="53" customWidth="1"/>
    <col min="8451" max="8451" width="18.28515625" style="53" customWidth="1"/>
    <col min="8452" max="8452" width="23.85546875" style="53" customWidth="1"/>
    <col min="8453" max="8453" width="16" style="53" bestFit="1" customWidth="1"/>
    <col min="8454" max="8454" width="13.7109375" style="53" bestFit="1" customWidth="1"/>
    <col min="8455" max="8455" width="15.7109375" style="53" bestFit="1" customWidth="1"/>
    <col min="8456" max="8456" width="13.140625" style="53" bestFit="1" customWidth="1"/>
    <col min="8457" max="8457" width="11.85546875" style="53" bestFit="1" customWidth="1"/>
    <col min="8458" max="8458" width="12.85546875" style="53" bestFit="1" customWidth="1"/>
    <col min="8459" max="8704" width="9.140625" style="53"/>
    <col min="8705" max="8705" width="9.28515625" style="53" customWidth="1"/>
    <col min="8706" max="8706" width="39.85546875" style="53" customWidth="1"/>
    <col min="8707" max="8707" width="18.28515625" style="53" customWidth="1"/>
    <col min="8708" max="8708" width="23.85546875" style="53" customWidth="1"/>
    <col min="8709" max="8709" width="16" style="53" bestFit="1" customWidth="1"/>
    <col min="8710" max="8710" width="13.7109375" style="53" bestFit="1" customWidth="1"/>
    <col min="8711" max="8711" width="15.7109375" style="53" bestFit="1" customWidth="1"/>
    <col min="8712" max="8712" width="13.140625" style="53" bestFit="1" customWidth="1"/>
    <col min="8713" max="8713" width="11.85546875" style="53" bestFit="1" customWidth="1"/>
    <col min="8714" max="8714" width="12.85546875" style="53" bestFit="1" customWidth="1"/>
    <col min="8715" max="8960" width="9.140625" style="53"/>
    <col min="8961" max="8961" width="9.28515625" style="53" customWidth="1"/>
    <col min="8962" max="8962" width="39.85546875" style="53" customWidth="1"/>
    <col min="8963" max="8963" width="18.28515625" style="53" customWidth="1"/>
    <col min="8964" max="8964" width="23.85546875" style="53" customWidth="1"/>
    <col min="8965" max="8965" width="16" style="53" bestFit="1" customWidth="1"/>
    <col min="8966" max="8966" width="13.7109375" style="53" bestFit="1" customWidth="1"/>
    <col min="8967" max="8967" width="15.7109375" style="53" bestFit="1" customWidth="1"/>
    <col min="8968" max="8968" width="13.140625" style="53" bestFit="1" customWidth="1"/>
    <col min="8969" max="8969" width="11.85546875" style="53" bestFit="1" customWidth="1"/>
    <col min="8970" max="8970" width="12.85546875" style="53" bestFit="1" customWidth="1"/>
    <col min="8971" max="9216" width="9.140625" style="53"/>
    <col min="9217" max="9217" width="9.28515625" style="53" customWidth="1"/>
    <col min="9218" max="9218" width="39.85546875" style="53" customWidth="1"/>
    <col min="9219" max="9219" width="18.28515625" style="53" customWidth="1"/>
    <col min="9220" max="9220" width="23.85546875" style="53" customWidth="1"/>
    <col min="9221" max="9221" width="16" style="53" bestFit="1" customWidth="1"/>
    <col min="9222" max="9222" width="13.7109375" style="53" bestFit="1" customWidth="1"/>
    <col min="9223" max="9223" width="15.7109375" style="53" bestFit="1" customWidth="1"/>
    <col min="9224" max="9224" width="13.140625" style="53" bestFit="1" customWidth="1"/>
    <col min="9225" max="9225" width="11.85546875" style="53" bestFit="1" customWidth="1"/>
    <col min="9226" max="9226" width="12.85546875" style="53" bestFit="1" customWidth="1"/>
    <col min="9227" max="9472" width="9.140625" style="53"/>
    <col min="9473" max="9473" width="9.28515625" style="53" customWidth="1"/>
    <col min="9474" max="9474" width="39.85546875" style="53" customWidth="1"/>
    <col min="9475" max="9475" width="18.28515625" style="53" customWidth="1"/>
    <col min="9476" max="9476" width="23.85546875" style="53" customWidth="1"/>
    <col min="9477" max="9477" width="16" style="53" bestFit="1" customWidth="1"/>
    <col min="9478" max="9478" width="13.7109375" style="53" bestFit="1" customWidth="1"/>
    <col min="9479" max="9479" width="15.7109375" style="53" bestFit="1" customWidth="1"/>
    <col min="9480" max="9480" width="13.140625" style="53" bestFit="1" customWidth="1"/>
    <col min="9481" max="9481" width="11.85546875" style="53" bestFit="1" customWidth="1"/>
    <col min="9482" max="9482" width="12.85546875" style="53" bestFit="1" customWidth="1"/>
    <col min="9483" max="9728" width="9.140625" style="53"/>
    <col min="9729" max="9729" width="9.28515625" style="53" customWidth="1"/>
    <col min="9730" max="9730" width="39.85546875" style="53" customWidth="1"/>
    <col min="9731" max="9731" width="18.28515625" style="53" customWidth="1"/>
    <col min="9732" max="9732" width="23.85546875" style="53" customWidth="1"/>
    <col min="9733" max="9733" width="16" style="53" bestFit="1" customWidth="1"/>
    <col min="9734" max="9734" width="13.7109375" style="53" bestFit="1" customWidth="1"/>
    <col min="9735" max="9735" width="15.7109375" style="53" bestFit="1" customWidth="1"/>
    <col min="9736" max="9736" width="13.140625" style="53" bestFit="1" customWidth="1"/>
    <col min="9737" max="9737" width="11.85546875" style="53" bestFit="1" customWidth="1"/>
    <col min="9738" max="9738" width="12.85546875" style="53" bestFit="1" customWidth="1"/>
    <col min="9739" max="9984" width="9.140625" style="53"/>
    <col min="9985" max="9985" width="9.28515625" style="53" customWidth="1"/>
    <col min="9986" max="9986" width="39.85546875" style="53" customWidth="1"/>
    <col min="9987" max="9987" width="18.28515625" style="53" customWidth="1"/>
    <col min="9988" max="9988" width="23.85546875" style="53" customWidth="1"/>
    <col min="9989" max="9989" width="16" style="53" bestFit="1" customWidth="1"/>
    <col min="9990" max="9990" width="13.7109375" style="53" bestFit="1" customWidth="1"/>
    <col min="9991" max="9991" width="15.7109375" style="53" bestFit="1" customWidth="1"/>
    <col min="9992" max="9992" width="13.140625" style="53" bestFit="1" customWidth="1"/>
    <col min="9993" max="9993" width="11.85546875" style="53" bestFit="1" customWidth="1"/>
    <col min="9994" max="9994" width="12.85546875" style="53" bestFit="1" customWidth="1"/>
    <col min="9995" max="10240" width="9.140625" style="53"/>
    <col min="10241" max="10241" width="9.28515625" style="53" customWidth="1"/>
    <col min="10242" max="10242" width="39.85546875" style="53" customWidth="1"/>
    <col min="10243" max="10243" width="18.28515625" style="53" customWidth="1"/>
    <col min="10244" max="10244" width="23.85546875" style="53" customWidth="1"/>
    <col min="10245" max="10245" width="16" style="53" bestFit="1" customWidth="1"/>
    <col min="10246" max="10246" width="13.7109375" style="53" bestFit="1" customWidth="1"/>
    <col min="10247" max="10247" width="15.7109375" style="53" bestFit="1" customWidth="1"/>
    <col min="10248" max="10248" width="13.140625" style="53" bestFit="1" customWidth="1"/>
    <col min="10249" max="10249" width="11.85546875" style="53" bestFit="1" customWidth="1"/>
    <col min="10250" max="10250" width="12.85546875" style="53" bestFit="1" customWidth="1"/>
    <col min="10251" max="10496" width="9.140625" style="53"/>
    <col min="10497" max="10497" width="9.28515625" style="53" customWidth="1"/>
    <col min="10498" max="10498" width="39.85546875" style="53" customWidth="1"/>
    <col min="10499" max="10499" width="18.28515625" style="53" customWidth="1"/>
    <col min="10500" max="10500" width="23.85546875" style="53" customWidth="1"/>
    <col min="10501" max="10501" width="16" style="53" bestFit="1" customWidth="1"/>
    <col min="10502" max="10502" width="13.7109375" style="53" bestFit="1" customWidth="1"/>
    <col min="10503" max="10503" width="15.7109375" style="53" bestFit="1" customWidth="1"/>
    <col min="10504" max="10504" width="13.140625" style="53" bestFit="1" customWidth="1"/>
    <col min="10505" max="10505" width="11.85546875" style="53" bestFit="1" customWidth="1"/>
    <col min="10506" max="10506" width="12.85546875" style="53" bestFit="1" customWidth="1"/>
    <col min="10507" max="10752" width="9.140625" style="53"/>
    <col min="10753" max="10753" width="9.28515625" style="53" customWidth="1"/>
    <col min="10754" max="10754" width="39.85546875" style="53" customWidth="1"/>
    <col min="10755" max="10755" width="18.28515625" style="53" customWidth="1"/>
    <col min="10756" max="10756" width="23.85546875" style="53" customWidth="1"/>
    <col min="10757" max="10757" width="16" style="53" bestFit="1" customWidth="1"/>
    <col min="10758" max="10758" width="13.7109375" style="53" bestFit="1" customWidth="1"/>
    <col min="10759" max="10759" width="15.7109375" style="53" bestFit="1" customWidth="1"/>
    <col min="10760" max="10760" width="13.140625" style="53" bestFit="1" customWidth="1"/>
    <col min="10761" max="10761" width="11.85546875" style="53" bestFit="1" customWidth="1"/>
    <col min="10762" max="10762" width="12.85546875" style="53" bestFit="1" customWidth="1"/>
    <col min="10763" max="11008" width="9.140625" style="53"/>
    <col min="11009" max="11009" width="9.28515625" style="53" customWidth="1"/>
    <col min="11010" max="11010" width="39.85546875" style="53" customWidth="1"/>
    <col min="11011" max="11011" width="18.28515625" style="53" customWidth="1"/>
    <col min="11012" max="11012" width="23.85546875" style="53" customWidth="1"/>
    <col min="11013" max="11013" width="16" style="53" bestFit="1" customWidth="1"/>
    <col min="11014" max="11014" width="13.7109375" style="53" bestFit="1" customWidth="1"/>
    <col min="11015" max="11015" width="15.7109375" style="53" bestFit="1" customWidth="1"/>
    <col min="11016" max="11016" width="13.140625" style="53" bestFit="1" customWidth="1"/>
    <col min="11017" max="11017" width="11.85546875" style="53" bestFit="1" customWidth="1"/>
    <col min="11018" max="11018" width="12.85546875" style="53" bestFit="1" customWidth="1"/>
    <col min="11019" max="11264" width="9.140625" style="53"/>
    <col min="11265" max="11265" width="9.28515625" style="53" customWidth="1"/>
    <col min="11266" max="11266" width="39.85546875" style="53" customWidth="1"/>
    <col min="11267" max="11267" width="18.28515625" style="53" customWidth="1"/>
    <col min="11268" max="11268" width="23.85546875" style="53" customWidth="1"/>
    <col min="11269" max="11269" width="16" style="53" bestFit="1" customWidth="1"/>
    <col min="11270" max="11270" width="13.7109375" style="53" bestFit="1" customWidth="1"/>
    <col min="11271" max="11271" width="15.7109375" style="53" bestFit="1" customWidth="1"/>
    <col min="11272" max="11272" width="13.140625" style="53" bestFit="1" customWidth="1"/>
    <col min="11273" max="11273" width="11.85546875" style="53" bestFit="1" customWidth="1"/>
    <col min="11274" max="11274" width="12.85546875" style="53" bestFit="1" customWidth="1"/>
    <col min="11275" max="11520" width="9.140625" style="53"/>
    <col min="11521" max="11521" width="9.28515625" style="53" customWidth="1"/>
    <col min="11522" max="11522" width="39.85546875" style="53" customWidth="1"/>
    <col min="11523" max="11523" width="18.28515625" style="53" customWidth="1"/>
    <col min="11524" max="11524" width="23.85546875" style="53" customWidth="1"/>
    <col min="11525" max="11525" width="16" style="53" bestFit="1" customWidth="1"/>
    <col min="11526" max="11526" width="13.7109375" style="53" bestFit="1" customWidth="1"/>
    <col min="11527" max="11527" width="15.7109375" style="53" bestFit="1" customWidth="1"/>
    <col min="11528" max="11528" width="13.140625" style="53" bestFit="1" customWidth="1"/>
    <col min="11529" max="11529" width="11.85546875" style="53" bestFit="1" customWidth="1"/>
    <col min="11530" max="11530" width="12.85546875" style="53" bestFit="1" customWidth="1"/>
    <col min="11531" max="11776" width="9.140625" style="53"/>
    <col min="11777" max="11777" width="9.28515625" style="53" customWidth="1"/>
    <col min="11778" max="11778" width="39.85546875" style="53" customWidth="1"/>
    <col min="11779" max="11779" width="18.28515625" style="53" customWidth="1"/>
    <col min="11780" max="11780" width="23.85546875" style="53" customWidth="1"/>
    <col min="11781" max="11781" width="16" style="53" bestFit="1" customWidth="1"/>
    <col min="11782" max="11782" width="13.7109375" style="53" bestFit="1" customWidth="1"/>
    <col min="11783" max="11783" width="15.7109375" style="53" bestFit="1" customWidth="1"/>
    <col min="11784" max="11784" width="13.140625" style="53" bestFit="1" customWidth="1"/>
    <col min="11785" max="11785" width="11.85546875" style="53" bestFit="1" customWidth="1"/>
    <col min="11786" max="11786" width="12.85546875" style="53" bestFit="1" customWidth="1"/>
    <col min="11787" max="12032" width="9.140625" style="53"/>
    <col min="12033" max="12033" width="9.28515625" style="53" customWidth="1"/>
    <col min="12034" max="12034" width="39.85546875" style="53" customWidth="1"/>
    <col min="12035" max="12035" width="18.28515625" style="53" customWidth="1"/>
    <col min="12036" max="12036" width="23.85546875" style="53" customWidth="1"/>
    <col min="12037" max="12037" width="16" style="53" bestFit="1" customWidth="1"/>
    <col min="12038" max="12038" width="13.7109375" style="53" bestFit="1" customWidth="1"/>
    <col min="12039" max="12039" width="15.7109375" style="53" bestFit="1" customWidth="1"/>
    <col min="12040" max="12040" width="13.140625" style="53" bestFit="1" customWidth="1"/>
    <col min="12041" max="12041" width="11.85546875" style="53" bestFit="1" customWidth="1"/>
    <col min="12042" max="12042" width="12.85546875" style="53" bestFit="1" customWidth="1"/>
    <col min="12043" max="12288" width="9.140625" style="53"/>
    <col min="12289" max="12289" width="9.28515625" style="53" customWidth="1"/>
    <col min="12290" max="12290" width="39.85546875" style="53" customWidth="1"/>
    <col min="12291" max="12291" width="18.28515625" style="53" customWidth="1"/>
    <col min="12292" max="12292" width="23.85546875" style="53" customWidth="1"/>
    <col min="12293" max="12293" width="16" style="53" bestFit="1" customWidth="1"/>
    <col min="12294" max="12294" width="13.7109375" style="53" bestFit="1" customWidth="1"/>
    <col min="12295" max="12295" width="15.7109375" style="53" bestFit="1" customWidth="1"/>
    <col min="12296" max="12296" width="13.140625" style="53" bestFit="1" customWidth="1"/>
    <col min="12297" max="12297" width="11.85546875" style="53" bestFit="1" customWidth="1"/>
    <col min="12298" max="12298" width="12.85546875" style="53" bestFit="1" customWidth="1"/>
    <col min="12299" max="12544" width="9.140625" style="53"/>
    <col min="12545" max="12545" width="9.28515625" style="53" customWidth="1"/>
    <col min="12546" max="12546" width="39.85546875" style="53" customWidth="1"/>
    <col min="12547" max="12547" width="18.28515625" style="53" customWidth="1"/>
    <col min="12548" max="12548" width="23.85546875" style="53" customWidth="1"/>
    <col min="12549" max="12549" width="16" style="53" bestFit="1" customWidth="1"/>
    <col min="12550" max="12550" width="13.7109375" style="53" bestFit="1" customWidth="1"/>
    <col min="12551" max="12551" width="15.7109375" style="53" bestFit="1" customWidth="1"/>
    <col min="12552" max="12552" width="13.140625" style="53" bestFit="1" customWidth="1"/>
    <col min="12553" max="12553" width="11.85546875" style="53" bestFit="1" customWidth="1"/>
    <col min="12554" max="12554" width="12.85546875" style="53" bestFit="1" customWidth="1"/>
    <col min="12555" max="12800" width="9.140625" style="53"/>
    <col min="12801" max="12801" width="9.28515625" style="53" customWidth="1"/>
    <col min="12802" max="12802" width="39.85546875" style="53" customWidth="1"/>
    <col min="12803" max="12803" width="18.28515625" style="53" customWidth="1"/>
    <col min="12804" max="12804" width="23.85546875" style="53" customWidth="1"/>
    <col min="12805" max="12805" width="16" style="53" bestFit="1" customWidth="1"/>
    <col min="12806" max="12806" width="13.7109375" style="53" bestFit="1" customWidth="1"/>
    <col min="12807" max="12807" width="15.7109375" style="53" bestFit="1" customWidth="1"/>
    <col min="12808" max="12808" width="13.140625" style="53" bestFit="1" customWidth="1"/>
    <col min="12809" max="12809" width="11.85546875" style="53" bestFit="1" customWidth="1"/>
    <col min="12810" max="12810" width="12.85546875" style="53" bestFit="1" customWidth="1"/>
    <col min="12811" max="13056" width="9.140625" style="53"/>
    <col min="13057" max="13057" width="9.28515625" style="53" customWidth="1"/>
    <col min="13058" max="13058" width="39.85546875" style="53" customWidth="1"/>
    <col min="13059" max="13059" width="18.28515625" style="53" customWidth="1"/>
    <col min="13060" max="13060" width="23.85546875" style="53" customWidth="1"/>
    <col min="13061" max="13061" width="16" style="53" bestFit="1" customWidth="1"/>
    <col min="13062" max="13062" width="13.7109375" style="53" bestFit="1" customWidth="1"/>
    <col min="13063" max="13063" width="15.7109375" style="53" bestFit="1" customWidth="1"/>
    <col min="13064" max="13064" width="13.140625" style="53" bestFit="1" customWidth="1"/>
    <col min="13065" max="13065" width="11.85546875" style="53" bestFit="1" customWidth="1"/>
    <col min="13066" max="13066" width="12.85546875" style="53" bestFit="1" customWidth="1"/>
    <col min="13067" max="13312" width="9.140625" style="53"/>
    <col min="13313" max="13313" width="9.28515625" style="53" customWidth="1"/>
    <col min="13314" max="13314" width="39.85546875" style="53" customWidth="1"/>
    <col min="13315" max="13315" width="18.28515625" style="53" customWidth="1"/>
    <col min="13316" max="13316" width="23.85546875" style="53" customWidth="1"/>
    <col min="13317" max="13317" width="16" style="53" bestFit="1" customWidth="1"/>
    <col min="13318" max="13318" width="13.7109375" style="53" bestFit="1" customWidth="1"/>
    <col min="13319" max="13319" width="15.7109375" style="53" bestFit="1" customWidth="1"/>
    <col min="13320" max="13320" width="13.140625" style="53" bestFit="1" customWidth="1"/>
    <col min="13321" max="13321" width="11.85546875" style="53" bestFit="1" customWidth="1"/>
    <col min="13322" max="13322" width="12.85546875" style="53" bestFit="1" customWidth="1"/>
    <col min="13323" max="13568" width="9.140625" style="53"/>
    <col min="13569" max="13569" width="9.28515625" style="53" customWidth="1"/>
    <col min="13570" max="13570" width="39.85546875" style="53" customWidth="1"/>
    <col min="13571" max="13571" width="18.28515625" style="53" customWidth="1"/>
    <col min="13572" max="13572" width="23.85546875" style="53" customWidth="1"/>
    <col min="13573" max="13573" width="16" style="53" bestFit="1" customWidth="1"/>
    <col min="13574" max="13574" width="13.7109375" style="53" bestFit="1" customWidth="1"/>
    <col min="13575" max="13575" width="15.7109375" style="53" bestFit="1" customWidth="1"/>
    <col min="13576" max="13576" width="13.140625" style="53" bestFit="1" customWidth="1"/>
    <col min="13577" max="13577" width="11.85546875" style="53" bestFit="1" customWidth="1"/>
    <col min="13578" max="13578" width="12.85546875" style="53" bestFit="1" customWidth="1"/>
    <col min="13579" max="13824" width="9.140625" style="53"/>
    <col min="13825" max="13825" width="9.28515625" style="53" customWidth="1"/>
    <col min="13826" max="13826" width="39.85546875" style="53" customWidth="1"/>
    <col min="13827" max="13827" width="18.28515625" style="53" customWidth="1"/>
    <col min="13828" max="13828" width="23.85546875" style="53" customWidth="1"/>
    <col min="13829" max="13829" width="16" style="53" bestFit="1" customWidth="1"/>
    <col min="13830" max="13830" width="13.7109375" style="53" bestFit="1" customWidth="1"/>
    <col min="13831" max="13831" width="15.7109375" style="53" bestFit="1" customWidth="1"/>
    <col min="13832" max="13832" width="13.140625" style="53" bestFit="1" customWidth="1"/>
    <col min="13833" max="13833" width="11.85546875" style="53" bestFit="1" customWidth="1"/>
    <col min="13834" max="13834" width="12.85546875" style="53" bestFit="1" customWidth="1"/>
    <col min="13835" max="14080" width="9.140625" style="53"/>
    <col min="14081" max="14081" width="9.28515625" style="53" customWidth="1"/>
    <col min="14082" max="14082" width="39.85546875" style="53" customWidth="1"/>
    <col min="14083" max="14083" width="18.28515625" style="53" customWidth="1"/>
    <col min="14084" max="14084" width="23.85546875" style="53" customWidth="1"/>
    <col min="14085" max="14085" width="16" style="53" bestFit="1" customWidth="1"/>
    <col min="14086" max="14086" width="13.7109375" style="53" bestFit="1" customWidth="1"/>
    <col min="14087" max="14087" width="15.7109375" style="53" bestFit="1" customWidth="1"/>
    <col min="14088" max="14088" width="13.140625" style="53" bestFit="1" customWidth="1"/>
    <col min="14089" max="14089" width="11.85546875" style="53" bestFit="1" customWidth="1"/>
    <col min="14090" max="14090" width="12.85546875" style="53" bestFit="1" customWidth="1"/>
    <col min="14091" max="14336" width="9.140625" style="53"/>
    <col min="14337" max="14337" width="9.28515625" style="53" customWidth="1"/>
    <col min="14338" max="14338" width="39.85546875" style="53" customWidth="1"/>
    <col min="14339" max="14339" width="18.28515625" style="53" customWidth="1"/>
    <col min="14340" max="14340" width="23.85546875" style="53" customWidth="1"/>
    <col min="14341" max="14341" width="16" style="53" bestFit="1" customWidth="1"/>
    <col min="14342" max="14342" width="13.7109375" style="53" bestFit="1" customWidth="1"/>
    <col min="14343" max="14343" width="15.7109375" style="53" bestFit="1" customWidth="1"/>
    <col min="14344" max="14344" width="13.140625" style="53" bestFit="1" customWidth="1"/>
    <col min="14345" max="14345" width="11.85546875" style="53" bestFit="1" customWidth="1"/>
    <col min="14346" max="14346" width="12.85546875" style="53" bestFit="1" customWidth="1"/>
    <col min="14347" max="14592" width="9.140625" style="53"/>
    <col min="14593" max="14593" width="9.28515625" style="53" customWidth="1"/>
    <col min="14594" max="14594" width="39.85546875" style="53" customWidth="1"/>
    <col min="14595" max="14595" width="18.28515625" style="53" customWidth="1"/>
    <col min="14596" max="14596" width="23.85546875" style="53" customWidth="1"/>
    <col min="14597" max="14597" width="16" style="53" bestFit="1" customWidth="1"/>
    <col min="14598" max="14598" width="13.7109375" style="53" bestFit="1" customWidth="1"/>
    <col min="14599" max="14599" width="15.7109375" style="53" bestFit="1" customWidth="1"/>
    <col min="14600" max="14600" width="13.140625" style="53" bestFit="1" customWidth="1"/>
    <col min="14601" max="14601" width="11.85546875" style="53" bestFit="1" customWidth="1"/>
    <col min="14602" max="14602" width="12.85546875" style="53" bestFit="1" customWidth="1"/>
    <col min="14603" max="14848" width="9.140625" style="53"/>
    <col min="14849" max="14849" width="9.28515625" style="53" customWidth="1"/>
    <col min="14850" max="14850" width="39.85546875" style="53" customWidth="1"/>
    <col min="14851" max="14851" width="18.28515625" style="53" customWidth="1"/>
    <col min="14852" max="14852" width="23.85546875" style="53" customWidth="1"/>
    <col min="14853" max="14853" width="16" style="53" bestFit="1" customWidth="1"/>
    <col min="14854" max="14854" width="13.7109375" style="53" bestFit="1" customWidth="1"/>
    <col min="14855" max="14855" width="15.7109375" style="53" bestFit="1" customWidth="1"/>
    <col min="14856" max="14856" width="13.140625" style="53" bestFit="1" customWidth="1"/>
    <col min="14857" max="14857" width="11.85546875" style="53" bestFit="1" customWidth="1"/>
    <col min="14858" max="14858" width="12.85546875" style="53" bestFit="1" customWidth="1"/>
    <col min="14859" max="15104" width="9.140625" style="53"/>
    <col min="15105" max="15105" width="9.28515625" style="53" customWidth="1"/>
    <col min="15106" max="15106" width="39.85546875" style="53" customWidth="1"/>
    <col min="15107" max="15107" width="18.28515625" style="53" customWidth="1"/>
    <col min="15108" max="15108" width="23.85546875" style="53" customWidth="1"/>
    <col min="15109" max="15109" width="16" style="53" bestFit="1" customWidth="1"/>
    <col min="15110" max="15110" width="13.7109375" style="53" bestFit="1" customWidth="1"/>
    <col min="15111" max="15111" width="15.7109375" style="53" bestFit="1" customWidth="1"/>
    <col min="15112" max="15112" width="13.140625" style="53" bestFit="1" customWidth="1"/>
    <col min="15113" max="15113" width="11.85546875" style="53" bestFit="1" customWidth="1"/>
    <col min="15114" max="15114" width="12.85546875" style="53" bestFit="1" customWidth="1"/>
    <col min="15115" max="15360" width="9.140625" style="53"/>
    <col min="15361" max="15361" width="9.28515625" style="53" customWidth="1"/>
    <col min="15362" max="15362" width="39.85546875" style="53" customWidth="1"/>
    <col min="15363" max="15363" width="18.28515625" style="53" customWidth="1"/>
    <col min="15364" max="15364" width="23.85546875" style="53" customWidth="1"/>
    <col min="15365" max="15365" width="16" style="53" bestFit="1" customWidth="1"/>
    <col min="15366" max="15366" width="13.7109375" style="53" bestFit="1" customWidth="1"/>
    <col min="15367" max="15367" width="15.7109375" style="53" bestFit="1" customWidth="1"/>
    <col min="15368" max="15368" width="13.140625" style="53" bestFit="1" customWidth="1"/>
    <col min="15369" max="15369" width="11.85546875" style="53" bestFit="1" customWidth="1"/>
    <col min="15370" max="15370" width="12.85546875" style="53" bestFit="1" customWidth="1"/>
    <col min="15371" max="15616" width="9.140625" style="53"/>
    <col min="15617" max="15617" width="9.28515625" style="53" customWidth="1"/>
    <col min="15618" max="15618" width="39.85546875" style="53" customWidth="1"/>
    <col min="15619" max="15619" width="18.28515625" style="53" customWidth="1"/>
    <col min="15620" max="15620" width="23.85546875" style="53" customWidth="1"/>
    <col min="15621" max="15621" width="16" style="53" bestFit="1" customWidth="1"/>
    <col min="15622" max="15622" width="13.7109375" style="53" bestFit="1" customWidth="1"/>
    <col min="15623" max="15623" width="15.7109375" style="53" bestFit="1" customWidth="1"/>
    <col min="15624" max="15624" width="13.140625" style="53" bestFit="1" customWidth="1"/>
    <col min="15625" max="15625" width="11.85546875" style="53" bestFit="1" customWidth="1"/>
    <col min="15626" max="15626" width="12.85546875" style="53" bestFit="1" customWidth="1"/>
    <col min="15627" max="15872" width="9.140625" style="53"/>
    <col min="15873" max="15873" width="9.28515625" style="53" customWidth="1"/>
    <col min="15874" max="15874" width="39.85546875" style="53" customWidth="1"/>
    <col min="15875" max="15875" width="18.28515625" style="53" customWidth="1"/>
    <col min="15876" max="15876" width="23.85546875" style="53" customWidth="1"/>
    <col min="15877" max="15877" width="16" style="53" bestFit="1" customWidth="1"/>
    <col min="15878" max="15878" width="13.7109375" style="53" bestFit="1" customWidth="1"/>
    <col min="15879" max="15879" width="15.7109375" style="53" bestFit="1" customWidth="1"/>
    <col min="15880" max="15880" width="13.140625" style="53" bestFit="1" customWidth="1"/>
    <col min="15881" max="15881" width="11.85546875" style="53" bestFit="1" customWidth="1"/>
    <col min="15882" max="15882" width="12.85546875" style="53" bestFit="1" customWidth="1"/>
    <col min="15883" max="16128" width="9.140625" style="53"/>
    <col min="16129" max="16129" width="9.28515625" style="53" customWidth="1"/>
    <col min="16130" max="16130" width="39.85546875" style="53" customWidth="1"/>
    <col min="16131" max="16131" width="18.28515625" style="53" customWidth="1"/>
    <col min="16132" max="16132" width="23.85546875" style="53" customWidth="1"/>
    <col min="16133" max="16133" width="16" style="53" bestFit="1" customWidth="1"/>
    <col min="16134" max="16134" width="13.7109375" style="53" bestFit="1" customWidth="1"/>
    <col min="16135" max="16135" width="15.7109375" style="53" bestFit="1" customWidth="1"/>
    <col min="16136" max="16136" width="13.140625" style="53" bestFit="1" customWidth="1"/>
    <col min="16137" max="16137" width="11.85546875" style="53" bestFit="1" customWidth="1"/>
    <col min="16138" max="16138" width="12.85546875" style="53" bestFit="1" customWidth="1"/>
    <col min="16139" max="16384" width="9.140625" style="53"/>
  </cols>
  <sheetData>
    <row r="3" spans="1:7" ht="15.75" customHeight="1">
      <c r="A3" s="543" t="s">
        <v>255</v>
      </c>
      <c r="B3" s="543"/>
      <c r="C3" s="543"/>
      <c r="D3" s="543"/>
      <c r="E3" s="52"/>
      <c r="F3" s="52"/>
      <c r="G3" s="52"/>
    </row>
    <row r="4" spans="1:7">
      <c r="A4" s="543"/>
      <c r="B4" s="543"/>
      <c r="C4" s="543"/>
      <c r="D4" s="543"/>
      <c r="E4" s="52"/>
      <c r="F4" s="52"/>
      <c r="G4" s="52"/>
    </row>
    <row r="5" spans="1:7">
      <c r="A5" s="54"/>
      <c r="B5" s="52"/>
      <c r="C5" s="52"/>
      <c r="D5" s="52"/>
      <c r="E5" s="52"/>
      <c r="F5" s="52"/>
      <c r="G5" s="52"/>
    </row>
    <row r="6" spans="1:7" ht="15.75" customHeight="1">
      <c r="A6" s="544" t="s">
        <v>550</v>
      </c>
      <c r="B6" s="544"/>
      <c r="C6" s="544"/>
      <c r="D6" s="544"/>
      <c r="E6" s="52"/>
      <c r="F6" s="52"/>
      <c r="G6" s="52"/>
    </row>
    <row r="7" spans="1:7">
      <c r="A7" s="522"/>
      <c r="B7" s="522"/>
      <c r="C7" s="522"/>
      <c r="D7" s="522"/>
    </row>
    <row r="8" spans="1:7">
      <c r="A8" s="237" t="s">
        <v>551</v>
      </c>
      <c r="B8" s="238"/>
      <c r="C8" s="187"/>
      <c r="D8" s="187"/>
    </row>
    <row r="9" spans="1:7">
      <c r="A9" s="522"/>
      <c r="B9" s="522"/>
      <c r="C9" s="522"/>
      <c r="D9" s="522"/>
    </row>
    <row r="10" spans="1:7">
      <c r="A10" s="57" t="s">
        <v>256</v>
      </c>
      <c r="B10" s="188"/>
      <c r="C10" s="187"/>
      <c r="D10" s="187"/>
    </row>
    <row r="11" spans="1:7">
      <c r="A11" s="59" t="s">
        <v>257</v>
      </c>
      <c r="B11" s="541" t="s">
        <v>258</v>
      </c>
      <c r="C11" s="542"/>
      <c r="D11" s="239">
        <v>42550</v>
      </c>
    </row>
    <row r="12" spans="1:7">
      <c r="A12" s="59" t="s">
        <v>259</v>
      </c>
      <c r="B12" s="62" t="s">
        <v>260</v>
      </c>
      <c r="C12" s="63"/>
      <c r="D12" s="240" t="s">
        <v>374</v>
      </c>
    </row>
    <row r="13" spans="1:7">
      <c r="A13" s="59" t="s">
        <v>261</v>
      </c>
      <c r="B13" s="541" t="s">
        <v>262</v>
      </c>
      <c r="C13" s="542"/>
      <c r="D13" s="240">
        <v>2016</v>
      </c>
    </row>
    <row r="14" spans="1:7">
      <c r="A14" s="64" t="s">
        <v>263</v>
      </c>
      <c r="B14" s="65" t="s">
        <v>555</v>
      </c>
      <c r="C14" s="66"/>
      <c r="D14" s="239">
        <v>42625</v>
      </c>
    </row>
    <row r="16" spans="1:7">
      <c r="A16" s="190"/>
    </row>
    <row r="17" spans="1:7">
      <c r="A17" s="523"/>
      <c r="B17" s="523"/>
      <c r="C17" s="523"/>
      <c r="D17" s="523"/>
      <c r="E17" s="523"/>
      <c r="F17" s="523"/>
      <c r="G17" s="523"/>
    </row>
    <row r="18" spans="1:7" ht="35.25" customHeight="1">
      <c r="A18" s="545" t="s">
        <v>264</v>
      </c>
      <c r="B18" s="545"/>
      <c r="C18" s="67" t="s">
        <v>265</v>
      </c>
      <c r="D18" s="67" t="s">
        <v>266</v>
      </c>
    </row>
    <row r="19" spans="1:7">
      <c r="A19" s="241">
        <v>1</v>
      </c>
      <c r="B19" s="242" t="s">
        <v>0</v>
      </c>
      <c r="C19" s="241" t="s">
        <v>267</v>
      </c>
      <c r="D19" s="243">
        <v>1</v>
      </c>
    </row>
    <row r="20" spans="1:7">
      <c r="A20" s="68"/>
      <c r="B20" s="69"/>
      <c r="C20" s="68"/>
      <c r="D20" s="70"/>
    </row>
    <row r="21" spans="1:7">
      <c r="A21" s="522" t="s">
        <v>268</v>
      </c>
      <c r="B21" s="522"/>
      <c r="C21" s="522"/>
      <c r="D21" s="522"/>
      <c r="E21" s="522"/>
      <c r="F21" s="522"/>
      <c r="G21" s="522"/>
    </row>
    <row r="22" spans="1:7">
      <c r="A22" s="71"/>
    </row>
    <row r="23" spans="1:7">
      <c r="A23" s="57" t="s">
        <v>269</v>
      </c>
    </row>
    <row r="24" spans="1:7">
      <c r="A24" s="57" t="s">
        <v>270</v>
      </c>
    </row>
    <row r="25" spans="1:7">
      <c r="A25" s="72" t="s">
        <v>271</v>
      </c>
      <c r="B25" s="60"/>
      <c r="C25" s="60"/>
      <c r="D25" s="61"/>
    </row>
    <row r="26" spans="1:7">
      <c r="A26" s="73">
        <v>1</v>
      </c>
      <c r="B26" s="74" t="s">
        <v>272</v>
      </c>
      <c r="C26" s="74"/>
      <c r="D26" s="244" t="str">
        <f>B19</f>
        <v>Copeira</v>
      </c>
    </row>
    <row r="27" spans="1:7" ht="30.75" customHeight="1">
      <c r="A27" s="73">
        <v>2</v>
      </c>
      <c r="B27" s="539" t="s">
        <v>273</v>
      </c>
      <c r="C27" s="540"/>
      <c r="D27" s="175">
        <v>1104</v>
      </c>
    </row>
    <row r="28" spans="1:7" ht="31.5" customHeight="1">
      <c r="A28" s="73">
        <v>3</v>
      </c>
      <c r="B28" s="539" t="s">
        <v>274</v>
      </c>
      <c r="C28" s="540"/>
      <c r="D28" s="176" t="s">
        <v>375</v>
      </c>
    </row>
    <row r="29" spans="1:7">
      <c r="A29" s="75">
        <v>4</v>
      </c>
      <c r="B29" s="76" t="s">
        <v>275</v>
      </c>
      <c r="C29" s="76"/>
      <c r="D29" s="77">
        <v>42401</v>
      </c>
    </row>
    <row r="30" spans="1:7">
      <c r="A30" s="71"/>
    </row>
    <row r="31" spans="1:7">
      <c r="A31" s="71"/>
    </row>
    <row r="32" spans="1:7">
      <c r="A32" s="71"/>
    </row>
    <row r="33" spans="1:7" ht="16.5" customHeight="1" thickBot="1">
      <c r="A33" s="523" t="s">
        <v>276</v>
      </c>
      <c r="B33" s="523"/>
      <c r="C33" s="523"/>
      <c r="D33" s="523"/>
      <c r="E33" s="523"/>
      <c r="F33" s="52"/>
      <c r="G33" s="52"/>
    </row>
    <row r="34" spans="1:7" ht="16.5" thickBot="1">
      <c r="A34" s="78" t="s">
        <v>277</v>
      </c>
      <c r="B34" s="79" t="s">
        <v>278</v>
      </c>
      <c r="C34" s="80"/>
      <c r="D34" s="81" t="s">
        <v>279</v>
      </c>
    </row>
    <row r="35" spans="1:7">
      <c r="A35" s="82" t="s">
        <v>257</v>
      </c>
      <c r="B35" s="83" t="s">
        <v>280</v>
      </c>
      <c r="C35" s="84"/>
      <c r="D35" s="85">
        <f>ROUND(((D27/220)*(365.25/12)*(30/6)),2)</f>
        <v>763.7</v>
      </c>
    </row>
    <row r="36" spans="1:7">
      <c r="A36" s="191" t="s">
        <v>259</v>
      </c>
      <c r="B36" s="87" t="s">
        <v>281</v>
      </c>
      <c r="C36" s="88"/>
      <c r="D36" s="89">
        <v>0</v>
      </c>
    </row>
    <row r="37" spans="1:7">
      <c r="A37" s="191" t="s">
        <v>261</v>
      </c>
      <c r="B37" s="87" t="s">
        <v>282</v>
      </c>
      <c r="C37" s="90"/>
      <c r="D37" s="89">
        <v>0</v>
      </c>
    </row>
    <row r="38" spans="1:7">
      <c r="A38" s="191" t="s">
        <v>263</v>
      </c>
      <c r="B38" s="91" t="s">
        <v>552</v>
      </c>
      <c r="C38" s="88"/>
      <c r="D38" s="89">
        <v>0</v>
      </c>
    </row>
    <row r="39" spans="1:7">
      <c r="A39" s="191" t="s">
        <v>284</v>
      </c>
      <c r="B39" s="91" t="s">
        <v>285</v>
      </c>
      <c r="C39" s="92"/>
      <c r="D39" s="89">
        <v>0</v>
      </c>
    </row>
    <row r="40" spans="1:7">
      <c r="A40" s="191" t="s">
        <v>286</v>
      </c>
      <c r="B40" s="93" t="s">
        <v>287</v>
      </c>
      <c r="C40" s="92"/>
      <c r="D40" s="89">
        <v>0</v>
      </c>
    </row>
    <row r="41" spans="1:7">
      <c r="A41" s="191" t="s">
        <v>288</v>
      </c>
      <c r="B41" s="93" t="s">
        <v>289</v>
      </c>
      <c r="C41" s="92"/>
      <c r="D41" s="89">
        <v>0</v>
      </c>
    </row>
    <row r="42" spans="1:7" ht="16.5" thickBot="1">
      <c r="A42" s="191" t="s">
        <v>290</v>
      </c>
      <c r="B42" s="94" t="s">
        <v>376</v>
      </c>
      <c r="C42" s="95"/>
      <c r="D42" s="89">
        <v>0</v>
      </c>
    </row>
    <row r="43" spans="1:7" ht="16.5" thickBot="1">
      <c r="A43" s="96"/>
      <c r="B43" s="97" t="s">
        <v>292</v>
      </c>
      <c r="C43" s="98"/>
      <c r="D43" s="99">
        <f>SUM(D35:D42)</f>
        <v>763.7</v>
      </c>
    </row>
    <row r="44" spans="1:7">
      <c r="A44" s="190"/>
    </row>
    <row r="45" spans="1:7" ht="16.5" thickBot="1">
      <c r="A45" s="523" t="s">
        <v>293</v>
      </c>
      <c r="B45" s="523"/>
      <c r="C45" s="523"/>
      <c r="D45" s="523"/>
      <c r="E45" s="523"/>
      <c r="F45" s="523"/>
      <c r="G45" s="523"/>
    </row>
    <row r="46" spans="1:7" ht="16.5" thickBot="1">
      <c r="A46" s="100">
        <v>2</v>
      </c>
      <c r="B46" s="189" t="s">
        <v>294</v>
      </c>
      <c r="C46" s="102"/>
      <c r="D46" s="100" t="s">
        <v>279</v>
      </c>
    </row>
    <row r="47" spans="1:7">
      <c r="A47" s="82" t="s">
        <v>257</v>
      </c>
      <c r="B47" s="83" t="s">
        <v>295</v>
      </c>
      <c r="C47" s="103"/>
      <c r="D47" s="104">
        <f>(3.7*44)-(D35*6%)</f>
        <v>116.97800000000001</v>
      </c>
    </row>
    <row r="48" spans="1:7" ht="31.5">
      <c r="A48" s="105" t="s">
        <v>259</v>
      </c>
      <c r="B48" s="106" t="s">
        <v>296</v>
      </c>
      <c r="C48" s="90"/>
      <c r="D48" s="107">
        <f>330*(1-20%)</f>
        <v>264</v>
      </c>
    </row>
    <row r="49" spans="1:7">
      <c r="A49" s="191" t="s">
        <v>261</v>
      </c>
      <c r="B49" s="87" t="s">
        <v>389</v>
      </c>
      <c r="C49" s="90"/>
      <c r="D49" s="107">
        <v>50</v>
      </c>
    </row>
    <row r="50" spans="1:7">
      <c r="A50" s="191" t="s">
        <v>263</v>
      </c>
      <c r="B50" s="87" t="s">
        <v>297</v>
      </c>
      <c r="C50" s="88"/>
      <c r="D50" s="107">
        <v>0</v>
      </c>
    </row>
    <row r="51" spans="1:7">
      <c r="A51" s="191" t="s">
        <v>284</v>
      </c>
      <c r="B51" s="87" t="s">
        <v>390</v>
      </c>
      <c r="C51" s="92"/>
      <c r="D51" s="108">
        <v>16</v>
      </c>
    </row>
    <row r="52" spans="1:7" ht="16.5" customHeight="1">
      <c r="A52" s="191" t="s">
        <v>286</v>
      </c>
      <c r="B52" s="535" t="s">
        <v>377</v>
      </c>
      <c r="C52" s="536"/>
      <c r="D52" s="108">
        <v>16</v>
      </c>
    </row>
    <row r="53" spans="1:7" ht="16.5" thickBot="1">
      <c r="A53" s="109" t="s">
        <v>288</v>
      </c>
      <c r="B53" s="537" t="s">
        <v>291</v>
      </c>
      <c r="C53" s="538"/>
      <c r="D53" s="110">
        <v>0</v>
      </c>
    </row>
    <row r="54" spans="1:7" ht="16.5" thickBot="1">
      <c r="A54" s="111"/>
      <c r="B54" s="189" t="s">
        <v>298</v>
      </c>
      <c r="C54" s="112"/>
      <c r="D54" s="113">
        <f>SUM(D47:D53)</f>
        <v>462.97800000000001</v>
      </c>
    </row>
    <row r="55" spans="1:7" ht="33" customHeight="1">
      <c r="A55" s="522" t="s">
        <v>299</v>
      </c>
      <c r="B55" s="522"/>
      <c r="C55" s="522"/>
      <c r="D55" s="522"/>
    </row>
    <row r="56" spans="1:7">
      <c r="A56" s="190"/>
    </row>
    <row r="57" spans="1:7" ht="16.5" thickBot="1">
      <c r="A57" s="523" t="s">
        <v>300</v>
      </c>
      <c r="B57" s="523"/>
      <c r="C57" s="523"/>
      <c r="D57" s="523"/>
      <c r="E57" s="523"/>
      <c r="F57" s="523"/>
      <c r="G57" s="523"/>
    </row>
    <row r="58" spans="1:7" ht="16.5" thickBot="1">
      <c r="A58" s="114">
        <v>3</v>
      </c>
      <c r="B58" s="189" t="s">
        <v>301</v>
      </c>
      <c r="C58" s="102"/>
      <c r="D58" s="100" t="s">
        <v>279</v>
      </c>
    </row>
    <row r="59" spans="1:7">
      <c r="A59" s="82" t="s">
        <v>257</v>
      </c>
      <c r="B59" s="83" t="s">
        <v>302</v>
      </c>
      <c r="C59" s="115"/>
      <c r="D59" s="116">
        <f>'ANEXO IV'!D43</f>
        <v>39.5</v>
      </c>
    </row>
    <row r="60" spans="1:7">
      <c r="A60" s="105" t="s">
        <v>259</v>
      </c>
      <c r="B60" s="106" t="s">
        <v>15</v>
      </c>
      <c r="C60" s="90"/>
      <c r="D60" s="107">
        <v>0</v>
      </c>
    </row>
    <row r="61" spans="1:7">
      <c r="A61" s="191" t="s">
        <v>261</v>
      </c>
      <c r="B61" s="87" t="s">
        <v>21</v>
      </c>
      <c r="C61" s="90"/>
      <c r="D61" s="107">
        <v>0</v>
      </c>
    </row>
    <row r="62" spans="1:7">
      <c r="A62" s="191" t="s">
        <v>263</v>
      </c>
      <c r="B62" s="535" t="s">
        <v>18</v>
      </c>
      <c r="C62" s="536"/>
      <c r="D62" s="108">
        <v>0</v>
      </c>
    </row>
    <row r="63" spans="1:7" ht="16.5" thickBot="1">
      <c r="A63" s="109" t="s">
        <v>284</v>
      </c>
      <c r="B63" s="537" t="s">
        <v>291</v>
      </c>
      <c r="C63" s="538"/>
      <c r="D63" s="110">
        <v>0</v>
      </c>
    </row>
    <row r="64" spans="1:7" ht="16.5" thickBot="1">
      <c r="A64" s="111"/>
      <c r="B64" s="189" t="s">
        <v>303</v>
      </c>
      <c r="C64" s="112"/>
      <c r="D64" s="113">
        <f>SUM(D59:D63)</f>
        <v>39.5</v>
      </c>
    </row>
    <row r="65" spans="1:7">
      <c r="A65" s="522" t="s">
        <v>304</v>
      </c>
      <c r="B65" s="522"/>
      <c r="C65" s="522"/>
      <c r="D65" s="522"/>
      <c r="E65" s="522"/>
      <c r="F65" s="522"/>
      <c r="G65" s="522"/>
    </row>
    <row r="66" spans="1:7">
      <c r="A66" s="190"/>
    </row>
    <row r="67" spans="1:7">
      <c r="A67" s="523" t="s">
        <v>305</v>
      </c>
      <c r="B67" s="523"/>
      <c r="C67" s="523"/>
      <c r="D67" s="523"/>
      <c r="E67" s="523"/>
      <c r="F67" s="523"/>
      <c r="G67" s="523"/>
    </row>
    <row r="68" spans="1:7" ht="16.5" thickBot="1">
      <c r="A68" s="523" t="s">
        <v>306</v>
      </c>
      <c r="B68" s="523"/>
      <c r="C68" s="523"/>
      <c r="D68" s="523"/>
      <c r="E68" s="523"/>
      <c r="F68" s="523"/>
      <c r="G68" s="523"/>
    </row>
    <row r="69" spans="1:7" ht="16.5" thickBot="1">
      <c r="A69" s="117" t="s">
        <v>307</v>
      </c>
      <c r="B69" s="118" t="s">
        <v>308</v>
      </c>
      <c r="C69" s="117" t="s">
        <v>4</v>
      </c>
      <c r="D69" s="117" t="s">
        <v>279</v>
      </c>
    </row>
    <row r="70" spans="1:7">
      <c r="A70" s="82" t="s">
        <v>257</v>
      </c>
      <c r="B70" s="119" t="s">
        <v>8</v>
      </c>
      <c r="C70" s="120">
        <v>0.2</v>
      </c>
      <c r="D70" s="104">
        <f t="shared" ref="D70:D77" si="0">ROUND($D$43*C70,2)</f>
        <v>152.74</v>
      </c>
    </row>
    <row r="71" spans="1:7">
      <c r="A71" s="105" t="s">
        <v>259</v>
      </c>
      <c r="B71" s="121" t="s">
        <v>309</v>
      </c>
      <c r="C71" s="122">
        <v>1.4999999999999999E-2</v>
      </c>
      <c r="D71" s="107">
        <f t="shared" si="0"/>
        <v>11.46</v>
      </c>
    </row>
    <row r="72" spans="1:7">
      <c r="A72" s="191" t="s">
        <v>261</v>
      </c>
      <c r="B72" s="123" t="s">
        <v>310</v>
      </c>
      <c r="C72" s="122">
        <v>0.01</v>
      </c>
      <c r="D72" s="107">
        <f t="shared" si="0"/>
        <v>7.64</v>
      </c>
    </row>
    <row r="73" spans="1:7">
      <c r="A73" s="105" t="s">
        <v>263</v>
      </c>
      <c r="B73" s="121" t="s">
        <v>9</v>
      </c>
      <c r="C73" s="122">
        <v>2E-3</v>
      </c>
      <c r="D73" s="107">
        <f t="shared" si="0"/>
        <v>1.53</v>
      </c>
    </row>
    <row r="74" spans="1:7">
      <c r="A74" s="191" t="s">
        <v>284</v>
      </c>
      <c r="B74" s="123" t="s">
        <v>10</v>
      </c>
      <c r="C74" s="122">
        <v>2.5000000000000001E-2</v>
      </c>
      <c r="D74" s="107">
        <f t="shared" si="0"/>
        <v>19.09</v>
      </c>
    </row>
    <row r="75" spans="1:7">
      <c r="A75" s="105" t="s">
        <v>286</v>
      </c>
      <c r="B75" s="121" t="s">
        <v>11</v>
      </c>
      <c r="C75" s="122">
        <v>0.08</v>
      </c>
      <c r="D75" s="107">
        <f t="shared" si="0"/>
        <v>61.1</v>
      </c>
    </row>
    <row r="76" spans="1:7" ht="31.5">
      <c r="A76" s="191" t="s">
        <v>288</v>
      </c>
      <c r="B76" s="123" t="s">
        <v>378</v>
      </c>
      <c r="C76" s="141">
        <v>3.0499999999999999E-2</v>
      </c>
      <c r="D76" s="245">
        <f t="shared" si="0"/>
        <v>23.29</v>
      </c>
    </row>
    <row r="77" spans="1:7" ht="16.5" thickBot="1">
      <c r="A77" s="124" t="s">
        <v>290</v>
      </c>
      <c r="B77" s="125" t="s">
        <v>12</v>
      </c>
      <c r="C77" s="126">
        <v>6.0000000000000001E-3</v>
      </c>
      <c r="D77" s="110">
        <f t="shared" si="0"/>
        <v>4.58</v>
      </c>
    </row>
    <row r="78" spans="1:7" ht="16.5" thickBot="1">
      <c r="A78" s="530" t="s">
        <v>7</v>
      </c>
      <c r="B78" s="531"/>
      <c r="C78" s="127">
        <f>SUM(C70:C77)</f>
        <v>0.36850000000000005</v>
      </c>
      <c r="D78" s="113">
        <f>SUM(D70:D77)</f>
        <v>281.43</v>
      </c>
    </row>
    <row r="79" spans="1:7">
      <c r="A79" s="534" t="s">
        <v>311</v>
      </c>
      <c r="B79" s="534"/>
      <c r="C79" s="534"/>
      <c r="D79" s="534"/>
    </row>
    <row r="80" spans="1:7" ht="16.5" customHeight="1">
      <c r="A80" s="534" t="s">
        <v>312</v>
      </c>
      <c r="B80" s="534"/>
      <c r="C80" s="534"/>
      <c r="D80" s="534"/>
    </row>
    <row r="81" spans="1:7">
      <c r="A81" s="190"/>
    </row>
    <row r="82" spans="1:7" ht="16.5" thickBot="1">
      <c r="A82" s="523" t="s">
        <v>313</v>
      </c>
      <c r="B82" s="523"/>
      <c r="C82" s="523"/>
      <c r="D82" s="523"/>
      <c r="E82" s="523"/>
      <c r="F82" s="523"/>
      <c r="G82" s="523"/>
    </row>
    <row r="83" spans="1:7" ht="16.5" thickBot="1">
      <c r="A83" s="117" t="s">
        <v>314</v>
      </c>
      <c r="B83" s="118" t="s">
        <v>315</v>
      </c>
      <c r="C83" s="117" t="s">
        <v>4</v>
      </c>
      <c r="D83" s="117" t="s">
        <v>279</v>
      </c>
    </row>
    <row r="84" spans="1:7">
      <c r="A84" s="82" t="s">
        <v>257</v>
      </c>
      <c r="B84" s="119" t="s">
        <v>316</v>
      </c>
      <c r="C84" s="120">
        <f>((5/56)*100)/100</f>
        <v>8.9285714285714288E-2</v>
      </c>
      <c r="D84" s="104">
        <f>ROUND($D$43*C84,2)</f>
        <v>68.19</v>
      </c>
    </row>
    <row r="85" spans="1:7">
      <c r="A85" s="105" t="s">
        <v>259</v>
      </c>
      <c r="B85" s="121" t="s">
        <v>317</v>
      </c>
      <c r="C85" s="128">
        <f>(1/3)*(5/56)</f>
        <v>2.976190476190476E-2</v>
      </c>
      <c r="D85" s="129">
        <f>ROUND($D$43*C85,2)</f>
        <v>22.73</v>
      </c>
    </row>
    <row r="86" spans="1:7">
      <c r="A86" s="130" t="s">
        <v>318</v>
      </c>
      <c r="B86" s="121"/>
      <c r="C86" s="131">
        <f>SUM(C84:C85)</f>
        <v>0.11904761904761904</v>
      </c>
      <c r="D86" s="132">
        <f>SUM(D84:D85)</f>
        <v>90.92</v>
      </c>
    </row>
    <row r="87" spans="1:7" ht="32.25" thickBot="1">
      <c r="A87" s="105" t="s">
        <v>261</v>
      </c>
      <c r="B87" s="121" t="s">
        <v>319</v>
      </c>
      <c r="C87" s="122">
        <f>D87/D43</f>
        <v>4.3865392169700139E-2</v>
      </c>
      <c r="D87" s="107">
        <f>ROUND(D78*C86,2)</f>
        <v>33.5</v>
      </c>
    </row>
    <row r="88" spans="1:7" ht="16.5" thickBot="1">
      <c r="A88" s="530" t="s">
        <v>7</v>
      </c>
      <c r="B88" s="531"/>
      <c r="C88" s="127">
        <f>C87+C86</f>
        <v>0.16291301121731919</v>
      </c>
      <c r="D88" s="113">
        <f>D86+D87</f>
        <v>124.42</v>
      </c>
    </row>
    <row r="89" spans="1:7">
      <c r="A89" s="190"/>
    </row>
    <row r="90" spans="1:7" ht="16.5" thickBot="1">
      <c r="A90" s="523" t="s">
        <v>320</v>
      </c>
      <c r="B90" s="523"/>
      <c r="C90" s="523"/>
      <c r="D90" s="523"/>
      <c r="E90" s="523"/>
      <c r="F90" s="523"/>
      <c r="G90" s="523"/>
    </row>
    <row r="91" spans="1:7" ht="16.5" thickBot="1">
      <c r="A91" s="117" t="s">
        <v>321</v>
      </c>
      <c r="B91" s="118" t="s">
        <v>322</v>
      </c>
      <c r="C91" s="117" t="s">
        <v>4</v>
      </c>
      <c r="D91" s="117" t="s">
        <v>279</v>
      </c>
    </row>
    <row r="92" spans="1:7">
      <c r="A92" s="82" t="s">
        <v>257</v>
      </c>
      <c r="B92" s="133" t="s">
        <v>323</v>
      </c>
      <c r="C92" s="120">
        <f>0.1111*0.02*0.3333</f>
        <v>7.4059259999999997E-4</v>
      </c>
      <c r="D92" s="104">
        <f>ROUND($D$43*C92,2)</f>
        <v>0.56999999999999995</v>
      </c>
    </row>
    <row r="93" spans="1:7" ht="32.25" thickBot="1">
      <c r="A93" s="109" t="s">
        <v>259</v>
      </c>
      <c r="B93" s="134" t="s">
        <v>324</v>
      </c>
      <c r="C93" s="126">
        <f>D93/D43</f>
        <v>2.7497708524289638E-4</v>
      </c>
      <c r="D93" s="110">
        <f>ROUND(D78*C92,2)</f>
        <v>0.21</v>
      </c>
    </row>
    <row r="94" spans="1:7" ht="16.5" thickBot="1">
      <c r="A94" s="530" t="s">
        <v>7</v>
      </c>
      <c r="B94" s="531"/>
      <c r="C94" s="127">
        <f>SUM(C92:C93)</f>
        <v>1.0155696852428963E-3</v>
      </c>
      <c r="D94" s="113">
        <f>SUM(D92:D93)</f>
        <v>0.77999999999999992</v>
      </c>
    </row>
    <row r="95" spans="1:7">
      <c r="A95" s="190"/>
    </row>
    <row r="96" spans="1:7">
      <c r="A96" s="190"/>
    </row>
    <row r="97" spans="1:7" ht="16.5" thickBot="1">
      <c r="A97" s="523" t="s">
        <v>325</v>
      </c>
      <c r="B97" s="523"/>
      <c r="C97" s="523"/>
      <c r="D97" s="523"/>
      <c r="E97" s="523"/>
      <c r="F97" s="523"/>
      <c r="G97" s="523"/>
    </row>
    <row r="98" spans="1:7" ht="16.5" thickBot="1">
      <c r="A98" s="117" t="s">
        <v>326</v>
      </c>
      <c r="B98" s="118" t="s">
        <v>327</v>
      </c>
      <c r="C98" s="117" t="s">
        <v>4</v>
      </c>
      <c r="D98" s="117" t="s">
        <v>279</v>
      </c>
    </row>
    <row r="99" spans="1:7">
      <c r="A99" s="82" t="s">
        <v>257</v>
      </c>
      <c r="B99" s="133" t="s">
        <v>328</v>
      </c>
      <c r="C99" s="135">
        <f>((1/12)*0.05)</f>
        <v>4.1666666666666666E-3</v>
      </c>
      <c r="D99" s="104">
        <f>ROUND($D$43*C99,2)</f>
        <v>3.18</v>
      </c>
    </row>
    <row r="100" spans="1:7" ht="31.5">
      <c r="A100" s="191" t="s">
        <v>259</v>
      </c>
      <c r="B100" s="91" t="s">
        <v>329</v>
      </c>
      <c r="C100" s="136">
        <f>D100/D43</f>
        <v>3.2735367290821001E-4</v>
      </c>
      <c r="D100" s="137">
        <f>ROUND(D75*C99,2)</f>
        <v>0.25</v>
      </c>
    </row>
    <row r="101" spans="1:7">
      <c r="A101" s="191" t="s">
        <v>261</v>
      </c>
      <c r="B101" s="138" t="s">
        <v>330</v>
      </c>
      <c r="C101" s="139">
        <f>0.08*0.5*0.9*(1+(5/56)+(5/56)+(1/3)*(5/56))</f>
        <v>4.3499999999999997E-2</v>
      </c>
      <c r="D101" s="107">
        <f>ROUND($D$43*C101,2)</f>
        <v>33.22</v>
      </c>
    </row>
    <row r="102" spans="1:7">
      <c r="A102" s="191" t="s">
        <v>263</v>
      </c>
      <c r="B102" s="138" t="s">
        <v>331</v>
      </c>
      <c r="C102" s="140">
        <f>(((7/30)/12))</f>
        <v>1.9444444444444445E-2</v>
      </c>
      <c r="D102" s="107">
        <f>ROUND($D$43*C102,2)</f>
        <v>14.85</v>
      </c>
    </row>
    <row r="103" spans="1:7" ht="31.5">
      <c r="A103" s="191" t="s">
        <v>284</v>
      </c>
      <c r="B103" s="138" t="s">
        <v>332</v>
      </c>
      <c r="C103" s="141">
        <f>D103/D43</f>
        <v>7.1624983632316347E-3</v>
      </c>
      <c r="D103" s="107">
        <f>ROUND(D78*C102,2)</f>
        <v>5.47</v>
      </c>
    </row>
    <row r="104" spans="1:7" ht="16.5" thickBot="1">
      <c r="A104" s="109" t="s">
        <v>286</v>
      </c>
      <c r="B104" s="134" t="s">
        <v>333</v>
      </c>
      <c r="C104" s="142">
        <f>(40%+10%)*C75*C102</f>
        <v>7.7777777777777784E-4</v>
      </c>
      <c r="D104" s="107">
        <f>ROUND($D$43*C104,2)</f>
        <v>0.59</v>
      </c>
    </row>
    <row r="105" spans="1:7" ht="16.5" thickBot="1">
      <c r="A105" s="525" t="s">
        <v>7</v>
      </c>
      <c r="B105" s="526"/>
      <c r="C105" s="127">
        <f>SUM(C99:C104)</f>
        <v>7.5378740925028734E-2</v>
      </c>
      <c r="D105" s="143">
        <f>SUM(D99:D104)</f>
        <v>57.56</v>
      </c>
    </row>
    <row r="106" spans="1:7">
      <c r="A106" s="71"/>
    </row>
    <row r="107" spans="1:7" ht="16.5" thickBot="1">
      <c r="A107" s="523" t="s">
        <v>334</v>
      </c>
      <c r="B107" s="523"/>
      <c r="C107" s="523"/>
      <c r="D107" s="523"/>
      <c r="E107" s="523"/>
      <c r="F107" s="523"/>
      <c r="G107" s="523"/>
    </row>
    <row r="108" spans="1:7" ht="32.25" thickBot="1">
      <c r="A108" s="117" t="s">
        <v>335</v>
      </c>
      <c r="B108" s="118" t="s">
        <v>336</v>
      </c>
      <c r="C108" s="117" t="s">
        <v>4</v>
      </c>
      <c r="D108" s="117" t="s">
        <v>279</v>
      </c>
    </row>
    <row r="109" spans="1:7">
      <c r="A109" s="82" t="s">
        <v>257</v>
      </c>
      <c r="B109" s="133" t="s">
        <v>13</v>
      </c>
      <c r="C109" s="144">
        <f>(5/56)</f>
        <v>8.9285714285714288E-2</v>
      </c>
      <c r="D109" s="107">
        <f t="shared" ref="D109:D114" si="1">ROUND($D$43*C109,2)</f>
        <v>68.19</v>
      </c>
    </row>
    <row r="110" spans="1:7">
      <c r="A110" s="191" t="s">
        <v>259</v>
      </c>
      <c r="B110" s="138" t="s">
        <v>379</v>
      </c>
      <c r="C110" s="122">
        <f>(10.96/30)/12</f>
        <v>3.0444444444444444E-2</v>
      </c>
      <c r="D110" s="107">
        <f t="shared" si="1"/>
        <v>23.25</v>
      </c>
      <c r="E110" s="184"/>
    </row>
    <row r="111" spans="1:7">
      <c r="A111" s="191" t="s">
        <v>261</v>
      </c>
      <c r="B111" s="138" t="s">
        <v>337</v>
      </c>
      <c r="C111" s="122">
        <f>((5/30)/12)*0.015</f>
        <v>2.0833333333333332E-4</v>
      </c>
      <c r="D111" s="107">
        <f t="shared" si="1"/>
        <v>0.16</v>
      </c>
    </row>
    <row r="112" spans="1:7">
      <c r="A112" s="191" t="s">
        <v>263</v>
      </c>
      <c r="B112" s="138" t="s">
        <v>338</v>
      </c>
      <c r="C112" s="122">
        <f>((1/30)/12)</f>
        <v>2.7777777777777779E-3</v>
      </c>
      <c r="D112" s="107">
        <f t="shared" si="1"/>
        <v>2.12</v>
      </c>
    </row>
    <row r="113" spans="1:7">
      <c r="A113" s="191" t="s">
        <v>284</v>
      </c>
      <c r="B113" s="138" t="s">
        <v>339</v>
      </c>
      <c r="C113" s="122">
        <f>((15/30)/12)*0.0078</f>
        <v>3.2499999999999999E-4</v>
      </c>
      <c r="D113" s="107">
        <f t="shared" si="1"/>
        <v>0.25</v>
      </c>
    </row>
    <row r="114" spans="1:7">
      <c r="A114" s="191" t="s">
        <v>286</v>
      </c>
      <c r="B114" s="138" t="s">
        <v>291</v>
      </c>
      <c r="C114" s="145"/>
      <c r="D114" s="107">
        <f t="shared" si="1"/>
        <v>0</v>
      </c>
    </row>
    <row r="115" spans="1:7">
      <c r="A115" s="532" t="s">
        <v>318</v>
      </c>
      <c r="B115" s="533"/>
      <c r="C115" s="122">
        <f>SUM(C109:C114)</f>
        <v>0.12304126984126985</v>
      </c>
      <c r="D115" s="107">
        <f>SUM(D109:D114)</f>
        <v>93.97</v>
      </c>
    </row>
    <row r="116" spans="1:7" ht="32.25" thickBot="1">
      <c r="A116" s="109" t="s">
        <v>288</v>
      </c>
      <c r="B116" s="134" t="s">
        <v>340</v>
      </c>
      <c r="C116" s="142">
        <f>D116/$D$43</f>
        <v>4.5345030771245257E-2</v>
      </c>
      <c r="D116" s="107">
        <f>ROUND(D78*C115,2)</f>
        <v>34.630000000000003</v>
      </c>
    </row>
    <row r="117" spans="1:7" ht="16.5" thickBot="1">
      <c r="A117" s="525" t="s">
        <v>7</v>
      </c>
      <c r="B117" s="526"/>
      <c r="C117" s="127">
        <f>C116+C115</f>
        <v>0.16838630061251511</v>
      </c>
      <c r="D117" s="146">
        <f>D116+D115</f>
        <v>128.6</v>
      </c>
    </row>
    <row r="118" spans="1:7">
      <c r="A118" s="190" t="s">
        <v>341</v>
      </c>
    </row>
    <row r="119" spans="1:7" ht="16.5" thickBot="1">
      <c r="A119" s="522" t="s">
        <v>342</v>
      </c>
      <c r="B119" s="522"/>
      <c r="C119" s="522"/>
      <c r="D119" s="522"/>
      <c r="E119" s="522"/>
      <c r="F119" s="522"/>
      <c r="G119" s="522"/>
    </row>
    <row r="120" spans="1:7" ht="32.25" customHeight="1" thickBot="1">
      <c r="A120" s="147">
        <v>4</v>
      </c>
      <c r="B120" s="148" t="s">
        <v>343</v>
      </c>
      <c r="C120" s="149" t="s">
        <v>4</v>
      </c>
      <c r="D120" s="150" t="s">
        <v>279</v>
      </c>
    </row>
    <row r="121" spans="1:7">
      <c r="A121" s="82" t="s">
        <v>307</v>
      </c>
      <c r="B121" s="133" t="s">
        <v>344</v>
      </c>
      <c r="C121" s="142">
        <f t="shared" ref="C121:C126" si="2">D121/$D$43</f>
        <v>0.16291737593295796</v>
      </c>
      <c r="D121" s="107">
        <f>D88</f>
        <v>124.42</v>
      </c>
    </row>
    <row r="122" spans="1:7">
      <c r="A122" s="191" t="s">
        <v>314</v>
      </c>
      <c r="B122" s="138" t="s">
        <v>308</v>
      </c>
      <c r="C122" s="142">
        <f t="shared" si="2"/>
        <v>0.36850857666623016</v>
      </c>
      <c r="D122" s="107">
        <f>D78</f>
        <v>281.43</v>
      </c>
    </row>
    <row r="123" spans="1:7">
      <c r="A123" s="191" t="s">
        <v>321</v>
      </c>
      <c r="B123" s="138" t="s">
        <v>323</v>
      </c>
      <c r="C123" s="142">
        <f t="shared" si="2"/>
        <v>1.021343459473615E-3</v>
      </c>
      <c r="D123" s="107">
        <f>D94</f>
        <v>0.77999999999999992</v>
      </c>
    </row>
    <row r="124" spans="1:7">
      <c r="A124" s="151" t="s">
        <v>326</v>
      </c>
      <c r="B124" s="152" t="s">
        <v>345</v>
      </c>
      <c r="C124" s="142">
        <f t="shared" si="2"/>
        <v>7.5369909650386271E-2</v>
      </c>
      <c r="D124" s="107">
        <f>D105</f>
        <v>57.56</v>
      </c>
    </row>
    <row r="125" spans="1:7">
      <c r="A125" s="153" t="s">
        <v>335</v>
      </c>
      <c r="B125" s="154" t="s">
        <v>346</v>
      </c>
      <c r="C125" s="142">
        <f t="shared" si="2"/>
        <v>0.16839072934398322</v>
      </c>
      <c r="D125" s="107">
        <f>D117</f>
        <v>128.6</v>
      </c>
    </row>
    <row r="126" spans="1:7" ht="16.5" thickBot="1">
      <c r="A126" s="191" t="s">
        <v>347</v>
      </c>
      <c r="B126" s="138" t="s">
        <v>291</v>
      </c>
      <c r="C126" s="142">
        <f t="shared" si="2"/>
        <v>0</v>
      </c>
      <c r="D126" s="107">
        <v>0</v>
      </c>
    </row>
    <row r="127" spans="1:7" ht="37.5" customHeight="1" thickBot="1">
      <c r="A127" s="530" t="s">
        <v>348</v>
      </c>
      <c r="B127" s="531"/>
      <c r="C127" s="127">
        <f>SUM(C121:C126)</f>
        <v>0.77620793505303121</v>
      </c>
      <c r="D127" s="113">
        <f>SUM(D121:D126)</f>
        <v>592.79</v>
      </c>
    </row>
    <row r="128" spans="1:7">
      <c r="A128" s="155"/>
      <c r="B128" s="155"/>
      <c r="C128" s="156"/>
      <c r="D128" s="157"/>
      <c r="E128" s="158"/>
      <c r="F128" s="159"/>
      <c r="G128" s="159"/>
    </row>
    <row r="129" spans="1:8" ht="16.5" thickBot="1">
      <c r="A129" s="522" t="s">
        <v>349</v>
      </c>
      <c r="B129" s="522"/>
      <c r="C129" s="522"/>
      <c r="D129" s="522"/>
      <c r="E129" s="522"/>
      <c r="F129" s="522"/>
      <c r="G129" s="522"/>
      <c r="H129" s="160"/>
    </row>
    <row r="130" spans="1:8" ht="16.5" thickBot="1">
      <c r="A130" s="147" t="s">
        <v>350</v>
      </c>
      <c r="B130" s="148" t="s">
        <v>351</v>
      </c>
      <c r="C130" s="149" t="s">
        <v>4</v>
      </c>
      <c r="D130" s="114" t="s">
        <v>279</v>
      </c>
      <c r="E130" s="161">
        <f>D43+D54+D64+D78+D88+D94+D105+D117</f>
        <v>1858.9680000000001</v>
      </c>
      <c r="G130" s="160"/>
    </row>
    <row r="131" spans="1:8">
      <c r="A131" s="82" t="s">
        <v>257</v>
      </c>
      <c r="B131" s="133" t="s">
        <v>352</v>
      </c>
      <c r="C131" s="162">
        <v>7.2307999999999997E-2</v>
      </c>
      <c r="D131" s="163">
        <f>E130*C131</f>
        <v>134.41825814399999</v>
      </c>
      <c r="G131" s="160"/>
    </row>
    <row r="132" spans="1:8">
      <c r="A132" s="191" t="s">
        <v>259</v>
      </c>
      <c r="B132" s="138" t="s">
        <v>353</v>
      </c>
      <c r="C132" s="142"/>
      <c r="D132" s="164"/>
      <c r="F132" s="165"/>
    </row>
    <row r="133" spans="1:8">
      <c r="A133" s="191"/>
      <c r="B133" s="138" t="s">
        <v>354</v>
      </c>
      <c r="C133" s="142"/>
      <c r="D133" s="129"/>
      <c r="F133" s="182"/>
      <c r="G133" s="160"/>
    </row>
    <row r="134" spans="1:8">
      <c r="A134" s="191"/>
      <c r="B134" s="138" t="s">
        <v>355</v>
      </c>
      <c r="C134" s="142">
        <v>7.5999999999999998E-2</v>
      </c>
      <c r="D134" s="107">
        <f>$D$152*C134</f>
        <v>180.20696865182973</v>
      </c>
      <c r="E134" s="165">
        <f>D152</f>
        <v>2371.1443243661806</v>
      </c>
      <c r="G134" s="160"/>
    </row>
    <row r="135" spans="1:8">
      <c r="A135" s="191"/>
      <c r="B135" s="138" t="s">
        <v>356</v>
      </c>
      <c r="C135" s="142">
        <v>1.6500000000000001E-2</v>
      </c>
      <c r="D135" s="107">
        <f>$D$152*C135</f>
        <v>39.123881352041984</v>
      </c>
      <c r="E135" s="246"/>
      <c r="G135" s="160"/>
    </row>
    <row r="136" spans="1:8">
      <c r="A136" s="191"/>
      <c r="B136" s="138" t="s">
        <v>357</v>
      </c>
      <c r="C136" s="142"/>
      <c r="D136" s="107"/>
    </row>
    <row r="137" spans="1:8">
      <c r="A137" s="191"/>
      <c r="B137" s="138" t="s">
        <v>358</v>
      </c>
      <c r="C137" s="142">
        <v>0.05</v>
      </c>
      <c r="D137" s="107">
        <f>$D$152*C137</f>
        <v>118.55721621830904</v>
      </c>
      <c r="G137" s="160"/>
    </row>
    <row r="138" spans="1:8">
      <c r="A138" s="191"/>
      <c r="B138" s="138" t="s">
        <v>359</v>
      </c>
      <c r="C138" s="142"/>
      <c r="D138" s="107"/>
    </row>
    <row r="139" spans="1:8" ht="16.5" thickBot="1">
      <c r="A139" s="191" t="s">
        <v>261</v>
      </c>
      <c r="B139" s="138" t="s">
        <v>360</v>
      </c>
      <c r="C139" s="142">
        <v>0.02</v>
      </c>
      <c r="D139" s="107">
        <f>ROUND(E139*C139,2)</f>
        <v>39.869999999999997</v>
      </c>
      <c r="E139" s="132">
        <f>E130+D131</f>
        <v>1993.3862581440001</v>
      </c>
    </row>
    <row r="140" spans="1:8" ht="33" customHeight="1" thickBot="1">
      <c r="A140" s="527" t="s">
        <v>361</v>
      </c>
      <c r="B140" s="528"/>
      <c r="C140" s="529"/>
      <c r="D140" s="166">
        <f>D131+D134+D135+D137+D139</f>
        <v>512.17632436618067</v>
      </c>
    </row>
    <row r="141" spans="1:8">
      <c r="A141" s="522" t="s">
        <v>362</v>
      </c>
      <c r="B141" s="522"/>
      <c r="C141" s="522"/>
      <c r="D141" s="522"/>
      <c r="E141" s="522"/>
      <c r="F141" s="522"/>
      <c r="G141" s="522"/>
    </row>
    <row r="142" spans="1:8">
      <c r="A142" s="522" t="s">
        <v>363</v>
      </c>
      <c r="B142" s="522"/>
      <c r="C142" s="522"/>
      <c r="D142" s="522"/>
      <c r="E142" s="522"/>
      <c r="F142" s="522"/>
      <c r="G142" s="522"/>
    </row>
    <row r="143" spans="1:8">
      <c r="A143" s="190"/>
    </row>
    <row r="144" spans="1:8" ht="16.5" thickBot="1">
      <c r="A144" s="523" t="s">
        <v>364</v>
      </c>
      <c r="B144" s="523"/>
      <c r="C144" s="523"/>
      <c r="D144" s="523"/>
      <c r="E144" s="523"/>
      <c r="F144" s="523"/>
      <c r="G144" s="523"/>
    </row>
    <row r="145" spans="1:8" ht="32.25" customHeight="1" thickBot="1">
      <c r="A145" s="147"/>
      <c r="B145" s="524" t="s">
        <v>365</v>
      </c>
      <c r="C145" s="524"/>
      <c r="D145" s="167" t="s">
        <v>366</v>
      </c>
    </row>
    <row r="146" spans="1:8">
      <c r="A146" s="191" t="s">
        <v>257</v>
      </c>
      <c r="B146" s="138" t="s">
        <v>367</v>
      </c>
      <c r="C146" s="122">
        <f t="shared" ref="C146:C151" si="3">D146/$D$152</f>
        <v>0.32208077431311188</v>
      </c>
      <c r="D146" s="129">
        <f>D43</f>
        <v>763.7</v>
      </c>
    </row>
    <row r="147" spans="1:8">
      <c r="A147" s="191" t="s">
        <v>259</v>
      </c>
      <c r="B147" s="138" t="s">
        <v>368</v>
      </c>
      <c r="C147" s="122">
        <f t="shared" si="3"/>
        <v>0.19525509065069518</v>
      </c>
      <c r="D147" s="129">
        <f>D54</f>
        <v>462.97800000000001</v>
      </c>
    </row>
    <row r="148" spans="1:8" ht="31.5">
      <c r="A148" s="191" t="s">
        <v>261</v>
      </c>
      <c r="B148" s="138" t="s">
        <v>369</v>
      </c>
      <c r="C148" s="122">
        <f t="shared" si="3"/>
        <v>1.6658623262233756E-2</v>
      </c>
      <c r="D148" s="129">
        <f>D64</f>
        <v>39.5</v>
      </c>
      <c r="E148" s="165">
        <f>D150+D131+D139</f>
        <v>2033.256258144</v>
      </c>
    </row>
    <row r="149" spans="1:8" ht="31.5">
      <c r="A149" s="191" t="s">
        <v>263</v>
      </c>
      <c r="B149" s="138" t="s">
        <v>370</v>
      </c>
      <c r="C149" s="122">
        <f t="shared" si="3"/>
        <v>0.25000165274986197</v>
      </c>
      <c r="D149" s="129">
        <f>D127</f>
        <v>592.79</v>
      </c>
      <c r="E149" s="174">
        <f>C137+C135+C134</f>
        <v>0.14250000000000002</v>
      </c>
    </row>
    <row r="150" spans="1:8" ht="16.5" customHeight="1">
      <c r="A150" s="168" t="s">
        <v>371</v>
      </c>
      <c r="B150" s="169"/>
      <c r="C150" s="131">
        <f t="shared" si="3"/>
        <v>0.78399614097590287</v>
      </c>
      <c r="D150" s="170">
        <f>SUM(D146:D149)</f>
        <v>1858.9680000000001</v>
      </c>
      <c r="E150" s="174">
        <f>100%-E149</f>
        <v>0.85749999999999993</v>
      </c>
    </row>
    <row r="151" spans="1:8" ht="32.25" thickBot="1">
      <c r="A151" s="191" t="s">
        <v>284</v>
      </c>
      <c r="B151" s="138" t="s">
        <v>372</v>
      </c>
      <c r="C151" s="122">
        <f t="shared" si="3"/>
        <v>0.21600385902409719</v>
      </c>
      <c r="D151" s="129">
        <f>D140</f>
        <v>512.17632436618067</v>
      </c>
      <c r="G151" s="171"/>
    </row>
    <row r="152" spans="1:8" ht="16.5" customHeight="1" thickBot="1">
      <c r="A152" s="525" t="s">
        <v>373</v>
      </c>
      <c r="B152" s="526"/>
      <c r="C152" s="127">
        <f>C151+C150</f>
        <v>1</v>
      </c>
      <c r="D152" s="166">
        <f>(D150+D139+D131)/0.8575</f>
        <v>2371.1443243661806</v>
      </c>
      <c r="E152" s="171"/>
      <c r="F152" s="165">
        <f>D150+D151</f>
        <v>2371.1443243661806</v>
      </c>
      <c r="H152" s="172"/>
    </row>
    <row r="153" spans="1:8">
      <c r="E153" s="171"/>
    </row>
    <row r="154" spans="1:8">
      <c r="A154" s="186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1.299212598425197" right="0.51181102362204722" top="2.1653543307086616" bottom="0.98425196850393704" header="0.31496062992125984" footer="0.31496062992125984"/>
  <pageSetup paperSize="9" scale="80" fitToHeight="4" orientation="portrait" r:id="rId1"/>
  <headerFooter alignWithMargins="0"/>
  <rowBreaks count="3" manualBreakCount="3">
    <brk id="43" max="3" man="1"/>
    <brk id="88" max="3" man="1"/>
    <brk id="128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154"/>
  <sheetViews>
    <sheetView showGridLines="0" view="pageBreakPreview" topLeftCell="A22" zoomScale="90" zoomScaleSheetLayoutView="90" workbookViewId="0">
      <selection activeCell="D38" sqref="D38"/>
    </sheetView>
  </sheetViews>
  <sheetFormatPr defaultRowHeight="15.75"/>
  <cols>
    <col min="1" max="1" width="9.28515625" style="53" customWidth="1"/>
    <col min="2" max="2" width="39.85546875" style="53" customWidth="1"/>
    <col min="3" max="3" width="18.28515625" style="53" customWidth="1"/>
    <col min="4" max="4" width="23.85546875" style="53" customWidth="1"/>
    <col min="5" max="5" width="16" style="53" bestFit="1" customWidth="1"/>
    <col min="6" max="6" width="13.7109375" style="53" bestFit="1" customWidth="1"/>
    <col min="7" max="7" width="15.7109375" style="53" bestFit="1" customWidth="1"/>
    <col min="8" max="8" width="13.140625" style="53" bestFit="1" customWidth="1"/>
    <col min="9" max="9" width="11.85546875" style="53" bestFit="1" customWidth="1"/>
    <col min="10" max="10" width="12.85546875" style="53" bestFit="1" customWidth="1"/>
    <col min="11" max="256" width="9.140625" style="53"/>
    <col min="257" max="257" width="9.28515625" style="53" customWidth="1"/>
    <col min="258" max="258" width="39.85546875" style="53" customWidth="1"/>
    <col min="259" max="259" width="18.28515625" style="53" customWidth="1"/>
    <col min="260" max="260" width="23.85546875" style="53" customWidth="1"/>
    <col min="261" max="261" width="16" style="53" bestFit="1" customWidth="1"/>
    <col min="262" max="262" width="13.7109375" style="53" bestFit="1" customWidth="1"/>
    <col min="263" max="263" width="15.7109375" style="53" bestFit="1" customWidth="1"/>
    <col min="264" max="264" width="13.140625" style="53" bestFit="1" customWidth="1"/>
    <col min="265" max="265" width="11.85546875" style="53" bestFit="1" customWidth="1"/>
    <col min="266" max="266" width="12.85546875" style="53" bestFit="1" customWidth="1"/>
    <col min="267" max="512" width="9.140625" style="53"/>
    <col min="513" max="513" width="9.28515625" style="53" customWidth="1"/>
    <col min="514" max="514" width="39.85546875" style="53" customWidth="1"/>
    <col min="515" max="515" width="18.28515625" style="53" customWidth="1"/>
    <col min="516" max="516" width="23.85546875" style="53" customWidth="1"/>
    <col min="517" max="517" width="16" style="53" bestFit="1" customWidth="1"/>
    <col min="518" max="518" width="13.7109375" style="53" bestFit="1" customWidth="1"/>
    <col min="519" max="519" width="15.7109375" style="53" bestFit="1" customWidth="1"/>
    <col min="520" max="520" width="13.140625" style="53" bestFit="1" customWidth="1"/>
    <col min="521" max="521" width="11.85546875" style="53" bestFit="1" customWidth="1"/>
    <col min="522" max="522" width="12.85546875" style="53" bestFit="1" customWidth="1"/>
    <col min="523" max="768" width="9.140625" style="53"/>
    <col min="769" max="769" width="9.28515625" style="53" customWidth="1"/>
    <col min="770" max="770" width="39.85546875" style="53" customWidth="1"/>
    <col min="771" max="771" width="18.28515625" style="53" customWidth="1"/>
    <col min="772" max="772" width="23.85546875" style="53" customWidth="1"/>
    <col min="773" max="773" width="16" style="53" bestFit="1" customWidth="1"/>
    <col min="774" max="774" width="13.7109375" style="53" bestFit="1" customWidth="1"/>
    <col min="775" max="775" width="15.7109375" style="53" bestFit="1" customWidth="1"/>
    <col min="776" max="776" width="13.140625" style="53" bestFit="1" customWidth="1"/>
    <col min="777" max="777" width="11.85546875" style="53" bestFit="1" customWidth="1"/>
    <col min="778" max="778" width="12.85546875" style="53" bestFit="1" customWidth="1"/>
    <col min="779" max="1024" width="9.140625" style="53"/>
    <col min="1025" max="1025" width="9.28515625" style="53" customWidth="1"/>
    <col min="1026" max="1026" width="39.85546875" style="53" customWidth="1"/>
    <col min="1027" max="1027" width="18.28515625" style="53" customWidth="1"/>
    <col min="1028" max="1028" width="23.85546875" style="53" customWidth="1"/>
    <col min="1029" max="1029" width="16" style="53" bestFit="1" customWidth="1"/>
    <col min="1030" max="1030" width="13.7109375" style="53" bestFit="1" customWidth="1"/>
    <col min="1031" max="1031" width="15.7109375" style="53" bestFit="1" customWidth="1"/>
    <col min="1032" max="1032" width="13.140625" style="53" bestFit="1" customWidth="1"/>
    <col min="1033" max="1033" width="11.85546875" style="53" bestFit="1" customWidth="1"/>
    <col min="1034" max="1034" width="12.85546875" style="53" bestFit="1" customWidth="1"/>
    <col min="1035" max="1280" width="9.140625" style="53"/>
    <col min="1281" max="1281" width="9.28515625" style="53" customWidth="1"/>
    <col min="1282" max="1282" width="39.85546875" style="53" customWidth="1"/>
    <col min="1283" max="1283" width="18.28515625" style="53" customWidth="1"/>
    <col min="1284" max="1284" width="23.85546875" style="53" customWidth="1"/>
    <col min="1285" max="1285" width="16" style="53" bestFit="1" customWidth="1"/>
    <col min="1286" max="1286" width="13.7109375" style="53" bestFit="1" customWidth="1"/>
    <col min="1287" max="1287" width="15.7109375" style="53" bestFit="1" customWidth="1"/>
    <col min="1288" max="1288" width="13.140625" style="53" bestFit="1" customWidth="1"/>
    <col min="1289" max="1289" width="11.85546875" style="53" bestFit="1" customWidth="1"/>
    <col min="1290" max="1290" width="12.85546875" style="53" bestFit="1" customWidth="1"/>
    <col min="1291" max="1536" width="9.140625" style="53"/>
    <col min="1537" max="1537" width="9.28515625" style="53" customWidth="1"/>
    <col min="1538" max="1538" width="39.85546875" style="53" customWidth="1"/>
    <col min="1539" max="1539" width="18.28515625" style="53" customWidth="1"/>
    <col min="1540" max="1540" width="23.85546875" style="53" customWidth="1"/>
    <col min="1541" max="1541" width="16" style="53" bestFit="1" customWidth="1"/>
    <col min="1542" max="1542" width="13.7109375" style="53" bestFit="1" customWidth="1"/>
    <col min="1543" max="1543" width="15.7109375" style="53" bestFit="1" customWidth="1"/>
    <col min="1544" max="1544" width="13.140625" style="53" bestFit="1" customWidth="1"/>
    <col min="1545" max="1545" width="11.85546875" style="53" bestFit="1" customWidth="1"/>
    <col min="1546" max="1546" width="12.85546875" style="53" bestFit="1" customWidth="1"/>
    <col min="1547" max="1792" width="9.140625" style="53"/>
    <col min="1793" max="1793" width="9.28515625" style="53" customWidth="1"/>
    <col min="1794" max="1794" width="39.85546875" style="53" customWidth="1"/>
    <col min="1795" max="1795" width="18.28515625" style="53" customWidth="1"/>
    <col min="1796" max="1796" width="23.85546875" style="53" customWidth="1"/>
    <col min="1797" max="1797" width="16" style="53" bestFit="1" customWidth="1"/>
    <col min="1798" max="1798" width="13.7109375" style="53" bestFit="1" customWidth="1"/>
    <col min="1799" max="1799" width="15.7109375" style="53" bestFit="1" customWidth="1"/>
    <col min="1800" max="1800" width="13.140625" style="53" bestFit="1" customWidth="1"/>
    <col min="1801" max="1801" width="11.85546875" style="53" bestFit="1" customWidth="1"/>
    <col min="1802" max="1802" width="12.85546875" style="53" bestFit="1" customWidth="1"/>
    <col min="1803" max="2048" width="9.140625" style="53"/>
    <col min="2049" max="2049" width="9.28515625" style="53" customWidth="1"/>
    <col min="2050" max="2050" width="39.85546875" style="53" customWidth="1"/>
    <col min="2051" max="2051" width="18.28515625" style="53" customWidth="1"/>
    <col min="2052" max="2052" width="23.85546875" style="53" customWidth="1"/>
    <col min="2053" max="2053" width="16" style="53" bestFit="1" customWidth="1"/>
    <col min="2054" max="2054" width="13.7109375" style="53" bestFit="1" customWidth="1"/>
    <col min="2055" max="2055" width="15.7109375" style="53" bestFit="1" customWidth="1"/>
    <col min="2056" max="2056" width="13.140625" style="53" bestFit="1" customWidth="1"/>
    <col min="2057" max="2057" width="11.85546875" style="53" bestFit="1" customWidth="1"/>
    <col min="2058" max="2058" width="12.85546875" style="53" bestFit="1" customWidth="1"/>
    <col min="2059" max="2304" width="9.140625" style="53"/>
    <col min="2305" max="2305" width="9.28515625" style="53" customWidth="1"/>
    <col min="2306" max="2306" width="39.85546875" style="53" customWidth="1"/>
    <col min="2307" max="2307" width="18.28515625" style="53" customWidth="1"/>
    <col min="2308" max="2308" width="23.85546875" style="53" customWidth="1"/>
    <col min="2309" max="2309" width="16" style="53" bestFit="1" customWidth="1"/>
    <col min="2310" max="2310" width="13.7109375" style="53" bestFit="1" customWidth="1"/>
    <col min="2311" max="2311" width="15.7109375" style="53" bestFit="1" customWidth="1"/>
    <col min="2312" max="2312" width="13.140625" style="53" bestFit="1" customWidth="1"/>
    <col min="2313" max="2313" width="11.85546875" style="53" bestFit="1" customWidth="1"/>
    <col min="2314" max="2314" width="12.85546875" style="53" bestFit="1" customWidth="1"/>
    <col min="2315" max="2560" width="9.140625" style="53"/>
    <col min="2561" max="2561" width="9.28515625" style="53" customWidth="1"/>
    <col min="2562" max="2562" width="39.85546875" style="53" customWidth="1"/>
    <col min="2563" max="2563" width="18.28515625" style="53" customWidth="1"/>
    <col min="2564" max="2564" width="23.85546875" style="53" customWidth="1"/>
    <col min="2565" max="2565" width="16" style="53" bestFit="1" customWidth="1"/>
    <col min="2566" max="2566" width="13.7109375" style="53" bestFit="1" customWidth="1"/>
    <col min="2567" max="2567" width="15.7109375" style="53" bestFit="1" customWidth="1"/>
    <col min="2568" max="2568" width="13.140625" style="53" bestFit="1" customWidth="1"/>
    <col min="2569" max="2569" width="11.85546875" style="53" bestFit="1" customWidth="1"/>
    <col min="2570" max="2570" width="12.85546875" style="53" bestFit="1" customWidth="1"/>
    <col min="2571" max="2816" width="9.140625" style="53"/>
    <col min="2817" max="2817" width="9.28515625" style="53" customWidth="1"/>
    <col min="2818" max="2818" width="39.85546875" style="53" customWidth="1"/>
    <col min="2819" max="2819" width="18.28515625" style="53" customWidth="1"/>
    <col min="2820" max="2820" width="23.85546875" style="53" customWidth="1"/>
    <col min="2821" max="2821" width="16" style="53" bestFit="1" customWidth="1"/>
    <col min="2822" max="2822" width="13.7109375" style="53" bestFit="1" customWidth="1"/>
    <col min="2823" max="2823" width="15.7109375" style="53" bestFit="1" customWidth="1"/>
    <col min="2824" max="2824" width="13.140625" style="53" bestFit="1" customWidth="1"/>
    <col min="2825" max="2825" width="11.85546875" style="53" bestFit="1" customWidth="1"/>
    <col min="2826" max="2826" width="12.85546875" style="53" bestFit="1" customWidth="1"/>
    <col min="2827" max="3072" width="9.140625" style="53"/>
    <col min="3073" max="3073" width="9.28515625" style="53" customWidth="1"/>
    <col min="3074" max="3074" width="39.85546875" style="53" customWidth="1"/>
    <col min="3075" max="3075" width="18.28515625" style="53" customWidth="1"/>
    <col min="3076" max="3076" width="23.85546875" style="53" customWidth="1"/>
    <col min="3077" max="3077" width="16" style="53" bestFit="1" customWidth="1"/>
    <col min="3078" max="3078" width="13.7109375" style="53" bestFit="1" customWidth="1"/>
    <col min="3079" max="3079" width="15.7109375" style="53" bestFit="1" customWidth="1"/>
    <col min="3080" max="3080" width="13.140625" style="53" bestFit="1" customWidth="1"/>
    <col min="3081" max="3081" width="11.85546875" style="53" bestFit="1" customWidth="1"/>
    <col min="3082" max="3082" width="12.85546875" style="53" bestFit="1" customWidth="1"/>
    <col min="3083" max="3328" width="9.140625" style="53"/>
    <col min="3329" max="3329" width="9.28515625" style="53" customWidth="1"/>
    <col min="3330" max="3330" width="39.85546875" style="53" customWidth="1"/>
    <col min="3331" max="3331" width="18.28515625" style="53" customWidth="1"/>
    <col min="3332" max="3332" width="23.85546875" style="53" customWidth="1"/>
    <col min="3333" max="3333" width="16" style="53" bestFit="1" customWidth="1"/>
    <col min="3334" max="3334" width="13.7109375" style="53" bestFit="1" customWidth="1"/>
    <col min="3335" max="3335" width="15.7109375" style="53" bestFit="1" customWidth="1"/>
    <col min="3336" max="3336" width="13.140625" style="53" bestFit="1" customWidth="1"/>
    <col min="3337" max="3337" width="11.85546875" style="53" bestFit="1" customWidth="1"/>
    <col min="3338" max="3338" width="12.85546875" style="53" bestFit="1" customWidth="1"/>
    <col min="3339" max="3584" width="9.140625" style="53"/>
    <col min="3585" max="3585" width="9.28515625" style="53" customWidth="1"/>
    <col min="3586" max="3586" width="39.85546875" style="53" customWidth="1"/>
    <col min="3587" max="3587" width="18.28515625" style="53" customWidth="1"/>
    <col min="3588" max="3588" width="23.85546875" style="53" customWidth="1"/>
    <col min="3589" max="3589" width="16" style="53" bestFit="1" customWidth="1"/>
    <col min="3590" max="3590" width="13.7109375" style="53" bestFit="1" customWidth="1"/>
    <col min="3591" max="3591" width="15.7109375" style="53" bestFit="1" customWidth="1"/>
    <col min="3592" max="3592" width="13.140625" style="53" bestFit="1" customWidth="1"/>
    <col min="3593" max="3593" width="11.85546875" style="53" bestFit="1" customWidth="1"/>
    <col min="3594" max="3594" width="12.85546875" style="53" bestFit="1" customWidth="1"/>
    <col min="3595" max="3840" width="9.140625" style="53"/>
    <col min="3841" max="3841" width="9.28515625" style="53" customWidth="1"/>
    <col min="3842" max="3842" width="39.85546875" style="53" customWidth="1"/>
    <col min="3843" max="3843" width="18.28515625" style="53" customWidth="1"/>
    <col min="3844" max="3844" width="23.85546875" style="53" customWidth="1"/>
    <col min="3845" max="3845" width="16" style="53" bestFit="1" customWidth="1"/>
    <col min="3846" max="3846" width="13.7109375" style="53" bestFit="1" customWidth="1"/>
    <col min="3847" max="3847" width="15.7109375" style="53" bestFit="1" customWidth="1"/>
    <col min="3848" max="3848" width="13.140625" style="53" bestFit="1" customWidth="1"/>
    <col min="3849" max="3849" width="11.85546875" style="53" bestFit="1" customWidth="1"/>
    <col min="3850" max="3850" width="12.85546875" style="53" bestFit="1" customWidth="1"/>
    <col min="3851" max="4096" width="9.140625" style="53"/>
    <col min="4097" max="4097" width="9.28515625" style="53" customWidth="1"/>
    <col min="4098" max="4098" width="39.85546875" style="53" customWidth="1"/>
    <col min="4099" max="4099" width="18.28515625" style="53" customWidth="1"/>
    <col min="4100" max="4100" width="23.85546875" style="53" customWidth="1"/>
    <col min="4101" max="4101" width="16" style="53" bestFit="1" customWidth="1"/>
    <col min="4102" max="4102" width="13.7109375" style="53" bestFit="1" customWidth="1"/>
    <col min="4103" max="4103" width="15.7109375" style="53" bestFit="1" customWidth="1"/>
    <col min="4104" max="4104" width="13.140625" style="53" bestFit="1" customWidth="1"/>
    <col min="4105" max="4105" width="11.85546875" style="53" bestFit="1" customWidth="1"/>
    <col min="4106" max="4106" width="12.85546875" style="53" bestFit="1" customWidth="1"/>
    <col min="4107" max="4352" width="9.140625" style="53"/>
    <col min="4353" max="4353" width="9.28515625" style="53" customWidth="1"/>
    <col min="4354" max="4354" width="39.85546875" style="53" customWidth="1"/>
    <col min="4355" max="4355" width="18.28515625" style="53" customWidth="1"/>
    <col min="4356" max="4356" width="23.85546875" style="53" customWidth="1"/>
    <col min="4357" max="4357" width="16" style="53" bestFit="1" customWidth="1"/>
    <col min="4358" max="4358" width="13.7109375" style="53" bestFit="1" customWidth="1"/>
    <col min="4359" max="4359" width="15.7109375" style="53" bestFit="1" customWidth="1"/>
    <col min="4360" max="4360" width="13.140625" style="53" bestFit="1" customWidth="1"/>
    <col min="4361" max="4361" width="11.85546875" style="53" bestFit="1" customWidth="1"/>
    <col min="4362" max="4362" width="12.85546875" style="53" bestFit="1" customWidth="1"/>
    <col min="4363" max="4608" width="9.140625" style="53"/>
    <col min="4609" max="4609" width="9.28515625" style="53" customWidth="1"/>
    <col min="4610" max="4610" width="39.85546875" style="53" customWidth="1"/>
    <col min="4611" max="4611" width="18.28515625" style="53" customWidth="1"/>
    <col min="4612" max="4612" width="23.85546875" style="53" customWidth="1"/>
    <col min="4613" max="4613" width="16" style="53" bestFit="1" customWidth="1"/>
    <col min="4614" max="4614" width="13.7109375" style="53" bestFit="1" customWidth="1"/>
    <col min="4615" max="4615" width="15.7109375" style="53" bestFit="1" customWidth="1"/>
    <col min="4616" max="4616" width="13.140625" style="53" bestFit="1" customWidth="1"/>
    <col min="4617" max="4617" width="11.85546875" style="53" bestFit="1" customWidth="1"/>
    <col min="4618" max="4618" width="12.85546875" style="53" bestFit="1" customWidth="1"/>
    <col min="4619" max="4864" width="9.140625" style="53"/>
    <col min="4865" max="4865" width="9.28515625" style="53" customWidth="1"/>
    <col min="4866" max="4866" width="39.85546875" style="53" customWidth="1"/>
    <col min="4867" max="4867" width="18.28515625" style="53" customWidth="1"/>
    <col min="4868" max="4868" width="23.85546875" style="53" customWidth="1"/>
    <col min="4869" max="4869" width="16" style="53" bestFit="1" customWidth="1"/>
    <col min="4870" max="4870" width="13.7109375" style="53" bestFit="1" customWidth="1"/>
    <col min="4871" max="4871" width="15.7109375" style="53" bestFit="1" customWidth="1"/>
    <col min="4872" max="4872" width="13.140625" style="53" bestFit="1" customWidth="1"/>
    <col min="4873" max="4873" width="11.85546875" style="53" bestFit="1" customWidth="1"/>
    <col min="4874" max="4874" width="12.85546875" style="53" bestFit="1" customWidth="1"/>
    <col min="4875" max="5120" width="9.140625" style="53"/>
    <col min="5121" max="5121" width="9.28515625" style="53" customWidth="1"/>
    <col min="5122" max="5122" width="39.85546875" style="53" customWidth="1"/>
    <col min="5123" max="5123" width="18.28515625" style="53" customWidth="1"/>
    <col min="5124" max="5124" width="23.85546875" style="53" customWidth="1"/>
    <col min="5125" max="5125" width="16" style="53" bestFit="1" customWidth="1"/>
    <col min="5126" max="5126" width="13.7109375" style="53" bestFit="1" customWidth="1"/>
    <col min="5127" max="5127" width="15.7109375" style="53" bestFit="1" customWidth="1"/>
    <col min="5128" max="5128" width="13.140625" style="53" bestFit="1" customWidth="1"/>
    <col min="5129" max="5129" width="11.85546875" style="53" bestFit="1" customWidth="1"/>
    <col min="5130" max="5130" width="12.85546875" style="53" bestFit="1" customWidth="1"/>
    <col min="5131" max="5376" width="9.140625" style="53"/>
    <col min="5377" max="5377" width="9.28515625" style="53" customWidth="1"/>
    <col min="5378" max="5378" width="39.85546875" style="53" customWidth="1"/>
    <col min="5379" max="5379" width="18.28515625" style="53" customWidth="1"/>
    <col min="5380" max="5380" width="23.85546875" style="53" customWidth="1"/>
    <col min="5381" max="5381" width="16" style="53" bestFit="1" customWidth="1"/>
    <col min="5382" max="5382" width="13.7109375" style="53" bestFit="1" customWidth="1"/>
    <col min="5383" max="5383" width="15.7109375" style="53" bestFit="1" customWidth="1"/>
    <col min="5384" max="5384" width="13.140625" style="53" bestFit="1" customWidth="1"/>
    <col min="5385" max="5385" width="11.85546875" style="53" bestFit="1" customWidth="1"/>
    <col min="5386" max="5386" width="12.85546875" style="53" bestFit="1" customWidth="1"/>
    <col min="5387" max="5632" width="9.140625" style="53"/>
    <col min="5633" max="5633" width="9.28515625" style="53" customWidth="1"/>
    <col min="5634" max="5634" width="39.85546875" style="53" customWidth="1"/>
    <col min="5635" max="5635" width="18.28515625" style="53" customWidth="1"/>
    <col min="5636" max="5636" width="23.85546875" style="53" customWidth="1"/>
    <col min="5637" max="5637" width="16" style="53" bestFit="1" customWidth="1"/>
    <col min="5638" max="5638" width="13.7109375" style="53" bestFit="1" customWidth="1"/>
    <col min="5639" max="5639" width="15.7109375" style="53" bestFit="1" customWidth="1"/>
    <col min="5640" max="5640" width="13.140625" style="53" bestFit="1" customWidth="1"/>
    <col min="5641" max="5641" width="11.85546875" style="53" bestFit="1" customWidth="1"/>
    <col min="5642" max="5642" width="12.85546875" style="53" bestFit="1" customWidth="1"/>
    <col min="5643" max="5888" width="9.140625" style="53"/>
    <col min="5889" max="5889" width="9.28515625" style="53" customWidth="1"/>
    <col min="5890" max="5890" width="39.85546875" style="53" customWidth="1"/>
    <col min="5891" max="5891" width="18.28515625" style="53" customWidth="1"/>
    <col min="5892" max="5892" width="23.85546875" style="53" customWidth="1"/>
    <col min="5893" max="5893" width="16" style="53" bestFit="1" customWidth="1"/>
    <col min="5894" max="5894" width="13.7109375" style="53" bestFit="1" customWidth="1"/>
    <col min="5895" max="5895" width="15.7109375" style="53" bestFit="1" customWidth="1"/>
    <col min="5896" max="5896" width="13.140625" style="53" bestFit="1" customWidth="1"/>
    <col min="5897" max="5897" width="11.85546875" style="53" bestFit="1" customWidth="1"/>
    <col min="5898" max="5898" width="12.85546875" style="53" bestFit="1" customWidth="1"/>
    <col min="5899" max="6144" width="9.140625" style="53"/>
    <col min="6145" max="6145" width="9.28515625" style="53" customWidth="1"/>
    <col min="6146" max="6146" width="39.85546875" style="53" customWidth="1"/>
    <col min="6147" max="6147" width="18.28515625" style="53" customWidth="1"/>
    <col min="6148" max="6148" width="23.85546875" style="53" customWidth="1"/>
    <col min="6149" max="6149" width="16" style="53" bestFit="1" customWidth="1"/>
    <col min="6150" max="6150" width="13.7109375" style="53" bestFit="1" customWidth="1"/>
    <col min="6151" max="6151" width="15.7109375" style="53" bestFit="1" customWidth="1"/>
    <col min="6152" max="6152" width="13.140625" style="53" bestFit="1" customWidth="1"/>
    <col min="6153" max="6153" width="11.85546875" style="53" bestFit="1" customWidth="1"/>
    <col min="6154" max="6154" width="12.85546875" style="53" bestFit="1" customWidth="1"/>
    <col min="6155" max="6400" width="9.140625" style="53"/>
    <col min="6401" max="6401" width="9.28515625" style="53" customWidth="1"/>
    <col min="6402" max="6402" width="39.85546875" style="53" customWidth="1"/>
    <col min="6403" max="6403" width="18.28515625" style="53" customWidth="1"/>
    <col min="6404" max="6404" width="23.85546875" style="53" customWidth="1"/>
    <col min="6405" max="6405" width="16" style="53" bestFit="1" customWidth="1"/>
    <col min="6406" max="6406" width="13.7109375" style="53" bestFit="1" customWidth="1"/>
    <col min="6407" max="6407" width="15.7109375" style="53" bestFit="1" customWidth="1"/>
    <col min="6408" max="6408" width="13.140625" style="53" bestFit="1" customWidth="1"/>
    <col min="6409" max="6409" width="11.85546875" style="53" bestFit="1" customWidth="1"/>
    <col min="6410" max="6410" width="12.85546875" style="53" bestFit="1" customWidth="1"/>
    <col min="6411" max="6656" width="9.140625" style="53"/>
    <col min="6657" max="6657" width="9.28515625" style="53" customWidth="1"/>
    <col min="6658" max="6658" width="39.85546875" style="53" customWidth="1"/>
    <col min="6659" max="6659" width="18.28515625" style="53" customWidth="1"/>
    <col min="6660" max="6660" width="23.85546875" style="53" customWidth="1"/>
    <col min="6661" max="6661" width="16" style="53" bestFit="1" customWidth="1"/>
    <col min="6662" max="6662" width="13.7109375" style="53" bestFit="1" customWidth="1"/>
    <col min="6663" max="6663" width="15.7109375" style="53" bestFit="1" customWidth="1"/>
    <col min="6664" max="6664" width="13.140625" style="53" bestFit="1" customWidth="1"/>
    <col min="6665" max="6665" width="11.85546875" style="53" bestFit="1" customWidth="1"/>
    <col min="6666" max="6666" width="12.85546875" style="53" bestFit="1" customWidth="1"/>
    <col min="6667" max="6912" width="9.140625" style="53"/>
    <col min="6913" max="6913" width="9.28515625" style="53" customWidth="1"/>
    <col min="6914" max="6914" width="39.85546875" style="53" customWidth="1"/>
    <col min="6915" max="6915" width="18.28515625" style="53" customWidth="1"/>
    <col min="6916" max="6916" width="23.85546875" style="53" customWidth="1"/>
    <col min="6917" max="6917" width="16" style="53" bestFit="1" customWidth="1"/>
    <col min="6918" max="6918" width="13.7109375" style="53" bestFit="1" customWidth="1"/>
    <col min="6919" max="6919" width="15.7109375" style="53" bestFit="1" customWidth="1"/>
    <col min="6920" max="6920" width="13.140625" style="53" bestFit="1" customWidth="1"/>
    <col min="6921" max="6921" width="11.85546875" style="53" bestFit="1" customWidth="1"/>
    <col min="6922" max="6922" width="12.85546875" style="53" bestFit="1" customWidth="1"/>
    <col min="6923" max="7168" width="9.140625" style="53"/>
    <col min="7169" max="7169" width="9.28515625" style="53" customWidth="1"/>
    <col min="7170" max="7170" width="39.85546875" style="53" customWidth="1"/>
    <col min="7171" max="7171" width="18.28515625" style="53" customWidth="1"/>
    <col min="7172" max="7172" width="23.85546875" style="53" customWidth="1"/>
    <col min="7173" max="7173" width="16" style="53" bestFit="1" customWidth="1"/>
    <col min="7174" max="7174" width="13.7109375" style="53" bestFit="1" customWidth="1"/>
    <col min="7175" max="7175" width="15.7109375" style="53" bestFit="1" customWidth="1"/>
    <col min="7176" max="7176" width="13.140625" style="53" bestFit="1" customWidth="1"/>
    <col min="7177" max="7177" width="11.85546875" style="53" bestFit="1" customWidth="1"/>
    <col min="7178" max="7178" width="12.85546875" style="53" bestFit="1" customWidth="1"/>
    <col min="7179" max="7424" width="9.140625" style="53"/>
    <col min="7425" max="7425" width="9.28515625" style="53" customWidth="1"/>
    <col min="7426" max="7426" width="39.85546875" style="53" customWidth="1"/>
    <col min="7427" max="7427" width="18.28515625" style="53" customWidth="1"/>
    <col min="7428" max="7428" width="23.85546875" style="53" customWidth="1"/>
    <col min="7429" max="7429" width="16" style="53" bestFit="1" customWidth="1"/>
    <col min="7430" max="7430" width="13.7109375" style="53" bestFit="1" customWidth="1"/>
    <col min="7431" max="7431" width="15.7109375" style="53" bestFit="1" customWidth="1"/>
    <col min="7432" max="7432" width="13.140625" style="53" bestFit="1" customWidth="1"/>
    <col min="7433" max="7433" width="11.85546875" style="53" bestFit="1" customWidth="1"/>
    <col min="7434" max="7434" width="12.85546875" style="53" bestFit="1" customWidth="1"/>
    <col min="7435" max="7680" width="9.140625" style="53"/>
    <col min="7681" max="7681" width="9.28515625" style="53" customWidth="1"/>
    <col min="7682" max="7682" width="39.85546875" style="53" customWidth="1"/>
    <col min="7683" max="7683" width="18.28515625" style="53" customWidth="1"/>
    <col min="7684" max="7684" width="23.85546875" style="53" customWidth="1"/>
    <col min="7685" max="7685" width="16" style="53" bestFit="1" customWidth="1"/>
    <col min="7686" max="7686" width="13.7109375" style="53" bestFit="1" customWidth="1"/>
    <col min="7687" max="7687" width="15.7109375" style="53" bestFit="1" customWidth="1"/>
    <col min="7688" max="7688" width="13.140625" style="53" bestFit="1" customWidth="1"/>
    <col min="7689" max="7689" width="11.85546875" style="53" bestFit="1" customWidth="1"/>
    <col min="7690" max="7690" width="12.85546875" style="53" bestFit="1" customWidth="1"/>
    <col min="7691" max="7936" width="9.140625" style="53"/>
    <col min="7937" max="7937" width="9.28515625" style="53" customWidth="1"/>
    <col min="7938" max="7938" width="39.85546875" style="53" customWidth="1"/>
    <col min="7939" max="7939" width="18.28515625" style="53" customWidth="1"/>
    <col min="7940" max="7940" width="23.85546875" style="53" customWidth="1"/>
    <col min="7941" max="7941" width="16" style="53" bestFit="1" customWidth="1"/>
    <col min="7942" max="7942" width="13.7109375" style="53" bestFit="1" customWidth="1"/>
    <col min="7943" max="7943" width="15.7109375" style="53" bestFit="1" customWidth="1"/>
    <col min="7944" max="7944" width="13.140625" style="53" bestFit="1" customWidth="1"/>
    <col min="7945" max="7945" width="11.85546875" style="53" bestFit="1" customWidth="1"/>
    <col min="7946" max="7946" width="12.85546875" style="53" bestFit="1" customWidth="1"/>
    <col min="7947" max="8192" width="9.140625" style="53"/>
    <col min="8193" max="8193" width="9.28515625" style="53" customWidth="1"/>
    <col min="8194" max="8194" width="39.85546875" style="53" customWidth="1"/>
    <col min="8195" max="8195" width="18.28515625" style="53" customWidth="1"/>
    <col min="8196" max="8196" width="23.85546875" style="53" customWidth="1"/>
    <col min="8197" max="8197" width="16" style="53" bestFit="1" customWidth="1"/>
    <col min="8198" max="8198" width="13.7109375" style="53" bestFit="1" customWidth="1"/>
    <col min="8199" max="8199" width="15.7109375" style="53" bestFit="1" customWidth="1"/>
    <col min="8200" max="8200" width="13.140625" style="53" bestFit="1" customWidth="1"/>
    <col min="8201" max="8201" width="11.85546875" style="53" bestFit="1" customWidth="1"/>
    <col min="8202" max="8202" width="12.85546875" style="53" bestFit="1" customWidth="1"/>
    <col min="8203" max="8448" width="9.140625" style="53"/>
    <col min="8449" max="8449" width="9.28515625" style="53" customWidth="1"/>
    <col min="8450" max="8450" width="39.85546875" style="53" customWidth="1"/>
    <col min="8451" max="8451" width="18.28515625" style="53" customWidth="1"/>
    <col min="8452" max="8452" width="23.85546875" style="53" customWidth="1"/>
    <col min="8453" max="8453" width="16" style="53" bestFit="1" customWidth="1"/>
    <col min="8454" max="8454" width="13.7109375" style="53" bestFit="1" customWidth="1"/>
    <col min="8455" max="8455" width="15.7109375" style="53" bestFit="1" customWidth="1"/>
    <col min="8456" max="8456" width="13.140625" style="53" bestFit="1" customWidth="1"/>
    <col min="8457" max="8457" width="11.85546875" style="53" bestFit="1" customWidth="1"/>
    <col min="8458" max="8458" width="12.85546875" style="53" bestFit="1" customWidth="1"/>
    <col min="8459" max="8704" width="9.140625" style="53"/>
    <col min="8705" max="8705" width="9.28515625" style="53" customWidth="1"/>
    <col min="8706" max="8706" width="39.85546875" style="53" customWidth="1"/>
    <col min="8707" max="8707" width="18.28515625" style="53" customWidth="1"/>
    <col min="8708" max="8708" width="23.85546875" style="53" customWidth="1"/>
    <col min="8709" max="8709" width="16" style="53" bestFit="1" customWidth="1"/>
    <col min="8710" max="8710" width="13.7109375" style="53" bestFit="1" customWidth="1"/>
    <col min="8711" max="8711" width="15.7109375" style="53" bestFit="1" customWidth="1"/>
    <col min="8712" max="8712" width="13.140625" style="53" bestFit="1" customWidth="1"/>
    <col min="8713" max="8713" width="11.85546875" style="53" bestFit="1" customWidth="1"/>
    <col min="8714" max="8714" width="12.85546875" style="53" bestFit="1" customWidth="1"/>
    <col min="8715" max="8960" width="9.140625" style="53"/>
    <col min="8961" max="8961" width="9.28515625" style="53" customWidth="1"/>
    <col min="8962" max="8962" width="39.85546875" style="53" customWidth="1"/>
    <col min="8963" max="8963" width="18.28515625" style="53" customWidth="1"/>
    <col min="8964" max="8964" width="23.85546875" style="53" customWidth="1"/>
    <col min="8965" max="8965" width="16" style="53" bestFit="1" customWidth="1"/>
    <col min="8966" max="8966" width="13.7109375" style="53" bestFit="1" customWidth="1"/>
    <col min="8967" max="8967" width="15.7109375" style="53" bestFit="1" customWidth="1"/>
    <col min="8968" max="8968" width="13.140625" style="53" bestFit="1" customWidth="1"/>
    <col min="8969" max="8969" width="11.85546875" style="53" bestFit="1" customWidth="1"/>
    <col min="8970" max="8970" width="12.85546875" style="53" bestFit="1" customWidth="1"/>
    <col min="8971" max="9216" width="9.140625" style="53"/>
    <col min="9217" max="9217" width="9.28515625" style="53" customWidth="1"/>
    <col min="9218" max="9218" width="39.85546875" style="53" customWidth="1"/>
    <col min="9219" max="9219" width="18.28515625" style="53" customWidth="1"/>
    <col min="9220" max="9220" width="23.85546875" style="53" customWidth="1"/>
    <col min="9221" max="9221" width="16" style="53" bestFit="1" customWidth="1"/>
    <col min="9222" max="9222" width="13.7109375" style="53" bestFit="1" customWidth="1"/>
    <col min="9223" max="9223" width="15.7109375" style="53" bestFit="1" customWidth="1"/>
    <col min="9224" max="9224" width="13.140625" style="53" bestFit="1" customWidth="1"/>
    <col min="9225" max="9225" width="11.85546875" style="53" bestFit="1" customWidth="1"/>
    <col min="9226" max="9226" width="12.85546875" style="53" bestFit="1" customWidth="1"/>
    <col min="9227" max="9472" width="9.140625" style="53"/>
    <col min="9473" max="9473" width="9.28515625" style="53" customWidth="1"/>
    <col min="9474" max="9474" width="39.85546875" style="53" customWidth="1"/>
    <col min="9475" max="9475" width="18.28515625" style="53" customWidth="1"/>
    <col min="9476" max="9476" width="23.85546875" style="53" customWidth="1"/>
    <col min="9477" max="9477" width="16" style="53" bestFit="1" customWidth="1"/>
    <col min="9478" max="9478" width="13.7109375" style="53" bestFit="1" customWidth="1"/>
    <col min="9479" max="9479" width="15.7109375" style="53" bestFit="1" customWidth="1"/>
    <col min="9480" max="9480" width="13.140625" style="53" bestFit="1" customWidth="1"/>
    <col min="9481" max="9481" width="11.85546875" style="53" bestFit="1" customWidth="1"/>
    <col min="9482" max="9482" width="12.85546875" style="53" bestFit="1" customWidth="1"/>
    <col min="9483" max="9728" width="9.140625" style="53"/>
    <col min="9729" max="9729" width="9.28515625" style="53" customWidth="1"/>
    <col min="9730" max="9730" width="39.85546875" style="53" customWidth="1"/>
    <col min="9731" max="9731" width="18.28515625" style="53" customWidth="1"/>
    <col min="9732" max="9732" width="23.85546875" style="53" customWidth="1"/>
    <col min="9733" max="9733" width="16" style="53" bestFit="1" customWidth="1"/>
    <col min="9734" max="9734" width="13.7109375" style="53" bestFit="1" customWidth="1"/>
    <col min="9735" max="9735" width="15.7109375" style="53" bestFit="1" customWidth="1"/>
    <col min="9736" max="9736" width="13.140625" style="53" bestFit="1" customWidth="1"/>
    <col min="9737" max="9737" width="11.85546875" style="53" bestFit="1" customWidth="1"/>
    <col min="9738" max="9738" width="12.85546875" style="53" bestFit="1" customWidth="1"/>
    <col min="9739" max="9984" width="9.140625" style="53"/>
    <col min="9985" max="9985" width="9.28515625" style="53" customWidth="1"/>
    <col min="9986" max="9986" width="39.85546875" style="53" customWidth="1"/>
    <col min="9987" max="9987" width="18.28515625" style="53" customWidth="1"/>
    <col min="9988" max="9988" width="23.85546875" style="53" customWidth="1"/>
    <col min="9989" max="9989" width="16" style="53" bestFit="1" customWidth="1"/>
    <col min="9990" max="9990" width="13.7109375" style="53" bestFit="1" customWidth="1"/>
    <col min="9991" max="9991" width="15.7109375" style="53" bestFit="1" customWidth="1"/>
    <col min="9992" max="9992" width="13.140625" style="53" bestFit="1" customWidth="1"/>
    <col min="9993" max="9993" width="11.85546875" style="53" bestFit="1" customWidth="1"/>
    <col min="9994" max="9994" width="12.85546875" style="53" bestFit="1" customWidth="1"/>
    <col min="9995" max="10240" width="9.140625" style="53"/>
    <col min="10241" max="10241" width="9.28515625" style="53" customWidth="1"/>
    <col min="10242" max="10242" width="39.85546875" style="53" customWidth="1"/>
    <col min="10243" max="10243" width="18.28515625" style="53" customWidth="1"/>
    <col min="10244" max="10244" width="23.85546875" style="53" customWidth="1"/>
    <col min="10245" max="10245" width="16" style="53" bestFit="1" customWidth="1"/>
    <col min="10246" max="10246" width="13.7109375" style="53" bestFit="1" customWidth="1"/>
    <col min="10247" max="10247" width="15.7109375" style="53" bestFit="1" customWidth="1"/>
    <col min="10248" max="10248" width="13.140625" style="53" bestFit="1" customWidth="1"/>
    <col min="10249" max="10249" width="11.85546875" style="53" bestFit="1" customWidth="1"/>
    <col min="10250" max="10250" width="12.85546875" style="53" bestFit="1" customWidth="1"/>
    <col min="10251" max="10496" width="9.140625" style="53"/>
    <col min="10497" max="10497" width="9.28515625" style="53" customWidth="1"/>
    <col min="10498" max="10498" width="39.85546875" style="53" customWidth="1"/>
    <col min="10499" max="10499" width="18.28515625" style="53" customWidth="1"/>
    <col min="10500" max="10500" width="23.85546875" style="53" customWidth="1"/>
    <col min="10501" max="10501" width="16" style="53" bestFit="1" customWidth="1"/>
    <col min="10502" max="10502" width="13.7109375" style="53" bestFit="1" customWidth="1"/>
    <col min="10503" max="10503" width="15.7109375" style="53" bestFit="1" customWidth="1"/>
    <col min="10504" max="10504" width="13.140625" style="53" bestFit="1" customWidth="1"/>
    <col min="10505" max="10505" width="11.85546875" style="53" bestFit="1" customWidth="1"/>
    <col min="10506" max="10506" width="12.85546875" style="53" bestFit="1" customWidth="1"/>
    <col min="10507" max="10752" width="9.140625" style="53"/>
    <col min="10753" max="10753" width="9.28515625" style="53" customWidth="1"/>
    <col min="10754" max="10754" width="39.85546875" style="53" customWidth="1"/>
    <col min="10755" max="10755" width="18.28515625" style="53" customWidth="1"/>
    <col min="10756" max="10756" width="23.85546875" style="53" customWidth="1"/>
    <col min="10757" max="10757" width="16" style="53" bestFit="1" customWidth="1"/>
    <col min="10758" max="10758" width="13.7109375" style="53" bestFit="1" customWidth="1"/>
    <col min="10759" max="10759" width="15.7109375" style="53" bestFit="1" customWidth="1"/>
    <col min="10760" max="10760" width="13.140625" style="53" bestFit="1" customWidth="1"/>
    <col min="10761" max="10761" width="11.85546875" style="53" bestFit="1" customWidth="1"/>
    <col min="10762" max="10762" width="12.85546875" style="53" bestFit="1" customWidth="1"/>
    <col min="10763" max="11008" width="9.140625" style="53"/>
    <col min="11009" max="11009" width="9.28515625" style="53" customWidth="1"/>
    <col min="11010" max="11010" width="39.85546875" style="53" customWidth="1"/>
    <col min="11011" max="11011" width="18.28515625" style="53" customWidth="1"/>
    <col min="11012" max="11012" width="23.85546875" style="53" customWidth="1"/>
    <col min="11013" max="11013" width="16" style="53" bestFit="1" customWidth="1"/>
    <col min="11014" max="11014" width="13.7109375" style="53" bestFit="1" customWidth="1"/>
    <col min="11015" max="11015" width="15.7109375" style="53" bestFit="1" customWidth="1"/>
    <col min="11016" max="11016" width="13.140625" style="53" bestFit="1" customWidth="1"/>
    <col min="11017" max="11017" width="11.85546875" style="53" bestFit="1" customWidth="1"/>
    <col min="11018" max="11018" width="12.85546875" style="53" bestFit="1" customWidth="1"/>
    <col min="11019" max="11264" width="9.140625" style="53"/>
    <col min="11265" max="11265" width="9.28515625" style="53" customWidth="1"/>
    <col min="11266" max="11266" width="39.85546875" style="53" customWidth="1"/>
    <col min="11267" max="11267" width="18.28515625" style="53" customWidth="1"/>
    <col min="11268" max="11268" width="23.85546875" style="53" customWidth="1"/>
    <col min="11269" max="11269" width="16" style="53" bestFit="1" customWidth="1"/>
    <col min="11270" max="11270" width="13.7109375" style="53" bestFit="1" customWidth="1"/>
    <col min="11271" max="11271" width="15.7109375" style="53" bestFit="1" customWidth="1"/>
    <col min="11272" max="11272" width="13.140625" style="53" bestFit="1" customWidth="1"/>
    <col min="11273" max="11273" width="11.85546875" style="53" bestFit="1" customWidth="1"/>
    <col min="11274" max="11274" width="12.85546875" style="53" bestFit="1" customWidth="1"/>
    <col min="11275" max="11520" width="9.140625" style="53"/>
    <col min="11521" max="11521" width="9.28515625" style="53" customWidth="1"/>
    <col min="11522" max="11522" width="39.85546875" style="53" customWidth="1"/>
    <col min="11523" max="11523" width="18.28515625" style="53" customWidth="1"/>
    <col min="11524" max="11524" width="23.85546875" style="53" customWidth="1"/>
    <col min="11525" max="11525" width="16" style="53" bestFit="1" customWidth="1"/>
    <col min="11526" max="11526" width="13.7109375" style="53" bestFit="1" customWidth="1"/>
    <col min="11527" max="11527" width="15.7109375" style="53" bestFit="1" customWidth="1"/>
    <col min="11528" max="11528" width="13.140625" style="53" bestFit="1" customWidth="1"/>
    <col min="11529" max="11529" width="11.85546875" style="53" bestFit="1" customWidth="1"/>
    <col min="11530" max="11530" width="12.85546875" style="53" bestFit="1" customWidth="1"/>
    <col min="11531" max="11776" width="9.140625" style="53"/>
    <col min="11777" max="11777" width="9.28515625" style="53" customWidth="1"/>
    <col min="11778" max="11778" width="39.85546875" style="53" customWidth="1"/>
    <col min="11779" max="11779" width="18.28515625" style="53" customWidth="1"/>
    <col min="11780" max="11780" width="23.85546875" style="53" customWidth="1"/>
    <col min="11781" max="11781" width="16" style="53" bestFit="1" customWidth="1"/>
    <col min="11782" max="11782" width="13.7109375" style="53" bestFit="1" customWidth="1"/>
    <col min="11783" max="11783" width="15.7109375" style="53" bestFit="1" customWidth="1"/>
    <col min="11784" max="11784" width="13.140625" style="53" bestFit="1" customWidth="1"/>
    <col min="11785" max="11785" width="11.85546875" style="53" bestFit="1" customWidth="1"/>
    <col min="11786" max="11786" width="12.85546875" style="53" bestFit="1" customWidth="1"/>
    <col min="11787" max="12032" width="9.140625" style="53"/>
    <col min="12033" max="12033" width="9.28515625" style="53" customWidth="1"/>
    <col min="12034" max="12034" width="39.85546875" style="53" customWidth="1"/>
    <col min="12035" max="12035" width="18.28515625" style="53" customWidth="1"/>
    <col min="12036" max="12036" width="23.85546875" style="53" customWidth="1"/>
    <col min="12037" max="12037" width="16" style="53" bestFit="1" customWidth="1"/>
    <col min="12038" max="12038" width="13.7109375" style="53" bestFit="1" customWidth="1"/>
    <col min="12039" max="12039" width="15.7109375" style="53" bestFit="1" customWidth="1"/>
    <col min="12040" max="12040" width="13.140625" style="53" bestFit="1" customWidth="1"/>
    <col min="12041" max="12041" width="11.85546875" style="53" bestFit="1" customWidth="1"/>
    <col min="12042" max="12042" width="12.85546875" style="53" bestFit="1" customWidth="1"/>
    <col min="12043" max="12288" width="9.140625" style="53"/>
    <col min="12289" max="12289" width="9.28515625" style="53" customWidth="1"/>
    <col min="12290" max="12290" width="39.85546875" style="53" customWidth="1"/>
    <col min="12291" max="12291" width="18.28515625" style="53" customWidth="1"/>
    <col min="12292" max="12292" width="23.85546875" style="53" customWidth="1"/>
    <col min="12293" max="12293" width="16" style="53" bestFit="1" customWidth="1"/>
    <col min="12294" max="12294" width="13.7109375" style="53" bestFit="1" customWidth="1"/>
    <col min="12295" max="12295" width="15.7109375" style="53" bestFit="1" customWidth="1"/>
    <col min="12296" max="12296" width="13.140625" style="53" bestFit="1" customWidth="1"/>
    <col min="12297" max="12297" width="11.85546875" style="53" bestFit="1" customWidth="1"/>
    <col min="12298" max="12298" width="12.85546875" style="53" bestFit="1" customWidth="1"/>
    <col min="12299" max="12544" width="9.140625" style="53"/>
    <col min="12545" max="12545" width="9.28515625" style="53" customWidth="1"/>
    <col min="12546" max="12546" width="39.85546875" style="53" customWidth="1"/>
    <col min="12547" max="12547" width="18.28515625" style="53" customWidth="1"/>
    <col min="12548" max="12548" width="23.85546875" style="53" customWidth="1"/>
    <col min="12549" max="12549" width="16" style="53" bestFit="1" customWidth="1"/>
    <col min="12550" max="12550" width="13.7109375" style="53" bestFit="1" customWidth="1"/>
    <col min="12551" max="12551" width="15.7109375" style="53" bestFit="1" customWidth="1"/>
    <col min="12552" max="12552" width="13.140625" style="53" bestFit="1" customWidth="1"/>
    <col min="12553" max="12553" width="11.85546875" style="53" bestFit="1" customWidth="1"/>
    <col min="12554" max="12554" width="12.85546875" style="53" bestFit="1" customWidth="1"/>
    <col min="12555" max="12800" width="9.140625" style="53"/>
    <col min="12801" max="12801" width="9.28515625" style="53" customWidth="1"/>
    <col min="12802" max="12802" width="39.85546875" style="53" customWidth="1"/>
    <col min="12803" max="12803" width="18.28515625" style="53" customWidth="1"/>
    <col min="12804" max="12804" width="23.85546875" style="53" customWidth="1"/>
    <col min="12805" max="12805" width="16" style="53" bestFit="1" customWidth="1"/>
    <col min="12806" max="12806" width="13.7109375" style="53" bestFit="1" customWidth="1"/>
    <col min="12807" max="12807" width="15.7109375" style="53" bestFit="1" customWidth="1"/>
    <col min="12808" max="12808" width="13.140625" style="53" bestFit="1" customWidth="1"/>
    <col min="12809" max="12809" width="11.85546875" style="53" bestFit="1" customWidth="1"/>
    <col min="12810" max="12810" width="12.85546875" style="53" bestFit="1" customWidth="1"/>
    <col min="12811" max="13056" width="9.140625" style="53"/>
    <col min="13057" max="13057" width="9.28515625" style="53" customWidth="1"/>
    <col min="13058" max="13058" width="39.85546875" style="53" customWidth="1"/>
    <col min="13059" max="13059" width="18.28515625" style="53" customWidth="1"/>
    <col min="13060" max="13060" width="23.85546875" style="53" customWidth="1"/>
    <col min="13061" max="13061" width="16" style="53" bestFit="1" customWidth="1"/>
    <col min="13062" max="13062" width="13.7109375" style="53" bestFit="1" customWidth="1"/>
    <col min="13063" max="13063" width="15.7109375" style="53" bestFit="1" customWidth="1"/>
    <col min="13064" max="13064" width="13.140625" style="53" bestFit="1" customWidth="1"/>
    <col min="13065" max="13065" width="11.85546875" style="53" bestFit="1" customWidth="1"/>
    <col min="13066" max="13066" width="12.85546875" style="53" bestFit="1" customWidth="1"/>
    <col min="13067" max="13312" width="9.140625" style="53"/>
    <col min="13313" max="13313" width="9.28515625" style="53" customWidth="1"/>
    <col min="13314" max="13314" width="39.85546875" style="53" customWidth="1"/>
    <col min="13315" max="13315" width="18.28515625" style="53" customWidth="1"/>
    <col min="13316" max="13316" width="23.85546875" style="53" customWidth="1"/>
    <col min="13317" max="13317" width="16" style="53" bestFit="1" customWidth="1"/>
    <col min="13318" max="13318" width="13.7109375" style="53" bestFit="1" customWidth="1"/>
    <col min="13319" max="13319" width="15.7109375" style="53" bestFit="1" customWidth="1"/>
    <col min="13320" max="13320" width="13.140625" style="53" bestFit="1" customWidth="1"/>
    <col min="13321" max="13321" width="11.85546875" style="53" bestFit="1" customWidth="1"/>
    <col min="13322" max="13322" width="12.85546875" style="53" bestFit="1" customWidth="1"/>
    <col min="13323" max="13568" width="9.140625" style="53"/>
    <col min="13569" max="13569" width="9.28515625" style="53" customWidth="1"/>
    <col min="13570" max="13570" width="39.85546875" style="53" customWidth="1"/>
    <col min="13571" max="13571" width="18.28515625" style="53" customWidth="1"/>
    <col min="13572" max="13572" width="23.85546875" style="53" customWidth="1"/>
    <col min="13573" max="13573" width="16" style="53" bestFit="1" customWidth="1"/>
    <col min="13574" max="13574" width="13.7109375" style="53" bestFit="1" customWidth="1"/>
    <col min="13575" max="13575" width="15.7109375" style="53" bestFit="1" customWidth="1"/>
    <col min="13576" max="13576" width="13.140625" style="53" bestFit="1" customWidth="1"/>
    <col min="13577" max="13577" width="11.85546875" style="53" bestFit="1" customWidth="1"/>
    <col min="13578" max="13578" width="12.85546875" style="53" bestFit="1" customWidth="1"/>
    <col min="13579" max="13824" width="9.140625" style="53"/>
    <col min="13825" max="13825" width="9.28515625" style="53" customWidth="1"/>
    <col min="13826" max="13826" width="39.85546875" style="53" customWidth="1"/>
    <col min="13827" max="13827" width="18.28515625" style="53" customWidth="1"/>
    <col min="13828" max="13828" width="23.85546875" style="53" customWidth="1"/>
    <col min="13829" max="13829" width="16" style="53" bestFit="1" customWidth="1"/>
    <col min="13830" max="13830" width="13.7109375" style="53" bestFit="1" customWidth="1"/>
    <col min="13831" max="13831" width="15.7109375" style="53" bestFit="1" customWidth="1"/>
    <col min="13832" max="13832" width="13.140625" style="53" bestFit="1" customWidth="1"/>
    <col min="13833" max="13833" width="11.85546875" style="53" bestFit="1" customWidth="1"/>
    <col min="13834" max="13834" width="12.85546875" style="53" bestFit="1" customWidth="1"/>
    <col min="13835" max="14080" width="9.140625" style="53"/>
    <col min="14081" max="14081" width="9.28515625" style="53" customWidth="1"/>
    <col min="14082" max="14082" width="39.85546875" style="53" customWidth="1"/>
    <col min="14083" max="14083" width="18.28515625" style="53" customWidth="1"/>
    <col min="14084" max="14084" width="23.85546875" style="53" customWidth="1"/>
    <col min="14085" max="14085" width="16" style="53" bestFit="1" customWidth="1"/>
    <col min="14086" max="14086" width="13.7109375" style="53" bestFit="1" customWidth="1"/>
    <col min="14087" max="14087" width="15.7109375" style="53" bestFit="1" customWidth="1"/>
    <col min="14088" max="14088" width="13.140625" style="53" bestFit="1" customWidth="1"/>
    <col min="14089" max="14089" width="11.85546875" style="53" bestFit="1" customWidth="1"/>
    <col min="14090" max="14090" width="12.85546875" style="53" bestFit="1" customWidth="1"/>
    <col min="14091" max="14336" width="9.140625" style="53"/>
    <col min="14337" max="14337" width="9.28515625" style="53" customWidth="1"/>
    <col min="14338" max="14338" width="39.85546875" style="53" customWidth="1"/>
    <col min="14339" max="14339" width="18.28515625" style="53" customWidth="1"/>
    <col min="14340" max="14340" width="23.85546875" style="53" customWidth="1"/>
    <col min="14341" max="14341" width="16" style="53" bestFit="1" customWidth="1"/>
    <col min="14342" max="14342" width="13.7109375" style="53" bestFit="1" customWidth="1"/>
    <col min="14343" max="14343" width="15.7109375" style="53" bestFit="1" customWidth="1"/>
    <col min="14344" max="14344" width="13.140625" style="53" bestFit="1" customWidth="1"/>
    <col min="14345" max="14345" width="11.85546875" style="53" bestFit="1" customWidth="1"/>
    <col min="14346" max="14346" width="12.85546875" style="53" bestFit="1" customWidth="1"/>
    <col min="14347" max="14592" width="9.140625" style="53"/>
    <col min="14593" max="14593" width="9.28515625" style="53" customWidth="1"/>
    <col min="14594" max="14594" width="39.85546875" style="53" customWidth="1"/>
    <col min="14595" max="14595" width="18.28515625" style="53" customWidth="1"/>
    <col min="14596" max="14596" width="23.85546875" style="53" customWidth="1"/>
    <col min="14597" max="14597" width="16" style="53" bestFit="1" customWidth="1"/>
    <col min="14598" max="14598" width="13.7109375" style="53" bestFit="1" customWidth="1"/>
    <col min="14599" max="14599" width="15.7109375" style="53" bestFit="1" customWidth="1"/>
    <col min="14600" max="14600" width="13.140625" style="53" bestFit="1" customWidth="1"/>
    <col min="14601" max="14601" width="11.85546875" style="53" bestFit="1" customWidth="1"/>
    <col min="14602" max="14602" width="12.85546875" style="53" bestFit="1" customWidth="1"/>
    <col min="14603" max="14848" width="9.140625" style="53"/>
    <col min="14849" max="14849" width="9.28515625" style="53" customWidth="1"/>
    <col min="14850" max="14850" width="39.85546875" style="53" customWidth="1"/>
    <col min="14851" max="14851" width="18.28515625" style="53" customWidth="1"/>
    <col min="14852" max="14852" width="23.85546875" style="53" customWidth="1"/>
    <col min="14853" max="14853" width="16" style="53" bestFit="1" customWidth="1"/>
    <col min="14854" max="14854" width="13.7109375" style="53" bestFit="1" customWidth="1"/>
    <col min="14855" max="14855" width="15.7109375" style="53" bestFit="1" customWidth="1"/>
    <col min="14856" max="14856" width="13.140625" style="53" bestFit="1" customWidth="1"/>
    <col min="14857" max="14857" width="11.85546875" style="53" bestFit="1" customWidth="1"/>
    <col min="14858" max="14858" width="12.85546875" style="53" bestFit="1" customWidth="1"/>
    <col min="14859" max="15104" width="9.140625" style="53"/>
    <col min="15105" max="15105" width="9.28515625" style="53" customWidth="1"/>
    <col min="15106" max="15106" width="39.85546875" style="53" customWidth="1"/>
    <col min="15107" max="15107" width="18.28515625" style="53" customWidth="1"/>
    <col min="15108" max="15108" width="23.85546875" style="53" customWidth="1"/>
    <col min="15109" max="15109" width="16" style="53" bestFit="1" customWidth="1"/>
    <col min="15110" max="15110" width="13.7109375" style="53" bestFit="1" customWidth="1"/>
    <col min="15111" max="15111" width="15.7109375" style="53" bestFit="1" customWidth="1"/>
    <col min="15112" max="15112" width="13.140625" style="53" bestFit="1" customWidth="1"/>
    <col min="15113" max="15113" width="11.85546875" style="53" bestFit="1" customWidth="1"/>
    <col min="15114" max="15114" width="12.85546875" style="53" bestFit="1" customWidth="1"/>
    <col min="15115" max="15360" width="9.140625" style="53"/>
    <col min="15361" max="15361" width="9.28515625" style="53" customWidth="1"/>
    <col min="15362" max="15362" width="39.85546875" style="53" customWidth="1"/>
    <col min="15363" max="15363" width="18.28515625" style="53" customWidth="1"/>
    <col min="15364" max="15364" width="23.85546875" style="53" customWidth="1"/>
    <col min="15365" max="15365" width="16" style="53" bestFit="1" customWidth="1"/>
    <col min="15366" max="15366" width="13.7109375" style="53" bestFit="1" customWidth="1"/>
    <col min="15367" max="15367" width="15.7109375" style="53" bestFit="1" customWidth="1"/>
    <col min="15368" max="15368" width="13.140625" style="53" bestFit="1" customWidth="1"/>
    <col min="15369" max="15369" width="11.85546875" style="53" bestFit="1" customWidth="1"/>
    <col min="15370" max="15370" width="12.85546875" style="53" bestFit="1" customWidth="1"/>
    <col min="15371" max="15616" width="9.140625" style="53"/>
    <col min="15617" max="15617" width="9.28515625" style="53" customWidth="1"/>
    <col min="15618" max="15618" width="39.85546875" style="53" customWidth="1"/>
    <col min="15619" max="15619" width="18.28515625" style="53" customWidth="1"/>
    <col min="15620" max="15620" width="23.85546875" style="53" customWidth="1"/>
    <col min="15621" max="15621" width="16" style="53" bestFit="1" customWidth="1"/>
    <col min="15622" max="15622" width="13.7109375" style="53" bestFit="1" customWidth="1"/>
    <col min="15623" max="15623" width="15.7109375" style="53" bestFit="1" customWidth="1"/>
    <col min="15624" max="15624" width="13.140625" style="53" bestFit="1" customWidth="1"/>
    <col min="15625" max="15625" width="11.85546875" style="53" bestFit="1" customWidth="1"/>
    <col min="15626" max="15626" width="12.85546875" style="53" bestFit="1" customWidth="1"/>
    <col min="15627" max="15872" width="9.140625" style="53"/>
    <col min="15873" max="15873" width="9.28515625" style="53" customWidth="1"/>
    <col min="15874" max="15874" width="39.85546875" style="53" customWidth="1"/>
    <col min="15875" max="15875" width="18.28515625" style="53" customWidth="1"/>
    <col min="15876" max="15876" width="23.85546875" style="53" customWidth="1"/>
    <col min="15877" max="15877" width="16" style="53" bestFit="1" customWidth="1"/>
    <col min="15878" max="15878" width="13.7109375" style="53" bestFit="1" customWidth="1"/>
    <col min="15879" max="15879" width="15.7109375" style="53" bestFit="1" customWidth="1"/>
    <col min="15880" max="15880" width="13.140625" style="53" bestFit="1" customWidth="1"/>
    <col min="15881" max="15881" width="11.85546875" style="53" bestFit="1" customWidth="1"/>
    <col min="15882" max="15882" width="12.85546875" style="53" bestFit="1" customWidth="1"/>
    <col min="15883" max="16128" width="9.140625" style="53"/>
    <col min="16129" max="16129" width="9.28515625" style="53" customWidth="1"/>
    <col min="16130" max="16130" width="39.85546875" style="53" customWidth="1"/>
    <col min="16131" max="16131" width="18.28515625" style="53" customWidth="1"/>
    <col min="16132" max="16132" width="23.85546875" style="53" customWidth="1"/>
    <col min="16133" max="16133" width="16" style="53" bestFit="1" customWidth="1"/>
    <col min="16134" max="16134" width="13.7109375" style="53" bestFit="1" customWidth="1"/>
    <col min="16135" max="16135" width="15.7109375" style="53" bestFit="1" customWidth="1"/>
    <col min="16136" max="16136" width="13.140625" style="53" bestFit="1" customWidth="1"/>
    <col min="16137" max="16137" width="11.85546875" style="53" bestFit="1" customWidth="1"/>
    <col min="16138" max="16138" width="12.85546875" style="53" bestFit="1" customWidth="1"/>
    <col min="16139" max="16384" width="9.140625" style="53"/>
  </cols>
  <sheetData>
    <row r="3" spans="1:7" ht="15.75" customHeight="1">
      <c r="A3" s="543" t="s">
        <v>255</v>
      </c>
      <c r="B3" s="543"/>
      <c r="C3" s="543"/>
      <c r="D3" s="543"/>
      <c r="E3" s="52"/>
      <c r="F3" s="52"/>
      <c r="G3" s="52"/>
    </row>
    <row r="4" spans="1:7">
      <c r="A4" s="543"/>
      <c r="B4" s="543"/>
      <c r="C4" s="543"/>
      <c r="D4" s="543"/>
      <c r="E4" s="52"/>
      <c r="F4" s="52"/>
      <c r="G4" s="52"/>
    </row>
    <row r="5" spans="1:7">
      <c r="A5" s="54"/>
      <c r="B5" s="52"/>
      <c r="C5" s="52"/>
      <c r="D5" s="52"/>
      <c r="E5" s="52"/>
      <c r="F5" s="52"/>
      <c r="G5" s="52"/>
    </row>
    <row r="6" spans="1:7" ht="15.75" customHeight="1">
      <c r="A6" s="544" t="s">
        <v>550</v>
      </c>
      <c r="B6" s="544"/>
      <c r="C6" s="544"/>
      <c r="D6" s="544"/>
      <c r="E6" s="52"/>
      <c r="F6" s="52"/>
      <c r="G6" s="52"/>
    </row>
    <row r="7" spans="1:7">
      <c r="A7" s="522"/>
      <c r="B7" s="522"/>
      <c r="C7" s="522"/>
      <c r="D7" s="522"/>
    </row>
    <row r="8" spans="1:7">
      <c r="A8" s="237" t="s">
        <v>551</v>
      </c>
      <c r="B8" s="238"/>
      <c r="C8" s="187"/>
      <c r="D8" s="187"/>
    </row>
    <row r="9" spans="1:7">
      <c r="A9" s="522"/>
      <c r="B9" s="522"/>
      <c r="C9" s="522"/>
      <c r="D9" s="522"/>
    </row>
    <row r="10" spans="1:7">
      <c r="A10" s="57" t="s">
        <v>256</v>
      </c>
      <c r="B10" s="188"/>
      <c r="C10" s="187"/>
      <c r="D10" s="187"/>
    </row>
    <row r="11" spans="1:7">
      <c r="A11" s="59" t="s">
        <v>257</v>
      </c>
      <c r="B11" s="541" t="s">
        <v>258</v>
      </c>
      <c r="C11" s="542"/>
      <c r="D11" s="239">
        <v>42550</v>
      </c>
    </row>
    <row r="12" spans="1:7">
      <c r="A12" s="59" t="s">
        <v>259</v>
      </c>
      <c r="B12" s="62" t="s">
        <v>260</v>
      </c>
      <c r="C12" s="63"/>
      <c r="D12" s="240" t="s">
        <v>374</v>
      </c>
    </row>
    <row r="13" spans="1:7">
      <c r="A13" s="59" t="s">
        <v>261</v>
      </c>
      <c r="B13" s="541" t="s">
        <v>262</v>
      </c>
      <c r="C13" s="542"/>
      <c r="D13" s="240">
        <v>2016</v>
      </c>
    </row>
    <row r="14" spans="1:7">
      <c r="A14" s="64" t="s">
        <v>263</v>
      </c>
      <c r="B14" s="65" t="s">
        <v>555</v>
      </c>
      <c r="C14" s="66"/>
      <c r="D14" s="239">
        <v>42625</v>
      </c>
    </row>
    <row r="16" spans="1:7">
      <c r="A16" s="190"/>
    </row>
    <row r="17" spans="1:7">
      <c r="A17" s="523"/>
      <c r="B17" s="523"/>
      <c r="C17" s="523"/>
      <c r="D17" s="523"/>
      <c r="E17" s="523"/>
      <c r="F17" s="523"/>
      <c r="G17" s="523"/>
    </row>
    <row r="18" spans="1:7" ht="35.25" customHeight="1">
      <c r="A18" s="545" t="s">
        <v>264</v>
      </c>
      <c r="B18" s="545"/>
      <c r="C18" s="67" t="s">
        <v>265</v>
      </c>
      <c r="D18" s="67" t="s">
        <v>266</v>
      </c>
    </row>
    <row r="19" spans="1:7">
      <c r="A19" s="241">
        <v>1</v>
      </c>
      <c r="B19" s="242" t="s">
        <v>2</v>
      </c>
      <c r="C19" s="241" t="s">
        <v>267</v>
      </c>
      <c r="D19" s="243">
        <v>4</v>
      </c>
    </row>
    <row r="20" spans="1:7">
      <c r="A20" s="68"/>
      <c r="B20" s="69"/>
      <c r="C20" s="68"/>
      <c r="D20" s="70"/>
    </row>
    <row r="21" spans="1:7">
      <c r="A21" s="522" t="s">
        <v>268</v>
      </c>
      <c r="B21" s="522"/>
      <c r="C21" s="522"/>
      <c r="D21" s="522"/>
      <c r="E21" s="522"/>
      <c r="F21" s="522"/>
      <c r="G21" s="522"/>
    </row>
    <row r="22" spans="1:7">
      <c r="A22" s="71"/>
    </row>
    <row r="23" spans="1:7">
      <c r="A23" s="57" t="s">
        <v>269</v>
      </c>
    </row>
    <row r="24" spans="1:7">
      <c r="A24" s="57" t="s">
        <v>270</v>
      </c>
    </row>
    <row r="25" spans="1:7">
      <c r="A25" s="72" t="s">
        <v>271</v>
      </c>
      <c r="B25" s="60"/>
      <c r="C25" s="60"/>
      <c r="D25" s="61"/>
    </row>
    <row r="26" spans="1:7">
      <c r="A26" s="73">
        <v>1</v>
      </c>
      <c r="B26" s="74" t="s">
        <v>272</v>
      </c>
      <c r="C26" s="74"/>
      <c r="D26" s="244" t="str">
        <f>B19</f>
        <v>Porteiro</v>
      </c>
    </row>
    <row r="27" spans="1:7" ht="30.75" customHeight="1">
      <c r="A27" s="73">
        <v>2</v>
      </c>
      <c r="B27" s="539" t="s">
        <v>273</v>
      </c>
      <c r="C27" s="540"/>
      <c r="D27" s="175">
        <v>1475</v>
      </c>
    </row>
    <row r="28" spans="1:7" ht="31.5" customHeight="1">
      <c r="A28" s="73">
        <v>3</v>
      </c>
      <c r="B28" s="539" t="s">
        <v>274</v>
      </c>
      <c r="C28" s="540"/>
      <c r="D28" s="176" t="s">
        <v>375</v>
      </c>
    </row>
    <row r="29" spans="1:7">
      <c r="A29" s="75">
        <v>4</v>
      </c>
      <c r="B29" s="76" t="s">
        <v>275</v>
      </c>
      <c r="C29" s="76"/>
      <c r="D29" s="77">
        <v>42401</v>
      </c>
    </row>
    <row r="30" spans="1:7">
      <c r="A30" s="71"/>
    </row>
    <row r="31" spans="1:7">
      <c r="A31" s="71"/>
    </row>
    <row r="32" spans="1:7">
      <c r="A32" s="71"/>
    </row>
    <row r="33" spans="1:7" ht="16.5" customHeight="1" thickBot="1">
      <c r="A33" s="523" t="s">
        <v>276</v>
      </c>
      <c r="B33" s="523"/>
      <c r="C33" s="523"/>
      <c r="D33" s="523"/>
      <c r="E33" s="523"/>
      <c r="F33" s="52"/>
      <c r="G33" s="52"/>
    </row>
    <row r="34" spans="1:7" ht="16.5" thickBot="1">
      <c r="A34" s="78" t="s">
        <v>277</v>
      </c>
      <c r="B34" s="79" t="s">
        <v>278</v>
      </c>
      <c r="C34" s="80"/>
      <c r="D34" s="81" t="s">
        <v>279</v>
      </c>
    </row>
    <row r="35" spans="1:7">
      <c r="A35" s="82" t="s">
        <v>257</v>
      </c>
      <c r="B35" s="83" t="s">
        <v>280</v>
      </c>
      <c r="C35" s="84"/>
      <c r="D35" s="85">
        <f>D27</f>
        <v>1475</v>
      </c>
    </row>
    <row r="36" spans="1:7">
      <c r="A36" s="191" t="s">
        <v>259</v>
      </c>
      <c r="B36" s="87" t="s">
        <v>281</v>
      </c>
      <c r="C36" s="88"/>
      <c r="D36" s="89">
        <v>0</v>
      </c>
    </row>
    <row r="37" spans="1:7">
      <c r="A37" s="191" t="s">
        <v>261</v>
      </c>
      <c r="B37" s="87" t="s">
        <v>282</v>
      </c>
      <c r="C37" s="90"/>
      <c r="D37" s="89">
        <v>0</v>
      </c>
    </row>
    <row r="38" spans="1:7">
      <c r="A38" s="191" t="s">
        <v>263</v>
      </c>
      <c r="B38" s="91" t="s">
        <v>552</v>
      </c>
      <c r="C38" s="88"/>
      <c r="D38" s="89">
        <v>47</v>
      </c>
    </row>
    <row r="39" spans="1:7">
      <c r="A39" s="191" t="s">
        <v>284</v>
      </c>
      <c r="B39" s="91" t="s">
        <v>285</v>
      </c>
      <c r="C39" s="92"/>
      <c r="D39" s="89">
        <v>0</v>
      </c>
    </row>
    <row r="40" spans="1:7">
      <c r="A40" s="191" t="s">
        <v>286</v>
      </c>
      <c r="B40" s="93" t="s">
        <v>287</v>
      </c>
      <c r="C40" s="92"/>
      <c r="D40" s="89">
        <v>0</v>
      </c>
    </row>
    <row r="41" spans="1:7">
      <c r="A41" s="191" t="s">
        <v>288</v>
      </c>
      <c r="B41" s="93" t="s">
        <v>289</v>
      </c>
      <c r="C41" s="92"/>
      <c r="D41" s="89">
        <v>0</v>
      </c>
    </row>
    <row r="42" spans="1:7" ht="16.5" thickBot="1">
      <c r="A42" s="191" t="s">
        <v>290</v>
      </c>
      <c r="B42" s="94" t="s">
        <v>376</v>
      </c>
      <c r="C42" s="95"/>
      <c r="D42" s="89">
        <v>0</v>
      </c>
    </row>
    <row r="43" spans="1:7" ht="16.5" thickBot="1">
      <c r="A43" s="96"/>
      <c r="B43" s="97" t="s">
        <v>292</v>
      </c>
      <c r="C43" s="98"/>
      <c r="D43" s="99">
        <f>SUM(D35:D42)</f>
        <v>1522</v>
      </c>
    </row>
    <row r="44" spans="1:7">
      <c r="A44" s="190"/>
    </row>
    <row r="45" spans="1:7" ht="16.5" thickBot="1">
      <c r="A45" s="523" t="s">
        <v>293</v>
      </c>
      <c r="B45" s="523"/>
      <c r="C45" s="523"/>
      <c r="D45" s="523"/>
      <c r="E45" s="523"/>
      <c r="F45" s="523"/>
      <c r="G45" s="523"/>
    </row>
    <row r="46" spans="1:7" ht="16.5" thickBot="1">
      <c r="A46" s="100">
        <v>2</v>
      </c>
      <c r="B46" s="189" t="s">
        <v>294</v>
      </c>
      <c r="C46" s="102"/>
      <c r="D46" s="100" t="s">
        <v>279</v>
      </c>
    </row>
    <row r="47" spans="1:7">
      <c r="A47" s="82" t="s">
        <v>257</v>
      </c>
      <c r="B47" s="83" t="s">
        <v>295</v>
      </c>
      <c r="C47" s="103"/>
      <c r="D47" s="104">
        <f>(3.7*52)-(D35*6%)</f>
        <v>103.9</v>
      </c>
    </row>
    <row r="48" spans="1:7" ht="31.5">
      <c r="A48" s="105" t="s">
        <v>259</v>
      </c>
      <c r="B48" s="106" t="s">
        <v>296</v>
      </c>
      <c r="C48" s="90"/>
      <c r="D48" s="107">
        <f>330*(1-20%)</f>
        <v>264</v>
      </c>
    </row>
    <row r="49" spans="1:7">
      <c r="A49" s="191" t="s">
        <v>261</v>
      </c>
      <c r="B49" s="87" t="s">
        <v>389</v>
      </c>
      <c r="C49" s="90"/>
      <c r="D49" s="107">
        <v>50</v>
      </c>
    </row>
    <row r="50" spans="1:7">
      <c r="A50" s="191" t="s">
        <v>263</v>
      </c>
      <c r="B50" s="87" t="s">
        <v>297</v>
      </c>
      <c r="C50" s="88"/>
      <c r="D50" s="107">
        <v>0</v>
      </c>
    </row>
    <row r="51" spans="1:7">
      <c r="A51" s="191" t="s">
        <v>284</v>
      </c>
      <c r="B51" s="87" t="s">
        <v>390</v>
      </c>
      <c r="C51" s="92"/>
      <c r="D51" s="108">
        <v>16</v>
      </c>
    </row>
    <row r="52" spans="1:7" ht="16.5" customHeight="1">
      <c r="A52" s="191" t="s">
        <v>286</v>
      </c>
      <c r="B52" s="535" t="s">
        <v>377</v>
      </c>
      <c r="C52" s="536"/>
      <c r="D52" s="108">
        <v>16</v>
      </c>
    </row>
    <row r="53" spans="1:7" ht="16.5" thickBot="1">
      <c r="A53" s="109" t="s">
        <v>288</v>
      </c>
      <c r="B53" s="537" t="s">
        <v>291</v>
      </c>
      <c r="C53" s="538"/>
      <c r="D53" s="110">
        <v>0</v>
      </c>
    </row>
    <row r="54" spans="1:7" ht="16.5" thickBot="1">
      <c r="A54" s="111"/>
      <c r="B54" s="189" t="s">
        <v>298</v>
      </c>
      <c r="C54" s="112"/>
      <c r="D54" s="113">
        <f>SUM(D47:D53)</f>
        <v>449.9</v>
      </c>
    </row>
    <row r="55" spans="1:7" ht="33" customHeight="1">
      <c r="A55" s="522" t="s">
        <v>299</v>
      </c>
      <c r="B55" s="522"/>
      <c r="C55" s="522"/>
      <c r="D55" s="522"/>
    </row>
    <row r="56" spans="1:7">
      <c r="A56" s="190"/>
    </row>
    <row r="57" spans="1:7" ht="16.5" thickBot="1">
      <c r="A57" s="523" t="s">
        <v>300</v>
      </c>
      <c r="B57" s="523"/>
      <c r="C57" s="523"/>
      <c r="D57" s="523"/>
      <c r="E57" s="523"/>
      <c r="F57" s="523"/>
      <c r="G57" s="523"/>
    </row>
    <row r="58" spans="1:7" ht="16.5" thickBot="1">
      <c r="A58" s="114">
        <v>3</v>
      </c>
      <c r="B58" s="189" t="s">
        <v>301</v>
      </c>
      <c r="C58" s="102"/>
      <c r="D58" s="100" t="s">
        <v>279</v>
      </c>
    </row>
    <row r="59" spans="1:7">
      <c r="A59" s="82" t="s">
        <v>257</v>
      </c>
      <c r="B59" s="83" t="s">
        <v>302</v>
      </c>
      <c r="C59" s="115"/>
      <c r="D59" s="116">
        <f>'ANEXO IV'!D19</f>
        <v>41.166666666666664</v>
      </c>
    </row>
    <row r="60" spans="1:7">
      <c r="A60" s="105" t="s">
        <v>259</v>
      </c>
      <c r="B60" s="106" t="s">
        <v>15</v>
      </c>
      <c r="C60" s="90"/>
      <c r="D60" s="107">
        <v>0</v>
      </c>
    </row>
    <row r="61" spans="1:7">
      <c r="A61" s="191" t="s">
        <v>261</v>
      </c>
      <c r="B61" s="87" t="s">
        <v>21</v>
      </c>
      <c r="C61" s="90"/>
      <c r="D61" s="107">
        <v>0</v>
      </c>
    </row>
    <row r="62" spans="1:7">
      <c r="A62" s="191" t="s">
        <v>263</v>
      </c>
      <c r="B62" s="535" t="s">
        <v>18</v>
      </c>
      <c r="C62" s="536"/>
      <c r="D62" s="108">
        <v>0</v>
      </c>
    </row>
    <row r="63" spans="1:7" ht="16.5" thickBot="1">
      <c r="A63" s="109" t="s">
        <v>284</v>
      </c>
      <c r="B63" s="537" t="s">
        <v>291</v>
      </c>
      <c r="C63" s="538"/>
      <c r="D63" s="110">
        <v>0</v>
      </c>
    </row>
    <row r="64" spans="1:7" ht="16.5" thickBot="1">
      <c r="A64" s="111"/>
      <c r="B64" s="189" t="s">
        <v>303</v>
      </c>
      <c r="C64" s="112"/>
      <c r="D64" s="113">
        <f>SUM(D59:D63)</f>
        <v>41.166666666666664</v>
      </c>
    </row>
    <row r="65" spans="1:7">
      <c r="A65" s="522" t="s">
        <v>304</v>
      </c>
      <c r="B65" s="522"/>
      <c r="C65" s="522"/>
      <c r="D65" s="522"/>
      <c r="E65" s="522"/>
      <c r="F65" s="522"/>
      <c r="G65" s="522"/>
    </row>
    <row r="66" spans="1:7">
      <c r="A66" s="190"/>
    </row>
    <row r="67" spans="1:7">
      <c r="A67" s="523" t="s">
        <v>305</v>
      </c>
      <c r="B67" s="523"/>
      <c r="C67" s="523"/>
      <c r="D67" s="523"/>
      <c r="E67" s="523"/>
      <c r="F67" s="523"/>
      <c r="G67" s="523"/>
    </row>
    <row r="68" spans="1:7" ht="16.5" thickBot="1">
      <c r="A68" s="523" t="s">
        <v>306</v>
      </c>
      <c r="B68" s="523"/>
      <c r="C68" s="523"/>
      <c r="D68" s="523"/>
      <c r="E68" s="523"/>
      <c r="F68" s="523"/>
      <c r="G68" s="523"/>
    </row>
    <row r="69" spans="1:7" ht="16.5" thickBot="1">
      <c r="A69" s="117" t="s">
        <v>307</v>
      </c>
      <c r="B69" s="118" t="s">
        <v>308</v>
      </c>
      <c r="C69" s="117" t="s">
        <v>4</v>
      </c>
      <c r="D69" s="117" t="s">
        <v>279</v>
      </c>
    </row>
    <row r="70" spans="1:7">
      <c r="A70" s="82" t="s">
        <v>257</v>
      </c>
      <c r="B70" s="119" t="s">
        <v>8</v>
      </c>
      <c r="C70" s="120">
        <v>0.2</v>
      </c>
      <c r="D70" s="104">
        <f t="shared" ref="D70:D77" si="0">ROUND($D$43*C70,2)</f>
        <v>304.39999999999998</v>
      </c>
    </row>
    <row r="71" spans="1:7">
      <c r="A71" s="105" t="s">
        <v>259</v>
      </c>
      <c r="B71" s="121" t="s">
        <v>309</v>
      </c>
      <c r="C71" s="122">
        <v>1.4999999999999999E-2</v>
      </c>
      <c r="D71" s="107">
        <f t="shared" si="0"/>
        <v>22.83</v>
      </c>
    </row>
    <row r="72" spans="1:7">
      <c r="A72" s="191" t="s">
        <v>261</v>
      </c>
      <c r="B72" s="123" t="s">
        <v>310</v>
      </c>
      <c r="C72" s="122">
        <v>0.01</v>
      </c>
      <c r="D72" s="107">
        <f t="shared" si="0"/>
        <v>15.22</v>
      </c>
    </row>
    <row r="73" spans="1:7">
      <c r="A73" s="105" t="s">
        <v>263</v>
      </c>
      <c r="B73" s="121" t="s">
        <v>9</v>
      </c>
      <c r="C73" s="122">
        <v>2E-3</v>
      </c>
      <c r="D73" s="107">
        <f t="shared" si="0"/>
        <v>3.04</v>
      </c>
    </row>
    <row r="74" spans="1:7">
      <c r="A74" s="191" t="s">
        <v>284</v>
      </c>
      <c r="B74" s="123" t="s">
        <v>10</v>
      </c>
      <c r="C74" s="122">
        <v>2.5000000000000001E-2</v>
      </c>
      <c r="D74" s="107">
        <f t="shared" si="0"/>
        <v>38.049999999999997</v>
      </c>
    </row>
    <row r="75" spans="1:7">
      <c r="A75" s="105" t="s">
        <v>286</v>
      </c>
      <c r="B75" s="121" t="s">
        <v>11</v>
      </c>
      <c r="C75" s="122">
        <v>0.08</v>
      </c>
      <c r="D75" s="107">
        <f t="shared" si="0"/>
        <v>121.76</v>
      </c>
    </row>
    <row r="76" spans="1:7" ht="31.5">
      <c r="A76" s="191" t="s">
        <v>288</v>
      </c>
      <c r="B76" s="123" t="s">
        <v>378</v>
      </c>
      <c r="C76" s="141">
        <v>3.0499999999999999E-2</v>
      </c>
      <c r="D76" s="245">
        <f t="shared" si="0"/>
        <v>46.42</v>
      </c>
    </row>
    <row r="77" spans="1:7" ht="16.5" thickBot="1">
      <c r="A77" s="124" t="s">
        <v>290</v>
      </c>
      <c r="B77" s="125" t="s">
        <v>12</v>
      </c>
      <c r="C77" s="126">
        <v>6.0000000000000001E-3</v>
      </c>
      <c r="D77" s="110">
        <f t="shared" si="0"/>
        <v>9.1300000000000008</v>
      </c>
    </row>
    <row r="78" spans="1:7" ht="16.5" thickBot="1">
      <c r="A78" s="530" t="s">
        <v>7</v>
      </c>
      <c r="B78" s="531"/>
      <c r="C78" s="127">
        <f>SUM(C70:C77)</f>
        <v>0.36850000000000005</v>
      </c>
      <c r="D78" s="113">
        <f>SUM(D70:D77)</f>
        <v>560.85</v>
      </c>
    </row>
    <row r="79" spans="1:7">
      <c r="A79" s="534" t="s">
        <v>311</v>
      </c>
      <c r="B79" s="534"/>
      <c r="C79" s="534"/>
      <c r="D79" s="534"/>
    </row>
    <row r="80" spans="1:7" ht="16.5" customHeight="1">
      <c r="A80" s="534" t="s">
        <v>312</v>
      </c>
      <c r="B80" s="534"/>
      <c r="C80" s="534"/>
      <c r="D80" s="534"/>
    </row>
    <row r="81" spans="1:7">
      <c r="A81" s="190"/>
    </row>
    <row r="82" spans="1:7" ht="16.5" thickBot="1">
      <c r="A82" s="523" t="s">
        <v>313</v>
      </c>
      <c r="B82" s="523"/>
      <c r="C82" s="523"/>
      <c r="D82" s="523"/>
      <c r="E82" s="523"/>
      <c r="F82" s="523"/>
      <c r="G82" s="523"/>
    </row>
    <row r="83" spans="1:7" ht="16.5" thickBot="1">
      <c r="A83" s="117" t="s">
        <v>314</v>
      </c>
      <c r="B83" s="118" t="s">
        <v>315</v>
      </c>
      <c r="C83" s="117" t="s">
        <v>4</v>
      </c>
      <c r="D83" s="117" t="s">
        <v>279</v>
      </c>
    </row>
    <row r="84" spans="1:7">
      <c r="A84" s="82" t="s">
        <v>257</v>
      </c>
      <c r="B84" s="119" t="s">
        <v>316</v>
      </c>
      <c r="C84" s="120">
        <f>((5/56)*100)/100</f>
        <v>8.9285714285714288E-2</v>
      </c>
      <c r="D84" s="104">
        <f>ROUND($D$43*C84,2)</f>
        <v>135.88999999999999</v>
      </c>
    </row>
    <row r="85" spans="1:7">
      <c r="A85" s="105" t="s">
        <v>259</v>
      </c>
      <c r="B85" s="121" t="s">
        <v>317</v>
      </c>
      <c r="C85" s="128">
        <f>(1/3)*(5/56)</f>
        <v>2.976190476190476E-2</v>
      </c>
      <c r="D85" s="129">
        <f>ROUND($D$43*C85,2)</f>
        <v>45.3</v>
      </c>
    </row>
    <row r="86" spans="1:7">
      <c r="A86" s="130" t="s">
        <v>318</v>
      </c>
      <c r="B86" s="121"/>
      <c r="C86" s="131">
        <f>SUM(C84:C85)</f>
        <v>0.11904761904761904</v>
      </c>
      <c r="D86" s="132">
        <f>SUM(D84:D85)</f>
        <v>181.19</v>
      </c>
    </row>
    <row r="87" spans="1:7" ht="32.25" thickBot="1">
      <c r="A87" s="105" t="s">
        <v>261</v>
      </c>
      <c r="B87" s="121" t="s">
        <v>319</v>
      </c>
      <c r="C87" s="122">
        <f>D87/D43</f>
        <v>4.3869908015768726E-2</v>
      </c>
      <c r="D87" s="107">
        <f>ROUND(D78*C86,2)</f>
        <v>66.77</v>
      </c>
    </row>
    <row r="88" spans="1:7" ht="16.5" thickBot="1">
      <c r="A88" s="530" t="s">
        <v>7</v>
      </c>
      <c r="B88" s="531"/>
      <c r="C88" s="127">
        <f>C87+C86</f>
        <v>0.16291752706338777</v>
      </c>
      <c r="D88" s="113">
        <f>D86+D87</f>
        <v>247.95999999999998</v>
      </c>
    </row>
    <row r="89" spans="1:7">
      <c r="A89" s="190"/>
    </row>
    <row r="90" spans="1:7" ht="16.5" thickBot="1">
      <c r="A90" s="523" t="s">
        <v>320</v>
      </c>
      <c r="B90" s="523"/>
      <c r="C90" s="523"/>
      <c r="D90" s="523"/>
      <c r="E90" s="523"/>
      <c r="F90" s="523"/>
      <c r="G90" s="523"/>
    </row>
    <row r="91" spans="1:7" ht="16.5" thickBot="1">
      <c r="A91" s="117" t="s">
        <v>321</v>
      </c>
      <c r="B91" s="118" t="s">
        <v>322</v>
      </c>
      <c r="C91" s="117" t="s">
        <v>4</v>
      </c>
      <c r="D91" s="117" t="s">
        <v>279</v>
      </c>
    </row>
    <row r="92" spans="1:7">
      <c r="A92" s="82" t="s">
        <v>257</v>
      </c>
      <c r="B92" s="133" t="s">
        <v>323</v>
      </c>
      <c r="C92" s="120">
        <f>0.1111*0.02*0.3333</f>
        <v>7.4059259999999997E-4</v>
      </c>
      <c r="D92" s="104">
        <f>ROUND($D$43*C92,2)</f>
        <v>1.1299999999999999</v>
      </c>
    </row>
    <row r="93" spans="1:7" ht="32.25" thickBot="1">
      <c r="A93" s="109" t="s">
        <v>259</v>
      </c>
      <c r="B93" s="134" t="s">
        <v>324</v>
      </c>
      <c r="C93" s="126">
        <f>D93/D43</f>
        <v>2.759526938239159E-4</v>
      </c>
      <c r="D93" s="110">
        <f>ROUND(D78*C92,2)</f>
        <v>0.42</v>
      </c>
    </row>
    <row r="94" spans="1:7" ht="16.5" thickBot="1">
      <c r="A94" s="530" t="s">
        <v>7</v>
      </c>
      <c r="B94" s="531"/>
      <c r="C94" s="127">
        <f>SUM(C92:C93)</f>
        <v>1.0165452938239159E-3</v>
      </c>
      <c r="D94" s="113">
        <f>SUM(D92:D93)</f>
        <v>1.5499999999999998</v>
      </c>
    </row>
    <row r="95" spans="1:7">
      <c r="A95" s="190"/>
    </row>
    <row r="96" spans="1:7">
      <c r="A96" s="190"/>
    </row>
    <row r="97" spans="1:7" ht="16.5" thickBot="1">
      <c r="A97" s="523" t="s">
        <v>325</v>
      </c>
      <c r="B97" s="523"/>
      <c r="C97" s="523"/>
      <c r="D97" s="523"/>
      <c r="E97" s="523"/>
      <c r="F97" s="523"/>
      <c r="G97" s="523"/>
    </row>
    <row r="98" spans="1:7" ht="16.5" thickBot="1">
      <c r="A98" s="117" t="s">
        <v>326</v>
      </c>
      <c r="B98" s="118" t="s">
        <v>327</v>
      </c>
      <c r="C98" s="117" t="s">
        <v>4</v>
      </c>
      <c r="D98" s="117" t="s">
        <v>279</v>
      </c>
    </row>
    <row r="99" spans="1:7">
      <c r="A99" s="82" t="s">
        <v>257</v>
      </c>
      <c r="B99" s="133" t="s">
        <v>328</v>
      </c>
      <c r="C99" s="135">
        <f>((1/12)*0.05)</f>
        <v>4.1666666666666666E-3</v>
      </c>
      <c r="D99" s="104">
        <f>ROUND($D$43*C99,2)</f>
        <v>6.34</v>
      </c>
    </row>
    <row r="100" spans="1:7" ht="31.5">
      <c r="A100" s="191" t="s">
        <v>259</v>
      </c>
      <c r="B100" s="91" t="s">
        <v>329</v>
      </c>
      <c r="C100" s="136">
        <f>D100/D43</f>
        <v>3.3508541392904072E-4</v>
      </c>
      <c r="D100" s="137">
        <f>ROUND(D75*C99,2)</f>
        <v>0.51</v>
      </c>
    </row>
    <row r="101" spans="1:7">
      <c r="A101" s="191" t="s">
        <v>261</v>
      </c>
      <c r="B101" s="138" t="s">
        <v>330</v>
      </c>
      <c r="C101" s="139">
        <f>0.08*0.5*0.9*(1+(5/56)+(5/56)+(1/3)*(5/56))</f>
        <v>4.3499999999999997E-2</v>
      </c>
      <c r="D101" s="107">
        <f>ROUND($D$43*C101,2)</f>
        <v>66.209999999999994</v>
      </c>
    </row>
    <row r="102" spans="1:7">
      <c r="A102" s="191" t="s">
        <v>263</v>
      </c>
      <c r="B102" s="138" t="s">
        <v>331</v>
      </c>
      <c r="C102" s="140">
        <f>(((7/30)/12))</f>
        <v>1.9444444444444445E-2</v>
      </c>
      <c r="D102" s="107">
        <f>ROUND($D$43*C102,2)</f>
        <v>29.59</v>
      </c>
    </row>
    <row r="103" spans="1:7" ht="31.5">
      <c r="A103" s="191" t="s">
        <v>284</v>
      </c>
      <c r="B103" s="138" t="s">
        <v>332</v>
      </c>
      <c r="C103" s="141">
        <f>D103/D43</f>
        <v>7.1681997371879106E-3</v>
      </c>
      <c r="D103" s="107">
        <f>ROUND(D78*C102,2)</f>
        <v>10.91</v>
      </c>
    </row>
    <row r="104" spans="1:7" ht="16.5" thickBot="1">
      <c r="A104" s="109" t="s">
        <v>286</v>
      </c>
      <c r="B104" s="134" t="s">
        <v>333</v>
      </c>
      <c r="C104" s="142">
        <f>(40%+10%)*C75*C102</f>
        <v>7.7777777777777784E-4</v>
      </c>
      <c r="D104" s="107">
        <f>ROUND($D$43*C104,2)</f>
        <v>1.18</v>
      </c>
    </row>
    <row r="105" spans="1:7" ht="16.5" thickBot="1">
      <c r="A105" s="525" t="s">
        <v>7</v>
      </c>
      <c r="B105" s="526"/>
      <c r="C105" s="127">
        <f>SUM(C99:C104)</f>
        <v>7.5392174040005838E-2</v>
      </c>
      <c r="D105" s="143">
        <f>SUM(D99:D104)</f>
        <v>114.74</v>
      </c>
    </row>
    <row r="106" spans="1:7">
      <c r="A106" s="71"/>
    </row>
    <row r="107" spans="1:7" ht="16.5" thickBot="1">
      <c r="A107" s="523" t="s">
        <v>334</v>
      </c>
      <c r="B107" s="523"/>
      <c r="C107" s="523"/>
      <c r="D107" s="523"/>
      <c r="E107" s="523"/>
      <c r="F107" s="523"/>
      <c r="G107" s="523"/>
    </row>
    <row r="108" spans="1:7" ht="32.25" thickBot="1">
      <c r="A108" s="117" t="s">
        <v>335</v>
      </c>
      <c r="B108" s="118" t="s">
        <v>336</v>
      </c>
      <c r="C108" s="117" t="s">
        <v>4</v>
      </c>
      <c r="D108" s="117" t="s">
        <v>279</v>
      </c>
    </row>
    <row r="109" spans="1:7">
      <c r="A109" s="82" t="s">
        <v>257</v>
      </c>
      <c r="B109" s="133" t="s">
        <v>13</v>
      </c>
      <c r="C109" s="144">
        <f>(5/56)</f>
        <v>8.9285714285714288E-2</v>
      </c>
      <c r="D109" s="107">
        <f t="shared" ref="D109:D114" si="1">ROUND($D$43*C109,2)</f>
        <v>135.88999999999999</v>
      </c>
    </row>
    <row r="110" spans="1:7">
      <c r="A110" s="191" t="s">
        <v>259</v>
      </c>
      <c r="B110" s="138" t="s">
        <v>379</v>
      </c>
      <c r="C110" s="122">
        <f>(10.96/30)/12</f>
        <v>3.0444444444444444E-2</v>
      </c>
      <c r="D110" s="107">
        <f t="shared" si="1"/>
        <v>46.34</v>
      </c>
      <c r="E110" s="184"/>
    </row>
    <row r="111" spans="1:7">
      <c r="A111" s="191" t="s">
        <v>261</v>
      </c>
      <c r="B111" s="138" t="s">
        <v>337</v>
      </c>
      <c r="C111" s="122">
        <f>((5/30)/12)*0.015</f>
        <v>2.0833333333333332E-4</v>
      </c>
      <c r="D111" s="107">
        <f t="shared" si="1"/>
        <v>0.32</v>
      </c>
    </row>
    <row r="112" spans="1:7">
      <c r="A112" s="191" t="s">
        <v>263</v>
      </c>
      <c r="B112" s="138" t="s">
        <v>338</v>
      </c>
      <c r="C112" s="122">
        <f>((1/30)/12)</f>
        <v>2.7777777777777779E-3</v>
      </c>
      <c r="D112" s="107">
        <f t="shared" si="1"/>
        <v>4.2300000000000004</v>
      </c>
    </row>
    <row r="113" spans="1:7">
      <c r="A113" s="191" t="s">
        <v>284</v>
      </c>
      <c r="B113" s="138" t="s">
        <v>339</v>
      </c>
      <c r="C113" s="122">
        <f>((15/30)/12)*0.0078</f>
        <v>3.2499999999999999E-4</v>
      </c>
      <c r="D113" s="107">
        <f t="shared" si="1"/>
        <v>0.49</v>
      </c>
    </row>
    <row r="114" spans="1:7">
      <c r="A114" s="191" t="s">
        <v>286</v>
      </c>
      <c r="B114" s="138" t="s">
        <v>291</v>
      </c>
      <c r="C114" s="145"/>
      <c r="D114" s="107">
        <f t="shared" si="1"/>
        <v>0</v>
      </c>
    </row>
    <row r="115" spans="1:7">
      <c r="A115" s="532" t="s">
        <v>318</v>
      </c>
      <c r="B115" s="533"/>
      <c r="C115" s="122">
        <f>SUM(C109:C114)</f>
        <v>0.12304126984126985</v>
      </c>
      <c r="D115" s="107">
        <f>SUM(D109:D114)</f>
        <v>187.26999999999998</v>
      </c>
    </row>
    <row r="116" spans="1:7" ht="32.25" thickBot="1">
      <c r="A116" s="109" t="s">
        <v>288</v>
      </c>
      <c r="B116" s="134" t="s">
        <v>340</v>
      </c>
      <c r="C116" s="142">
        <f>D116/$D$43</f>
        <v>4.534165571616295E-2</v>
      </c>
      <c r="D116" s="107">
        <f>ROUND(D78*C115,2)</f>
        <v>69.010000000000005</v>
      </c>
    </row>
    <row r="117" spans="1:7" ht="16.5" thickBot="1">
      <c r="A117" s="525" t="s">
        <v>7</v>
      </c>
      <c r="B117" s="526"/>
      <c r="C117" s="127">
        <f>C116+C115</f>
        <v>0.16838292555743281</v>
      </c>
      <c r="D117" s="146">
        <f>D116+D115</f>
        <v>256.27999999999997</v>
      </c>
    </row>
    <row r="118" spans="1:7">
      <c r="A118" s="190" t="s">
        <v>341</v>
      </c>
    </row>
    <row r="119" spans="1:7" ht="16.5" thickBot="1">
      <c r="A119" s="522" t="s">
        <v>342</v>
      </c>
      <c r="B119" s="522"/>
      <c r="C119" s="522"/>
      <c r="D119" s="522"/>
      <c r="E119" s="522"/>
      <c r="F119" s="522"/>
      <c r="G119" s="522"/>
    </row>
    <row r="120" spans="1:7" ht="32.25" customHeight="1" thickBot="1">
      <c r="A120" s="147">
        <v>4</v>
      </c>
      <c r="B120" s="148" t="s">
        <v>343</v>
      </c>
      <c r="C120" s="149" t="s">
        <v>4</v>
      </c>
      <c r="D120" s="150" t="s">
        <v>279</v>
      </c>
    </row>
    <row r="121" spans="1:7">
      <c r="A121" s="82" t="s">
        <v>307</v>
      </c>
      <c r="B121" s="133" t="s">
        <v>344</v>
      </c>
      <c r="C121" s="142">
        <f t="shared" ref="C121:C126" si="2">D121/$D$43</f>
        <v>0.16291721419185282</v>
      </c>
      <c r="D121" s="107">
        <f>D88</f>
        <v>247.95999999999998</v>
      </c>
    </row>
    <row r="122" spans="1:7">
      <c r="A122" s="191" t="s">
        <v>314</v>
      </c>
      <c r="B122" s="138" t="s">
        <v>308</v>
      </c>
      <c r="C122" s="142">
        <f t="shared" si="2"/>
        <v>0.36849540078843629</v>
      </c>
      <c r="D122" s="107">
        <f>D78</f>
        <v>560.85</v>
      </c>
    </row>
    <row r="123" spans="1:7">
      <c r="A123" s="191" t="s">
        <v>321</v>
      </c>
      <c r="B123" s="138" t="s">
        <v>323</v>
      </c>
      <c r="C123" s="142">
        <f t="shared" si="2"/>
        <v>1.0183968462549276E-3</v>
      </c>
      <c r="D123" s="107">
        <f>D94</f>
        <v>1.5499999999999998</v>
      </c>
    </row>
    <row r="124" spans="1:7">
      <c r="A124" s="151" t="s">
        <v>326</v>
      </c>
      <c r="B124" s="152" t="s">
        <v>345</v>
      </c>
      <c r="C124" s="142">
        <f t="shared" si="2"/>
        <v>7.5387647831800256E-2</v>
      </c>
      <c r="D124" s="107">
        <f>D105</f>
        <v>114.74</v>
      </c>
    </row>
    <row r="125" spans="1:7">
      <c r="A125" s="153" t="s">
        <v>335</v>
      </c>
      <c r="B125" s="154" t="s">
        <v>346</v>
      </c>
      <c r="C125" s="142">
        <f t="shared" si="2"/>
        <v>0.1683837056504599</v>
      </c>
      <c r="D125" s="107">
        <f>D117</f>
        <v>256.27999999999997</v>
      </c>
    </row>
    <row r="126" spans="1:7" ht="16.5" thickBot="1">
      <c r="A126" s="191" t="s">
        <v>347</v>
      </c>
      <c r="B126" s="138" t="s">
        <v>291</v>
      </c>
      <c r="C126" s="142">
        <f t="shared" si="2"/>
        <v>0</v>
      </c>
      <c r="D126" s="107">
        <v>0</v>
      </c>
    </row>
    <row r="127" spans="1:7" ht="37.5" customHeight="1" thickBot="1">
      <c r="A127" s="530" t="s">
        <v>348</v>
      </c>
      <c r="B127" s="531"/>
      <c r="C127" s="127">
        <f>SUM(C121:C126)</f>
        <v>0.77620236530880427</v>
      </c>
      <c r="D127" s="113">
        <f>SUM(D121:D126)</f>
        <v>1181.3799999999999</v>
      </c>
    </row>
    <row r="128" spans="1:7">
      <c r="A128" s="155"/>
      <c r="B128" s="155"/>
      <c r="C128" s="156"/>
      <c r="D128" s="157"/>
      <c r="E128" s="158"/>
      <c r="F128" s="159"/>
      <c r="G128" s="159"/>
    </row>
    <row r="129" spans="1:8" ht="16.5" thickBot="1">
      <c r="A129" s="522" t="s">
        <v>349</v>
      </c>
      <c r="B129" s="522"/>
      <c r="C129" s="522"/>
      <c r="D129" s="522"/>
      <c r="E129" s="522"/>
      <c r="F129" s="522"/>
      <c r="G129" s="522"/>
      <c r="H129" s="160"/>
    </row>
    <row r="130" spans="1:8" ht="16.5" thickBot="1">
      <c r="A130" s="147" t="s">
        <v>350</v>
      </c>
      <c r="B130" s="148" t="s">
        <v>351</v>
      </c>
      <c r="C130" s="149" t="s">
        <v>4</v>
      </c>
      <c r="D130" s="114" t="s">
        <v>279</v>
      </c>
      <c r="E130" s="161">
        <f>D43+D54+D64+D78+D88+D94+D105+D117</f>
        <v>3194.4466666666667</v>
      </c>
      <c r="G130" s="160"/>
    </row>
    <row r="131" spans="1:8">
      <c r="A131" s="82" t="s">
        <v>257</v>
      </c>
      <c r="B131" s="133" t="s">
        <v>352</v>
      </c>
      <c r="C131" s="162">
        <v>7.0019999999999999E-2</v>
      </c>
      <c r="D131" s="163">
        <f>E130*C131</f>
        <v>223.67515560000001</v>
      </c>
      <c r="G131" s="160"/>
    </row>
    <row r="132" spans="1:8">
      <c r="A132" s="191" t="s">
        <v>259</v>
      </c>
      <c r="B132" s="138" t="s">
        <v>353</v>
      </c>
      <c r="C132" s="142"/>
      <c r="D132" s="164"/>
      <c r="F132" s="165"/>
    </row>
    <row r="133" spans="1:8">
      <c r="A133" s="191"/>
      <c r="B133" s="138" t="s">
        <v>354</v>
      </c>
      <c r="C133" s="142"/>
      <c r="D133" s="129"/>
      <c r="F133" s="182"/>
      <c r="G133" s="160"/>
    </row>
    <row r="134" spans="1:8">
      <c r="A134" s="191"/>
      <c r="B134" s="138" t="s">
        <v>355</v>
      </c>
      <c r="C134" s="142">
        <v>7.5999999999999998E-2</v>
      </c>
      <c r="D134" s="107">
        <f>$D$152*C134</f>
        <v>300.2522589147498</v>
      </c>
      <c r="E134" s="165">
        <f>D152</f>
        <v>3950.6876172993393</v>
      </c>
      <c r="G134" s="160"/>
    </row>
    <row r="135" spans="1:8">
      <c r="A135" s="191"/>
      <c r="B135" s="138" t="s">
        <v>356</v>
      </c>
      <c r="C135" s="142">
        <v>1.6500000000000001E-2</v>
      </c>
      <c r="D135" s="107">
        <f>$D$152*C135</f>
        <v>65.186345685439107</v>
      </c>
      <c r="E135" s="246"/>
      <c r="G135" s="160"/>
    </row>
    <row r="136" spans="1:8">
      <c r="A136" s="191"/>
      <c r="B136" s="138" t="s">
        <v>357</v>
      </c>
      <c r="C136" s="142"/>
      <c r="D136" s="107"/>
    </row>
    <row r="137" spans="1:8">
      <c r="A137" s="191"/>
      <c r="B137" s="138" t="s">
        <v>358</v>
      </c>
      <c r="C137" s="142">
        <v>2.5000000000000001E-2</v>
      </c>
      <c r="D137" s="107">
        <f>$D$152*C137</f>
        <v>98.767190432483488</v>
      </c>
      <c r="G137" s="160"/>
    </row>
    <row r="138" spans="1:8">
      <c r="A138" s="191"/>
      <c r="B138" s="138" t="s">
        <v>359</v>
      </c>
      <c r="C138" s="142"/>
      <c r="D138" s="107"/>
    </row>
    <row r="139" spans="1:8" ht="16.5" thickBot="1">
      <c r="A139" s="191" t="s">
        <v>261</v>
      </c>
      <c r="B139" s="138" t="s">
        <v>360</v>
      </c>
      <c r="C139" s="142">
        <v>0.02</v>
      </c>
      <c r="D139" s="107">
        <f>ROUND(E139*C139,2)</f>
        <v>68.36</v>
      </c>
      <c r="E139" s="132">
        <f>E130+D131</f>
        <v>3418.1218222666666</v>
      </c>
    </row>
    <row r="140" spans="1:8" ht="33" customHeight="1" thickBot="1">
      <c r="A140" s="527" t="s">
        <v>361</v>
      </c>
      <c r="B140" s="528"/>
      <c r="C140" s="529"/>
      <c r="D140" s="166">
        <f>D131+D134+D135+D137+D139</f>
        <v>756.24095063267237</v>
      </c>
    </row>
    <row r="141" spans="1:8">
      <c r="A141" s="522" t="s">
        <v>362</v>
      </c>
      <c r="B141" s="522"/>
      <c r="C141" s="522"/>
      <c r="D141" s="522"/>
      <c r="E141" s="522"/>
      <c r="F141" s="522"/>
      <c r="G141" s="522"/>
    </row>
    <row r="142" spans="1:8">
      <c r="A142" s="522" t="s">
        <v>363</v>
      </c>
      <c r="B142" s="522"/>
      <c r="C142" s="522"/>
      <c r="D142" s="522"/>
      <c r="E142" s="522"/>
      <c r="F142" s="522"/>
      <c r="G142" s="522"/>
    </row>
    <row r="143" spans="1:8">
      <c r="A143" s="190"/>
    </row>
    <row r="144" spans="1:8" ht="16.5" thickBot="1">
      <c r="A144" s="523" t="s">
        <v>364</v>
      </c>
      <c r="B144" s="523"/>
      <c r="C144" s="523"/>
      <c r="D144" s="523"/>
      <c r="E144" s="523"/>
      <c r="F144" s="523"/>
      <c r="G144" s="523"/>
    </row>
    <row r="145" spans="1:8" ht="32.25" customHeight="1" thickBot="1">
      <c r="A145" s="147"/>
      <c r="B145" s="524" t="s">
        <v>365</v>
      </c>
      <c r="C145" s="524"/>
      <c r="D145" s="167" t="s">
        <v>366</v>
      </c>
    </row>
    <row r="146" spans="1:8">
      <c r="A146" s="191" t="s">
        <v>257</v>
      </c>
      <c r="B146" s="138" t="s">
        <v>367</v>
      </c>
      <c r="C146" s="122">
        <f t="shared" ref="C146:C151" si="3">D146/$D$152</f>
        <v>0.38524939135542891</v>
      </c>
      <c r="D146" s="129">
        <f>D43</f>
        <v>1522</v>
      </c>
    </row>
    <row r="147" spans="1:8">
      <c r="A147" s="191" t="s">
        <v>259</v>
      </c>
      <c r="B147" s="138" t="s">
        <v>368</v>
      </c>
      <c r="C147" s="122">
        <f t="shared" si="3"/>
        <v>0.11387891009908505</v>
      </c>
      <c r="D147" s="129">
        <f>D54</f>
        <v>449.9</v>
      </c>
    </row>
    <row r="148" spans="1:8" ht="31.5">
      <c r="A148" s="191" t="s">
        <v>261</v>
      </c>
      <c r="B148" s="138" t="s">
        <v>369</v>
      </c>
      <c r="C148" s="122">
        <f t="shared" si="3"/>
        <v>1.0420126989136106E-2</v>
      </c>
      <c r="D148" s="129">
        <f>D64</f>
        <v>41.166666666666664</v>
      </c>
      <c r="E148" s="165">
        <f>D150+D131+D139</f>
        <v>3486.4818222666668</v>
      </c>
    </row>
    <row r="149" spans="1:8" ht="31.5">
      <c r="A149" s="191" t="s">
        <v>263</v>
      </c>
      <c r="B149" s="138" t="s">
        <v>370</v>
      </c>
      <c r="C149" s="122">
        <f t="shared" si="3"/>
        <v>0.29903148880386105</v>
      </c>
      <c r="D149" s="129">
        <f>D127</f>
        <v>1181.3799999999999</v>
      </c>
      <c r="E149" s="174">
        <f>C137+C135+C134</f>
        <v>0.11749999999999999</v>
      </c>
    </row>
    <row r="150" spans="1:8" ht="16.5" customHeight="1">
      <c r="A150" s="168" t="s">
        <v>371</v>
      </c>
      <c r="B150" s="169"/>
      <c r="C150" s="131">
        <f t="shared" si="3"/>
        <v>0.8085799172475111</v>
      </c>
      <c r="D150" s="170">
        <f>SUM(D146:D149)</f>
        <v>3194.4466666666667</v>
      </c>
      <c r="E150" s="174">
        <f>100%-E149</f>
        <v>0.88250000000000006</v>
      </c>
    </row>
    <row r="151" spans="1:8" ht="32.25" thickBot="1">
      <c r="A151" s="191" t="s">
        <v>284</v>
      </c>
      <c r="B151" s="138" t="s">
        <v>372</v>
      </c>
      <c r="C151" s="122">
        <f t="shared" si="3"/>
        <v>0.19142008275248881</v>
      </c>
      <c r="D151" s="129">
        <f>D140</f>
        <v>756.24095063267237</v>
      </c>
      <c r="G151" s="171"/>
    </row>
    <row r="152" spans="1:8" ht="16.5" customHeight="1" thickBot="1">
      <c r="A152" s="525" t="s">
        <v>373</v>
      </c>
      <c r="B152" s="526"/>
      <c r="C152" s="127">
        <f>C151+C150</f>
        <v>0.99999999999999989</v>
      </c>
      <c r="D152" s="166">
        <f>(D150+D139+D131)/0.8825</f>
        <v>3950.6876172993393</v>
      </c>
      <c r="E152" s="171"/>
      <c r="F152" s="165">
        <f>D150+D151</f>
        <v>3950.6876172993389</v>
      </c>
      <c r="H152" s="172"/>
    </row>
    <row r="153" spans="1:8">
      <c r="E153" s="171"/>
    </row>
    <row r="154" spans="1:8">
      <c r="A154" s="186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1.299212598425197" right="0.51181102362204722" top="2.1653543307086616" bottom="0.98425196850393704" header="0.31496062992125984" footer="0.31496062992125984"/>
  <pageSetup paperSize="9" scale="80" fitToHeight="4" orientation="portrait" r:id="rId1"/>
  <headerFooter alignWithMargins="0"/>
  <rowBreaks count="3" manualBreakCount="3">
    <brk id="43" max="3" man="1"/>
    <brk id="88" max="3" man="1"/>
    <brk id="128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154"/>
  <sheetViews>
    <sheetView showGridLines="0" view="pageBreakPreview" topLeftCell="A136" zoomScale="90" zoomScaleSheetLayoutView="90" workbookViewId="0">
      <selection activeCell="E135" sqref="E135"/>
    </sheetView>
  </sheetViews>
  <sheetFormatPr defaultRowHeight="15.75"/>
  <cols>
    <col min="1" max="1" width="9.28515625" style="53" customWidth="1"/>
    <col min="2" max="2" width="39.85546875" style="53" customWidth="1"/>
    <col min="3" max="3" width="18.28515625" style="53" customWidth="1"/>
    <col min="4" max="4" width="23.85546875" style="53" customWidth="1"/>
    <col min="5" max="5" width="16" style="53" bestFit="1" customWidth="1"/>
    <col min="6" max="6" width="13.7109375" style="53" bestFit="1" customWidth="1"/>
    <col min="7" max="7" width="15.7109375" style="53" bestFit="1" customWidth="1"/>
    <col min="8" max="8" width="13.140625" style="53" bestFit="1" customWidth="1"/>
    <col min="9" max="9" width="11.85546875" style="53" bestFit="1" customWidth="1"/>
    <col min="10" max="10" width="12.85546875" style="53" bestFit="1" customWidth="1"/>
    <col min="11" max="256" width="9.140625" style="53"/>
    <col min="257" max="257" width="9.28515625" style="53" customWidth="1"/>
    <col min="258" max="258" width="39.85546875" style="53" customWidth="1"/>
    <col min="259" max="259" width="18.28515625" style="53" customWidth="1"/>
    <col min="260" max="260" width="23.85546875" style="53" customWidth="1"/>
    <col min="261" max="261" width="16" style="53" bestFit="1" customWidth="1"/>
    <col min="262" max="262" width="13.7109375" style="53" bestFit="1" customWidth="1"/>
    <col min="263" max="263" width="15.7109375" style="53" bestFit="1" customWidth="1"/>
    <col min="264" max="264" width="13.140625" style="53" bestFit="1" customWidth="1"/>
    <col min="265" max="265" width="11.85546875" style="53" bestFit="1" customWidth="1"/>
    <col min="266" max="266" width="12.85546875" style="53" bestFit="1" customWidth="1"/>
    <col min="267" max="512" width="9.140625" style="53"/>
    <col min="513" max="513" width="9.28515625" style="53" customWidth="1"/>
    <col min="514" max="514" width="39.85546875" style="53" customWidth="1"/>
    <col min="515" max="515" width="18.28515625" style="53" customWidth="1"/>
    <col min="516" max="516" width="23.85546875" style="53" customWidth="1"/>
    <col min="517" max="517" width="16" style="53" bestFit="1" customWidth="1"/>
    <col min="518" max="518" width="13.7109375" style="53" bestFit="1" customWidth="1"/>
    <col min="519" max="519" width="15.7109375" style="53" bestFit="1" customWidth="1"/>
    <col min="520" max="520" width="13.140625" style="53" bestFit="1" customWidth="1"/>
    <col min="521" max="521" width="11.85546875" style="53" bestFit="1" customWidth="1"/>
    <col min="522" max="522" width="12.85546875" style="53" bestFit="1" customWidth="1"/>
    <col min="523" max="768" width="9.140625" style="53"/>
    <col min="769" max="769" width="9.28515625" style="53" customWidth="1"/>
    <col min="770" max="770" width="39.85546875" style="53" customWidth="1"/>
    <col min="771" max="771" width="18.28515625" style="53" customWidth="1"/>
    <col min="772" max="772" width="23.85546875" style="53" customWidth="1"/>
    <col min="773" max="773" width="16" style="53" bestFit="1" customWidth="1"/>
    <col min="774" max="774" width="13.7109375" style="53" bestFit="1" customWidth="1"/>
    <col min="775" max="775" width="15.7109375" style="53" bestFit="1" customWidth="1"/>
    <col min="776" max="776" width="13.140625" style="53" bestFit="1" customWidth="1"/>
    <col min="777" max="777" width="11.85546875" style="53" bestFit="1" customWidth="1"/>
    <col min="778" max="778" width="12.85546875" style="53" bestFit="1" customWidth="1"/>
    <col min="779" max="1024" width="9.140625" style="53"/>
    <col min="1025" max="1025" width="9.28515625" style="53" customWidth="1"/>
    <col min="1026" max="1026" width="39.85546875" style="53" customWidth="1"/>
    <col min="1027" max="1027" width="18.28515625" style="53" customWidth="1"/>
    <col min="1028" max="1028" width="23.85546875" style="53" customWidth="1"/>
    <col min="1029" max="1029" width="16" style="53" bestFit="1" customWidth="1"/>
    <col min="1030" max="1030" width="13.7109375" style="53" bestFit="1" customWidth="1"/>
    <col min="1031" max="1031" width="15.7109375" style="53" bestFit="1" customWidth="1"/>
    <col min="1032" max="1032" width="13.140625" style="53" bestFit="1" customWidth="1"/>
    <col min="1033" max="1033" width="11.85546875" style="53" bestFit="1" customWidth="1"/>
    <col min="1034" max="1034" width="12.85546875" style="53" bestFit="1" customWidth="1"/>
    <col min="1035" max="1280" width="9.140625" style="53"/>
    <col min="1281" max="1281" width="9.28515625" style="53" customWidth="1"/>
    <col min="1282" max="1282" width="39.85546875" style="53" customWidth="1"/>
    <col min="1283" max="1283" width="18.28515625" style="53" customWidth="1"/>
    <col min="1284" max="1284" width="23.85546875" style="53" customWidth="1"/>
    <col min="1285" max="1285" width="16" style="53" bestFit="1" customWidth="1"/>
    <col min="1286" max="1286" width="13.7109375" style="53" bestFit="1" customWidth="1"/>
    <col min="1287" max="1287" width="15.7109375" style="53" bestFit="1" customWidth="1"/>
    <col min="1288" max="1288" width="13.140625" style="53" bestFit="1" customWidth="1"/>
    <col min="1289" max="1289" width="11.85546875" style="53" bestFit="1" customWidth="1"/>
    <col min="1290" max="1290" width="12.85546875" style="53" bestFit="1" customWidth="1"/>
    <col min="1291" max="1536" width="9.140625" style="53"/>
    <col min="1537" max="1537" width="9.28515625" style="53" customWidth="1"/>
    <col min="1538" max="1538" width="39.85546875" style="53" customWidth="1"/>
    <col min="1539" max="1539" width="18.28515625" style="53" customWidth="1"/>
    <col min="1540" max="1540" width="23.85546875" style="53" customWidth="1"/>
    <col min="1541" max="1541" width="16" style="53" bestFit="1" customWidth="1"/>
    <col min="1542" max="1542" width="13.7109375" style="53" bestFit="1" customWidth="1"/>
    <col min="1543" max="1543" width="15.7109375" style="53" bestFit="1" customWidth="1"/>
    <col min="1544" max="1544" width="13.140625" style="53" bestFit="1" customWidth="1"/>
    <col min="1545" max="1545" width="11.85546875" style="53" bestFit="1" customWidth="1"/>
    <col min="1546" max="1546" width="12.85546875" style="53" bestFit="1" customWidth="1"/>
    <col min="1547" max="1792" width="9.140625" style="53"/>
    <col min="1793" max="1793" width="9.28515625" style="53" customWidth="1"/>
    <col min="1794" max="1794" width="39.85546875" style="53" customWidth="1"/>
    <col min="1795" max="1795" width="18.28515625" style="53" customWidth="1"/>
    <col min="1796" max="1796" width="23.85546875" style="53" customWidth="1"/>
    <col min="1797" max="1797" width="16" style="53" bestFit="1" customWidth="1"/>
    <col min="1798" max="1798" width="13.7109375" style="53" bestFit="1" customWidth="1"/>
    <col min="1799" max="1799" width="15.7109375" style="53" bestFit="1" customWidth="1"/>
    <col min="1800" max="1800" width="13.140625" style="53" bestFit="1" customWidth="1"/>
    <col min="1801" max="1801" width="11.85546875" style="53" bestFit="1" customWidth="1"/>
    <col min="1802" max="1802" width="12.85546875" style="53" bestFit="1" customWidth="1"/>
    <col min="1803" max="2048" width="9.140625" style="53"/>
    <col min="2049" max="2049" width="9.28515625" style="53" customWidth="1"/>
    <col min="2050" max="2050" width="39.85546875" style="53" customWidth="1"/>
    <col min="2051" max="2051" width="18.28515625" style="53" customWidth="1"/>
    <col min="2052" max="2052" width="23.85546875" style="53" customWidth="1"/>
    <col min="2053" max="2053" width="16" style="53" bestFit="1" customWidth="1"/>
    <col min="2054" max="2054" width="13.7109375" style="53" bestFit="1" customWidth="1"/>
    <col min="2055" max="2055" width="15.7109375" style="53" bestFit="1" customWidth="1"/>
    <col min="2056" max="2056" width="13.140625" style="53" bestFit="1" customWidth="1"/>
    <col min="2057" max="2057" width="11.85546875" style="53" bestFit="1" customWidth="1"/>
    <col min="2058" max="2058" width="12.85546875" style="53" bestFit="1" customWidth="1"/>
    <col min="2059" max="2304" width="9.140625" style="53"/>
    <col min="2305" max="2305" width="9.28515625" style="53" customWidth="1"/>
    <col min="2306" max="2306" width="39.85546875" style="53" customWidth="1"/>
    <col min="2307" max="2307" width="18.28515625" style="53" customWidth="1"/>
    <col min="2308" max="2308" width="23.85546875" style="53" customWidth="1"/>
    <col min="2309" max="2309" width="16" style="53" bestFit="1" customWidth="1"/>
    <col min="2310" max="2310" width="13.7109375" style="53" bestFit="1" customWidth="1"/>
    <col min="2311" max="2311" width="15.7109375" style="53" bestFit="1" customWidth="1"/>
    <col min="2312" max="2312" width="13.140625" style="53" bestFit="1" customWidth="1"/>
    <col min="2313" max="2313" width="11.85546875" style="53" bestFit="1" customWidth="1"/>
    <col min="2314" max="2314" width="12.85546875" style="53" bestFit="1" customWidth="1"/>
    <col min="2315" max="2560" width="9.140625" style="53"/>
    <col min="2561" max="2561" width="9.28515625" style="53" customWidth="1"/>
    <col min="2562" max="2562" width="39.85546875" style="53" customWidth="1"/>
    <col min="2563" max="2563" width="18.28515625" style="53" customWidth="1"/>
    <col min="2564" max="2564" width="23.85546875" style="53" customWidth="1"/>
    <col min="2565" max="2565" width="16" style="53" bestFit="1" customWidth="1"/>
    <col min="2566" max="2566" width="13.7109375" style="53" bestFit="1" customWidth="1"/>
    <col min="2567" max="2567" width="15.7109375" style="53" bestFit="1" customWidth="1"/>
    <col min="2568" max="2568" width="13.140625" style="53" bestFit="1" customWidth="1"/>
    <col min="2569" max="2569" width="11.85546875" style="53" bestFit="1" customWidth="1"/>
    <col min="2570" max="2570" width="12.85546875" style="53" bestFit="1" customWidth="1"/>
    <col min="2571" max="2816" width="9.140625" style="53"/>
    <col min="2817" max="2817" width="9.28515625" style="53" customWidth="1"/>
    <col min="2818" max="2818" width="39.85546875" style="53" customWidth="1"/>
    <col min="2819" max="2819" width="18.28515625" style="53" customWidth="1"/>
    <col min="2820" max="2820" width="23.85546875" style="53" customWidth="1"/>
    <col min="2821" max="2821" width="16" style="53" bestFit="1" customWidth="1"/>
    <col min="2822" max="2822" width="13.7109375" style="53" bestFit="1" customWidth="1"/>
    <col min="2823" max="2823" width="15.7109375" style="53" bestFit="1" customWidth="1"/>
    <col min="2824" max="2824" width="13.140625" style="53" bestFit="1" customWidth="1"/>
    <col min="2825" max="2825" width="11.85546875" style="53" bestFit="1" customWidth="1"/>
    <col min="2826" max="2826" width="12.85546875" style="53" bestFit="1" customWidth="1"/>
    <col min="2827" max="3072" width="9.140625" style="53"/>
    <col min="3073" max="3073" width="9.28515625" style="53" customWidth="1"/>
    <col min="3074" max="3074" width="39.85546875" style="53" customWidth="1"/>
    <col min="3075" max="3075" width="18.28515625" style="53" customWidth="1"/>
    <col min="3076" max="3076" width="23.85546875" style="53" customWidth="1"/>
    <col min="3077" max="3077" width="16" style="53" bestFit="1" customWidth="1"/>
    <col min="3078" max="3078" width="13.7109375" style="53" bestFit="1" customWidth="1"/>
    <col min="3079" max="3079" width="15.7109375" style="53" bestFit="1" customWidth="1"/>
    <col min="3080" max="3080" width="13.140625" style="53" bestFit="1" customWidth="1"/>
    <col min="3081" max="3081" width="11.85546875" style="53" bestFit="1" customWidth="1"/>
    <col min="3082" max="3082" width="12.85546875" style="53" bestFit="1" customWidth="1"/>
    <col min="3083" max="3328" width="9.140625" style="53"/>
    <col min="3329" max="3329" width="9.28515625" style="53" customWidth="1"/>
    <col min="3330" max="3330" width="39.85546875" style="53" customWidth="1"/>
    <col min="3331" max="3331" width="18.28515625" style="53" customWidth="1"/>
    <col min="3332" max="3332" width="23.85546875" style="53" customWidth="1"/>
    <col min="3333" max="3333" width="16" style="53" bestFit="1" customWidth="1"/>
    <col min="3334" max="3334" width="13.7109375" style="53" bestFit="1" customWidth="1"/>
    <col min="3335" max="3335" width="15.7109375" style="53" bestFit="1" customWidth="1"/>
    <col min="3336" max="3336" width="13.140625" style="53" bestFit="1" customWidth="1"/>
    <col min="3337" max="3337" width="11.85546875" style="53" bestFit="1" customWidth="1"/>
    <col min="3338" max="3338" width="12.85546875" style="53" bestFit="1" customWidth="1"/>
    <col min="3339" max="3584" width="9.140625" style="53"/>
    <col min="3585" max="3585" width="9.28515625" style="53" customWidth="1"/>
    <col min="3586" max="3586" width="39.85546875" style="53" customWidth="1"/>
    <col min="3587" max="3587" width="18.28515625" style="53" customWidth="1"/>
    <col min="3588" max="3588" width="23.85546875" style="53" customWidth="1"/>
    <col min="3589" max="3589" width="16" style="53" bestFit="1" customWidth="1"/>
    <col min="3590" max="3590" width="13.7109375" style="53" bestFit="1" customWidth="1"/>
    <col min="3591" max="3591" width="15.7109375" style="53" bestFit="1" customWidth="1"/>
    <col min="3592" max="3592" width="13.140625" style="53" bestFit="1" customWidth="1"/>
    <col min="3593" max="3593" width="11.85546875" style="53" bestFit="1" customWidth="1"/>
    <col min="3594" max="3594" width="12.85546875" style="53" bestFit="1" customWidth="1"/>
    <col min="3595" max="3840" width="9.140625" style="53"/>
    <col min="3841" max="3841" width="9.28515625" style="53" customWidth="1"/>
    <col min="3842" max="3842" width="39.85546875" style="53" customWidth="1"/>
    <col min="3843" max="3843" width="18.28515625" style="53" customWidth="1"/>
    <col min="3844" max="3844" width="23.85546875" style="53" customWidth="1"/>
    <col min="3845" max="3845" width="16" style="53" bestFit="1" customWidth="1"/>
    <col min="3846" max="3846" width="13.7109375" style="53" bestFit="1" customWidth="1"/>
    <col min="3847" max="3847" width="15.7109375" style="53" bestFit="1" customWidth="1"/>
    <col min="3848" max="3848" width="13.140625" style="53" bestFit="1" customWidth="1"/>
    <col min="3849" max="3849" width="11.85546875" style="53" bestFit="1" customWidth="1"/>
    <col min="3850" max="3850" width="12.85546875" style="53" bestFit="1" customWidth="1"/>
    <col min="3851" max="4096" width="9.140625" style="53"/>
    <col min="4097" max="4097" width="9.28515625" style="53" customWidth="1"/>
    <col min="4098" max="4098" width="39.85546875" style="53" customWidth="1"/>
    <col min="4099" max="4099" width="18.28515625" style="53" customWidth="1"/>
    <col min="4100" max="4100" width="23.85546875" style="53" customWidth="1"/>
    <col min="4101" max="4101" width="16" style="53" bestFit="1" customWidth="1"/>
    <col min="4102" max="4102" width="13.7109375" style="53" bestFit="1" customWidth="1"/>
    <col min="4103" max="4103" width="15.7109375" style="53" bestFit="1" customWidth="1"/>
    <col min="4104" max="4104" width="13.140625" style="53" bestFit="1" customWidth="1"/>
    <col min="4105" max="4105" width="11.85546875" style="53" bestFit="1" customWidth="1"/>
    <col min="4106" max="4106" width="12.85546875" style="53" bestFit="1" customWidth="1"/>
    <col min="4107" max="4352" width="9.140625" style="53"/>
    <col min="4353" max="4353" width="9.28515625" style="53" customWidth="1"/>
    <col min="4354" max="4354" width="39.85546875" style="53" customWidth="1"/>
    <col min="4355" max="4355" width="18.28515625" style="53" customWidth="1"/>
    <col min="4356" max="4356" width="23.85546875" style="53" customWidth="1"/>
    <col min="4357" max="4357" width="16" style="53" bestFit="1" customWidth="1"/>
    <col min="4358" max="4358" width="13.7109375" style="53" bestFit="1" customWidth="1"/>
    <col min="4359" max="4359" width="15.7109375" style="53" bestFit="1" customWidth="1"/>
    <col min="4360" max="4360" width="13.140625" style="53" bestFit="1" customWidth="1"/>
    <col min="4361" max="4361" width="11.85546875" style="53" bestFit="1" customWidth="1"/>
    <col min="4362" max="4362" width="12.85546875" style="53" bestFit="1" customWidth="1"/>
    <col min="4363" max="4608" width="9.140625" style="53"/>
    <col min="4609" max="4609" width="9.28515625" style="53" customWidth="1"/>
    <col min="4610" max="4610" width="39.85546875" style="53" customWidth="1"/>
    <col min="4611" max="4611" width="18.28515625" style="53" customWidth="1"/>
    <col min="4612" max="4612" width="23.85546875" style="53" customWidth="1"/>
    <col min="4613" max="4613" width="16" style="53" bestFit="1" customWidth="1"/>
    <col min="4614" max="4614" width="13.7109375" style="53" bestFit="1" customWidth="1"/>
    <col min="4615" max="4615" width="15.7109375" style="53" bestFit="1" customWidth="1"/>
    <col min="4616" max="4616" width="13.140625" style="53" bestFit="1" customWidth="1"/>
    <col min="4617" max="4617" width="11.85546875" style="53" bestFit="1" customWidth="1"/>
    <col min="4618" max="4618" width="12.85546875" style="53" bestFit="1" customWidth="1"/>
    <col min="4619" max="4864" width="9.140625" style="53"/>
    <col min="4865" max="4865" width="9.28515625" style="53" customWidth="1"/>
    <col min="4866" max="4866" width="39.85546875" style="53" customWidth="1"/>
    <col min="4867" max="4867" width="18.28515625" style="53" customWidth="1"/>
    <col min="4868" max="4868" width="23.85546875" style="53" customWidth="1"/>
    <col min="4869" max="4869" width="16" style="53" bestFit="1" customWidth="1"/>
    <col min="4870" max="4870" width="13.7109375" style="53" bestFit="1" customWidth="1"/>
    <col min="4871" max="4871" width="15.7109375" style="53" bestFit="1" customWidth="1"/>
    <col min="4872" max="4872" width="13.140625" style="53" bestFit="1" customWidth="1"/>
    <col min="4873" max="4873" width="11.85546875" style="53" bestFit="1" customWidth="1"/>
    <col min="4874" max="4874" width="12.85546875" style="53" bestFit="1" customWidth="1"/>
    <col min="4875" max="5120" width="9.140625" style="53"/>
    <col min="5121" max="5121" width="9.28515625" style="53" customWidth="1"/>
    <col min="5122" max="5122" width="39.85546875" style="53" customWidth="1"/>
    <col min="5123" max="5123" width="18.28515625" style="53" customWidth="1"/>
    <col min="5124" max="5124" width="23.85546875" style="53" customWidth="1"/>
    <col min="5125" max="5125" width="16" style="53" bestFit="1" customWidth="1"/>
    <col min="5126" max="5126" width="13.7109375" style="53" bestFit="1" customWidth="1"/>
    <col min="5127" max="5127" width="15.7109375" style="53" bestFit="1" customWidth="1"/>
    <col min="5128" max="5128" width="13.140625" style="53" bestFit="1" customWidth="1"/>
    <col min="5129" max="5129" width="11.85546875" style="53" bestFit="1" customWidth="1"/>
    <col min="5130" max="5130" width="12.85546875" style="53" bestFit="1" customWidth="1"/>
    <col min="5131" max="5376" width="9.140625" style="53"/>
    <col min="5377" max="5377" width="9.28515625" style="53" customWidth="1"/>
    <col min="5378" max="5378" width="39.85546875" style="53" customWidth="1"/>
    <col min="5379" max="5379" width="18.28515625" style="53" customWidth="1"/>
    <col min="5380" max="5380" width="23.85546875" style="53" customWidth="1"/>
    <col min="5381" max="5381" width="16" style="53" bestFit="1" customWidth="1"/>
    <col min="5382" max="5382" width="13.7109375" style="53" bestFit="1" customWidth="1"/>
    <col min="5383" max="5383" width="15.7109375" style="53" bestFit="1" customWidth="1"/>
    <col min="5384" max="5384" width="13.140625" style="53" bestFit="1" customWidth="1"/>
    <col min="5385" max="5385" width="11.85546875" style="53" bestFit="1" customWidth="1"/>
    <col min="5386" max="5386" width="12.85546875" style="53" bestFit="1" customWidth="1"/>
    <col min="5387" max="5632" width="9.140625" style="53"/>
    <col min="5633" max="5633" width="9.28515625" style="53" customWidth="1"/>
    <col min="5634" max="5634" width="39.85546875" style="53" customWidth="1"/>
    <col min="5635" max="5635" width="18.28515625" style="53" customWidth="1"/>
    <col min="5636" max="5636" width="23.85546875" style="53" customWidth="1"/>
    <col min="5637" max="5637" width="16" style="53" bestFit="1" customWidth="1"/>
    <col min="5638" max="5638" width="13.7109375" style="53" bestFit="1" customWidth="1"/>
    <col min="5639" max="5639" width="15.7109375" style="53" bestFit="1" customWidth="1"/>
    <col min="5640" max="5640" width="13.140625" style="53" bestFit="1" customWidth="1"/>
    <col min="5641" max="5641" width="11.85546875" style="53" bestFit="1" customWidth="1"/>
    <col min="5642" max="5642" width="12.85546875" style="53" bestFit="1" customWidth="1"/>
    <col min="5643" max="5888" width="9.140625" style="53"/>
    <col min="5889" max="5889" width="9.28515625" style="53" customWidth="1"/>
    <col min="5890" max="5890" width="39.85546875" style="53" customWidth="1"/>
    <col min="5891" max="5891" width="18.28515625" style="53" customWidth="1"/>
    <col min="5892" max="5892" width="23.85546875" style="53" customWidth="1"/>
    <col min="5893" max="5893" width="16" style="53" bestFit="1" customWidth="1"/>
    <col min="5894" max="5894" width="13.7109375" style="53" bestFit="1" customWidth="1"/>
    <col min="5895" max="5895" width="15.7109375" style="53" bestFit="1" customWidth="1"/>
    <col min="5896" max="5896" width="13.140625" style="53" bestFit="1" customWidth="1"/>
    <col min="5897" max="5897" width="11.85546875" style="53" bestFit="1" customWidth="1"/>
    <col min="5898" max="5898" width="12.85546875" style="53" bestFit="1" customWidth="1"/>
    <col min="5899" max="6144" width="9.140625" style="53"/>
    <col min="6145" max="6145" width="9.28515625" style="53" customWidth="1"/>
    <col min="6146" max="6146" width="39.85546875" style="53" customWidth="1"/>
    <col min="6147" max="6147" width="18.28515625" style="53" customWidth="1"/>
    <col min="6148" max="6148" width="23.85546875" style="53" customWidth="1"/>
    <col min="6149" max="6149" width="16" style="53" bestFit="1" customWidth="1"/>
    <col min="6150" max="6150" width="13.7109375" style="53" bestFit="1" customWidth="1"/>
    <col min="6151" max="6151" width="15.7109375" style="53" bestFit="1" customWidth="1"/>
    <col min="6152" max="6152" width="13.140625" style="53" bestFit="1" customWidth="1"/>
    <col min="6153" max="6153" width="11.85546875" style="53" bestFit="1" customWidth="1"/>
    <col min="6154" max="6154" width="12.85546875" style="53" bestFit="1" customWidth="1"/>
    <col min="6155" max="6400" width="9.140625" style="53"/>
    <col min="6401" max="6401" width="9.28515625" style="53" customWidth="1"/>
    <col min="6402" max="6402" width="39.85546875" style="53" customWidth="1"/>
    <col min="6403" max="6403" width="18.28515625" style="53" customWidth="1"/>
    <col min="6404" max="6404" width="23.85546875" style="53" customWidth="1"/>
    <col min="6405" max="6405" width="16" style="53" bestFit="1" customWidth="1"/>
    <col min="6406" max="6406" width="13.7109375" style="53" bestFit="1" customWidth="1"/>
    <col min="6407" max="6407" width="15.7109375" style="53" bestFit="1" customWidth="1"/>
    <col min="6408" max="6408" width="13.140625" style="53" bestFit="1" customWidth="1"/>
    <col min="6409" max="6409" width="11.85546875" style="53" bestFit="1" customWidth="1"/>
    <col min="6410" max="6410" width="12.85546875" style="53" bestFit="1" customWidth="1"/>
    <col min="6411" max="6656" width="9.140625" style="53"/>
    <col min="6657" max="6657" width="9.28515625" style="53" customWidth="1"/>
    <col min="6658" max="6658" width="39.85546875" style="53" customWidth="1"/>
    <col min="6659" max="6659" width="18.28515625" style="53" customWidth="1"/>
    <col min="6660" max="6660" width="23.85546875" style="53" customWidth="1"/>
    <col min="6661" max="6661" width="16" style="53" bestFit="1" customWidth="1"/>
    <col min="6662" max="6662" width="13.7109375" style="53" bestFit="1" customWidth="1"/>
    <col min="6663" max="6663" width="15.7109375" style="53" bestFit="1" customWidth="1"/>
    <col min="6664" max="6664" width="13.140625" style="53" bestFit="1" customWidth="1"/>
    <col min="6665" max="6665" width="11.85546875" style="53" bestFit="1" customWidth="1"/>
    <col min="6666" max="6666" width="12.85546875" style="53" bestFit="1" customWidth="1"/>
    <col min="6667" max="6912" width="9.140625" style="53"/>
    <col min="6913" max="6913" width="9.28515625" style="53" customWidth="1"/>
    <col min="6914" max="6914" width="39.85546875" style="53" customWidth="1"/>
    <col min="6915" max="6915" width="18.28515625" style="53" customWidth="1"/>
    <col min="6916" max="6916" width="23.85546875" style="53" customWidth="1"/>
    <col min="6917" max="6917" width="16" style="53" bestFit="1" customWidth="1"/>
    <col min="6918" max="6918" width="13.7109375" style="53" bestFit="1" customWidth="1"/>
    <col min="6919" max="6919" width="15.7109375" style="53" bestFit="1" customWidth="1"/>
    <col min="6920" max="6920" width="13.140625" style="53" bestFit="1" customWidth="1"/>
    <col min="6921" max="6921" width="11.85546875" style="53" bestFit="1" customWidth="1"/>
    <col min="6922" max="6922" width="12.85546875" style="53" bestFit="1" customWidth="1"/>
    <col min="6923" max="7168" width="9.140625" style="53"/>
    <col min="7169" max="7169" width="9.28515625" style="53" customWidth="1"/>
    <col min="7170" max="7170" width="39.85546875" style="53" customWidth="1"/>
    <col min="7171" max="7171" width="18.28515625" style="53" customWidth="1"/>
    <col min="7172" max="7172" width="23.85546875" style="53" customWidth="1"/>
    <col min="7173" max="7173" width="16" style="53" bestFit="1" customWidth="1"/>
    <col min="7174" max="7174" width="13.7109375" style="53" bestFit="1" customWidth="1"/>
    <col min="7175" max="7175" width="15.7109375" style="53" bestFit="1" customWidth="1"/>
    <col min="7176" max="7176" width="13.140625" style="53" bestFit="1" customWidth="1"/>
    <col min="7177" max="7177" width="11.85546875" style="53" bestFit="1" customWidth="1"/>
    <col min="7178" max="7178" width="12.85546875" style="53" bestFit="1" customWidth="1"/>
    <col min="7179" max="7424" width="9.140625" style="53"/>
    <col min="7425" max="7425" width="9.28515625" style="53" customWidth="1"/>
    <col min="7426" max="7426" width="39.85546875" style="53" customWidth="1"/>
    <col min="7427" max="7427" width="18.28515625" style="53" customWidth="1"/>
    <col min="7428" max="7428" width="23.85546875" style="53" customWidth="1"/>
    <col min="7429" max="7429" width="16" style="53" bestFit="1" customWidth="1"/>
    <col min="7430" max="7430" width="13.7109375" style="53" bestFit="1" customWidth="1"/>
    <col min="7431" max="7431" width="15.7109375" style="53" bestFit="1" customWidth="1"/>
    <col min="7432" max="7432" width="13.140625" style="53" bestFit="1" customWidth="1"/>
    <col min="7433" max="7433" width="11.85546875" style="53" bestFit="1" customWidth="1"/>
    <col min="7434" max="7434" width="12.85546875" style="53" bestFit="1" customWidth="1"/>
    <col min="7435" max="7680" width="9.140625" style="53"/>
    <col min="7681" max="7681" width="9.28515625" style="53" customWidth="1"/>
    <col min="7682" max="7682" width="39.85546875" style="53" customWidth="1"/>
    <col min="7683" max="7683" width="18.28515625" style="53" customWidth="1"/>
    <col min="7684" max="7684" width="23.85546875" style="53" customWidth="1"/>
    <col min="7685" max="7685" width="16" style="53" bestFit="1" customWidth="1"/>
    <col min="7686" max="7686" width="13.7109375" style="53" bestFit="1" customWidth="1"/>
    <col min="7687" max="7687" width="15.7109375" style="53" bestFit="1" customWidth="1"/>
    <col min="7688" max="7688" width="13.140625" style="53" bestFit="1" customWidth="1"/>
    <col min="7689" max="7689" width="11.85546875" style="53" bestFit="1" customWidth="1"/>
    <col min="7690" max="7690" width="12.85546875" style="53" bestFit="1" customWidth="1"/>
    <col min="7691" max="7936" width="9.140625" style="53"/>
    <col min="7937" max="7937" width="9.28515625" style="53" customWidth="1"/>
    <col min="7938" max="7938" width="39.85546875" style="53" customWidth="1"/>
    <col min="7939" max="7939" width="18.28515625" style="53" customWidth="1"/>
    <col min="7940" max="7940" width="23.85546875" style="53" customWidth="1"/>
    <col min="7941" max="7941" width="16" style="53" bestFit="1" customWidth="1"/>
    <col min="7942" max="7942" width="13.7109375" style="53" bestFit="1" customWidth="1"/>
    <col min="7943" max="7943" width="15.7109375" style="53" bestFit="1" customWidth="1"/>
    <col min="7944" max="7944" width="13.140625" style="53" bestFit="1" customWidth="1"/>
    <col min="7945" max="7945" width="11.85546875" style="53" bestFit="1" customWidth="1"/>
    <col min="7946" max="7946" width="12.85546875" style="53" bestFit="1" customWidth="1"/>
    <col min="7947" max="8192" width="9.140625" style="53"/>
    <col min="8193" max="8193" width="9.28515625" style="53" customWidth="1"/>
    <col min="8194" max="8194" width="39.85546875" style="53" customWidth="1"/>
    <col min="8195" max="8195" width="18.28515625" style="53" customWidth="1"/>
    <col min="8196" max="8196" width="23.85546875" style="53" customWidth="1"/>
    <col min="8197" max="8197" width="16" style="53" bestFit="1" customWidth="1"/>
    <col min="8198" max="8198" width="13.7109375" style="53" bestFit="1" customWidth="1"/>
    <col min="8199" max="8199" width="15.7109375" style="53" bestFit="1" customWidth="1"/>
    <col min="8200" max="8200" width="13.140625" style="53" bestFit="1" customWidth="1"/>
    <col min="8201" max="8201" width="11.85546875" style="53" bestFit="1" customWidth="1"/>
    <col min="8202" max="8202" width="12.85546875" style="53" bestFit="1" customWidth="1"/>
    <col min="8203" max="8448" width="9.140625" style="53"/>
    <col min="8449" max="8449" width="9.28515625" style="53" customWidth="1"/>
    <col min="8450" max="8450" width="39.85546875" style="53" customWidth="1"/>
    <col min="8451" max="8451" width="18.28515625" style="53" customWidth="1"/>
    <col min="8452" max="8452" width="23.85546875" style="53" customWidth="1"/>
    <col min="8453" max="8453" width="16" style="53" bestFit="1" customWidth="1"/>
    <col min="8454" max="8454" width="13.7109375" style="53" bestFit="1" customWidth="1"/>
    <col min="8455" max="8455" width="15.7109375" style="53" bestFit="1" customWidth="1"/>
    <col min="8456" max="8456" width="13.140625" style="53" bestFit="1" customWidth="1"/>
    <col min="8457" max="8457" width="11.85546875" style="53" bestFit="1" customWidth="1"/>
    <col min="8458" max="8458" width="12.85546875" style="53" bestFit="1" customWidth="1"/>
    <col min="8459" max="8704" width="9.140625" style="53"/>
    <col min="8705" max="8705" width="9.28515625" style="53" customWidth="1"/>
    <col min="8706" max="8706" width="39.85546875" style="53" customWidth="1"/>
    <col min="8707" max="8707" width="18.28515625" style="53" customWidth="1"/>
    <col min="8708" max="8708" width="23.85546875" style="53" customWidth="1"/>
    <col min="8709" max="8709" width="16" style="53" bestFit="1" customWidth="1"/>
    <col min="8710" max="8710" width="13.7109375" style="53" bestFit="1" customWidth="1"/>
    <col min="8711" max="8711" width="15.7109375" style="53" bestFit="1" customWidth="1"/>
    <col min="8712" max="8712" width="13.140625" style="53" bestFit="1" customWidth="1"/>
    <col min="8713" max="8713" width="11.85546875" style="53" bestFit="1" customWidth="1"/>
    <col min="8714" max="8714" width="12.85546875" style="53" bestFit="1" customWidth="1"/>
    <col min="8715" max="8960" width="9.140625" style="53"/>
    <col min="8961" max="8961" width="9.28515625" style="53" customWidth="1"/>
    <col min="8962" max="8962" width="39.85546875" style="53" customWidth="1"/>
    <col min="8963" max="8963" width="18.28515625" style="53" customWidth="1"/>
    <col min="8964" max="8964" width="23.85546875" style="53" customWidth="1"/>
    <col min="8965" max="8965" width="16" style="53" bestFit="1" customWidth="1"/>
    <col min="8966" max="8966" width="13.7109375" style="53" bestFit="1" customWidth="1"/>
    <col min="8967" max="8967" width="15.7109375" style="53" bestFit="1" customWidth="1"/>
    <col min="8968" max="8968" width="13.140625" style="53" bestFit="1" customWidth="1"/>
    <col min="8969" max="8969" width="11.85546875" style="53" bestFit="1" customWidth="1"/>
    <col min="8970" max="8970" width="12.85546875" style="53" bestFit="1" customWidth="1"/>
    <col min="8971" max="9216" width="9.140625" style="53"/>
    <col min="9217" max="9217" width="9.28515625" style="53" customWidth="1"/>
    <col min="9218" max="9218" width="39.85546875" style="53" customWidth="1"/>
    <col min="9219" max="9219" width="18.28515625" style="53" customWidth="1"/>
    <col min="9220" max="9220" width="23.85546875" style="53" customWidth="1"/>
    <col min="9221" max="9221" width="16" style="53" bestFit="1" customWidth="1"/>
    <col min="9222" max="9222" width="13.7109375" style="53" bestFit="1" customWidth="1"/>
    <col min="9223" max="9223" width="15.7109375" style="53" bestFit="1" customWidth="1"/>
    <col min="9224" max="9224" width="13.140625" style="53" bestFit="1" customWidth="1"/>
    <col min="9225" max="9225" width="11.85546875" style="53" bestFit="1" customWidth="1"/>
    <col min="9226" max="9226" width="12.85546875" style="53" bestFit="1" customWidth="1"/>
    <col min="9227" max="9472" width="9.140625" style="53"/>
    <col min="9473" max="9473" width="9.28515625" style="53" customWidth="1"/>
    <col min="9474" max="9474" width="39.85546875" style="53" customWidth="1"/>
    <col min="9475" max="9475" width="18.28515625" style="53" customWidth="1"/>
    <col min="9476" max="9476" width="23.85546875" style="53" customWidth="1"/>
    <col min="9477" max="9477" width="16" style="53" bestFit="1" customWidth="1"/>
    <col min="9478" max="9478" width="13.7109375" style="53" bestFit="1" customWidth="1"/>
    <col min="9479" max="9479" width="15.7109375" style="53" bestFit="1" customWidth="1"/>
    <col min="9480" max="9480" width="13.140625" style="53" bestFit="1" customWidth="1"/>
    <col min="9481" max="9481" width="11.85546875" style="53" bestFit="1" customWidth="1"/>
    <col min="9482" max="9482" width="12.85546875" style="53" bestFit="1" customWidth="1"/>
    <col min="9483" max="9728" width="9.140625" style="53"/>
    <col min="9729" max="9729" width="9.28515625" style="53" customWidth="1"/>
    <col min="9730" max="9730" width="39.85546875" style="53" customWidth="1"/>
    <col min="9731" max="9731" width="18.28515625" style="53" customWidth="1"/>
    <col min="9732" max="9732" width="23.85546875" style="53" customWidth="1"/>
    <col min="9733" max="9733" width="16" style="53" bestFit="1" customWidth="1"/>
    <col min="9734" max="9734" width="13.7109375" style="53" bestFit="1" customWidth="1"/>
    <col min="9735" max="9735" width="15.7109375" style="53" bestFit="1" customWidth="1"/>
    <col min="9736" max="9736" width="13.140625" style="53" bestFit="1" customWidth="1"/>
    <col min="9737" max="9737" width="11.85546875" style="53" bestFit="1" customWidth="1"/>
    <col min="9738" max="9738" width="12.85546875" style="53" bestFit="1" customWidth="1"/>
    <col min="9739" max="9984" width="9.140625" style="53"/>
    <col min="9985" max="9985" width="9.28515625" style="53" customWidth="1"/>
    <col min="9986" max="9986" width="39.85546875" style="53" customWidth="1"/>
    <col min="9987" max="9987" width="18.28515625" style="53" customWidth="1"/>
    <col min="9988" max="9988" width="23.85546875" style="53" customWidth="1"/>
    <col min="9989" max="9989" width="16" style="53" bestFit="1" customWidth="1"/>
    <col min="9990" max="9990" width="13.7109375" style="53" bestFit="1" customWidth="1"/>
    <col min="9991" max="9991" width="15.7109375" style="53" bestFit="1" customWidth="1"/>
    <col min="9992" max="9992" width="13.140625" style="53" bestFit="1" customWidth="1"/>
    <col min="9993" max="9993" width="11.85546875" style="53" bestFit="1" customWidth="1"/>
    <col min="9994" max="9994" width="12.85546875" style="53" bestFit="1" customWidth="1"/>
    <col min="9995" max="10240" width="9.140625" style="53"/>
    <col min="10241" max="10241" width="9.28515625" style="53" customWidth="1"/>
    <col min="10242" max="10242" width="39.85546875" style="53" customWidth="1"/>
    <col min="10243" max="10243" width="18.28515625" style="53" customWidth="1"/>
    <col min="10244" max="10244" width="23.85546875" style="53" customWidth="1"/>
    <col min="10245" max="10245" width="16" style="53" bestFit="1" customWidth="1"/>
    <col min="10246" max="10246" width="13.7109375" style="53" bestFit="1" customWidth="1"/>
    <col min="10247" max="10247" width="15.7109375" style="53" bestFit="1" customWidth="1"/>
    <col min="10248" max="10248" width="13.140625" style="53" bestFit="1" customWidth="1"/>
    <col min="10249" max="10249" width="11.85546875" style="53" bestFit="1" customWidth="1"/>
    <col min="10250" max="10250" width="12.85546875" style="53" bestFit="1" customWidth="1"/>
    <col min="10251" max="10496" width="9.140625" style="53"/>
    <col min="10497" max="10497" width="9.28515625" style="53" customWidth="1"/>
    <col min="10498" max="10498" width="39.85546875" style="53" customWidth="1"/>
    <col min="10499" max="10499" width="18.28515625" style="53" customWidth="1"/>
    <col min="10500" max="10500" width="23.85546875" style="53" customWidth="1"/>
    <col min="10501" max="10501" width="16" style="53" bestFit="1" customWidth="1"/>
    <col min="10502" max="10502" width="13.7109375" style="53" bestFit="1" customWidth="1"/>
    <col min="10503" max="10503" width="15.7109375" style="53" bestFit="1" customWidth="1"/>
    <col min="10504" max="10504" width="13.140625" style="53" bestFit="1" customWidth="1"/>
    <col min="10505" max="10505" width="11.85546875" style="53" bestFit="1" customWidth="1"/>
    <col min="10506" max="10506" width="12.85546875" style="53" bestFit="1" customWidth="1"/>
    <col min="10507" max="10752" width="9.140625" style="53"/>
    <col min="10753" max="10753" width="9.28515625" style="53" customWidth="1"/>
    <col min="10754" max="10754" width="39.85546875" style="53" customWidth="1"/>
    <col min="10755" max="10755" width="18.28515625" style="53" customWidth="1"/>
    <col min="10756" max="10756" width="23.85546875" style="53" customWidth="1"/>
    <col min="10757" max="10757" width="16" style="53" bestFit="1" customWidth="1"/>
    <col min="10758" max="10758" width="13.7109375" style="53" bestFit="1" customWidth="1"/>
    <col min="10759" max="10759" width="15.7109375" style="53" bestFit="1" customWidth="1"/>
    <col min="10760" max="10760" width="13.140625" style="53" bestFit="1" customWidth="1"/>
    <col min="10761" max="10761" width="11.85546875" style="53" bestFit="1" customWidth="1"/>
    <col min="10762" max="10762" width="12.85546875" style="53" bestFit="1" customWidth="1"/>
    <col min="10763" max="11008" width="9.140625" style="53"/>
    <col min="11009" max="11009" width="9.28515625" style="53" customWidth="1"/>
    <col min="11010" max="11010" width="39.85546875" style="53" customWidth="1"/>
    <col min="11011" max="11011" width="18.28515625" style="53" customWidth="1"/>
    <col min="11012" max="11012" width="23.85546875" style="53" customWidth="1"/>
    <col min="11013" max="11013" width="16" style="53" bestFit="1" customWidth="1"/>
    <col min="11014" max="11014" width="13.7109375" style="53" bestFit="1" customWidth="1"/>
    <col min="11015" max="11015" width="15.7109375" style="53" bestFit="1" customWidth="1"/>
    <col min="11016" max="11016" width="13.140625" style="53" bestFit="1" customWidth="1"/>
    <col min="11017" max="11017" width="11.85546875" style="53" bestFit="1" customWidth="1"/>
    <col min="11018" max="11018" width="12.85546875" style="53" bestFit="1" customWidth="1"/>
    <col min="11019" max="11264" width="9.140625" style="53"/>
    <col min="11265" max="11265" width="9.28515625" style="53" customWidth="1"/>
    <col min="11266" max="11266" width="39.85546875" style="53" customWidth="1"/>
    <col min="11267" max="11267" width="18.28515625" style="53" customWidth="1"/>
    <col min="11268" max="11268" width="23.85546875" style="53" customWidth="1"/>
    <col min="11269" max="11269" width="16" style="53" bestFit="1" customWidth="1"/>
    <col min="11270" max="11270" width="13.7109375" style="53" bestFit="1" customWidth="1"/>
    <col min="11271" max="11271" width="15.7109375" style="53" bestFit="1" customWidth="1"/>
    <col min="11272" max="11272" width="13.140625" style="53" bestFit="1" customWidth="1"/>
    <col min="11273" max="11273" width="11.85546875" style="53" bestFit="1" customWidth="1"/>
    <col min="11274" max="11274" width="12.85546875" style="53" bestFit="1" customWidth="1"/>
    <col min="11275" max="11520" width="9.140625" style="53"/>
    <col min="11521" max="11521" width="9.28515625" style="53" customWidth="1"/>
    <col min="11522" max="11522" width="39.85546875" style="53" customWidth="1"/>
    <col min="11523" max="11523" width="18.28515625" style="53" customWidth="1"/>
    <col min="11524" max="11524" width="23.85546875" style="53" customWidth="1"/>
    <col min="11525" max="11525" width="16" style="53" bestFit="1" customWidth="1"/>
    <col min="11526" max="11526" width="13.7109375" style="53" bestFit="1" customWidth="1"/>
    <col min="11527" max="11527" width="15.7109375" style="53" bestFit="1" customWidth="1"/>
    <col min="11528" max="11528" width="13.140625" style="53" bestFit="1" customWidth="1"/>
    <col min="11529" max="11529" width="11.85546875" style="53" bestFit="1" customWidth="1"/>
    <col min="11530" max="11530" width="12.85546875" style="53" bestFit="1" customWidth="1"/>
    <col min="11531" max="11776" width="9.140625" style="53"/>
    <col min="11777" max="11777" width="9.28515625" style="53" customWidth="1"/>
    <col min="11778" max="11778" width="39.85546875" style="53" customWidth="1"/>
    <col min="11779" max="11779" width="18.28515625" style="53" customWidth="1"/>
    <col min="11780" max="11780" width="23.85546875" style="53" customWidth="1"/>
    <col min="11781" max="11781" width="16" style="53" bestFit="1" customWidth="1"/>
    <col min="11782" max="11782" width="13.7109375" style="53" bestFit="1" customWidth="1"/>
    <col min="11783" max="11783" width="15.7109375" style="53" bestFit="1" customWidth="1"/>
    <col min="11784" max="11784" width="13.140625" style="53" bestFit="1" customWidth="1"/>
    <col min="11785" max="11785" width="11.85546875" style="53" bestFit="1" customWidth="1"/>
    <col min="11786" max="11786" width="12.85546875" style="53" bestFit="1" customWidth="1"/>
    <col min="11787" max="12032" width="9.140625" style="53"/>
    <col min="12033" max="12033" width="9.28515625" style="53" customWidth="1"/>
    <col min="12034" max="12034" width="39.85546875" style="53" customWidth="1"/>
    <col min="12035" max="12035" width="18.28515625" style="53" customWidth="1"/>
    <col min="12036" max="12036" width="23.85546875" style="53" customWidth="1"/>
    <col min="12037" max="12037" width="16" style="53" bestFit="1" customWidth="1"/>
    <col min="12038" max="12038" width="13.7109375" style="53" bestFit="1" customWidth="1"/>
    <col min="12039" max="12039" width="15.7109375" style="53" bestFit="1" customWidth="1"/>
    <col min="12040" max="12040" width="13.140625" style="53" bestFit="1" customWidth="1"/>
    <col min="12041" max="12041" width="11.85546875" style="53" bestFit="1" customWidth="1"/>
    <col min="12042" max="12042" width="12.85546875" style="53" bestFit="1" customWidth="1"/>
    <col min="12043" max="12288" width="9.140625" style="53"/>
    <col min="12289" max="12289" width="9.28515625" style="53" customWidth="1"/>
    <col min="12290" max="12290" width="39.85546875" style="53" customWidth="1"/>
    <col min="12291" max="12291" width="18.28515625" style="53" customWidth="1"/>
    <col min="12292" max="12292" width="23.85546875" style="53" customWidth="1"/>
    <col min="12293" max="12293" width="16" style="53" bestFit="1" customWidth="1"/>
    <col min="12294" max="12294" width="13.7109375" style="53" bestFit="1" customWidth="1"/>
    <col min="12295" max="12295" width="15.7109375" style="53" bestFit="1" customWidth="1"/>
    <col min="12296" max="12296" width="13.140625" style="53" bestFit="1" customWidth="1"/>
    <col min="12297" max="12297" width="11.85546875" style="53" bestFit="1" customWidth="1"/>
    <col min="12298" max="12298" width="12.85546875" style="53" bestFit="1" customWidth="1"/>
    <col min="12299" max="12544" width="9.140625" style="53"/>
    <col min="12545" max="12545" width="9.28515625" style="53" customWidth="1"/>
    <col min="12546" max="12546" width="39.85546875" style="53" customWidth="1"/>
    <col min="12547" max="12547" width="18.28515625" style="53" customWidth="1"/>
    <col min="12548" max="12548" width="23.85546875" style="53" customWidth="1"/>
    <col min="12549" max="12549" width="16" style="53" bestFit="1" customWidth="1"/>
    <col min="12550" max="12550" width="13.7109375" style="53" bestFit="1" customWidth="1"/>
    <col min="12551" max="12551" width="15.7109375" style="53" bestFit="1" customWidth="1"/>
    <col min="12552" max="12552" width="13.140625" style="53" bestFit="1" customWidth="1"/>
    <col min="12553" max="12553" width="11.85546875" style="53" bestFit="1" customWidth="1"/>
    <col min="12554" max="12554" width="12.85546875" style="53" bestFit="1" customWidth="1"/>
    <col min="12555" max="12800" width="9.140625" style="53"/>
    <col min="12801" max="12801" width="9.28515625" style="53" customWidth="1"/>
    <col min="12802" max="12802" width="39.85546875" style="53" customWidth="1"/>
    <col min="12803" max="12803" width="18.28515625" style="53" customWidth="1"/>
    <col min="12804" max="12804" width="23.85546875" style="53" customWidth="1"/>
    <col min="12805" max="12805" width="16" style="53" bestFit="1" customWidth="1"/>
    <col min="12806" max="12806" width="13.7109375" style="53" bestFit="1" customWidth="1"/>
    <col min="12807" max="12807" width="15.7109375" style="53" bestFit="1" customWidth="1"/>
    <col min="12808" max="12808" width="13.140625" style="53" bestFit="1" customWidth="1"/>
    <col min="12809" max="12809" width="11.85546875" style="53" bestFit="1" customWidth="1"/>
    <col min="12810" max="12810" width="12.85546875" style="53" bestFit="1" customWidth="1"/>
    <col min="12811" max="13056" width="9.140625" style="53"/>
    <col min="13057" max="13057" width="9.28515625" style="53" customWidth="1"/>
    <col min="13058" max="13058" width="39.85546875" style="53" customWidth="1"/>
    <col min="13059" max="13059" width="18.28515625" style="53" customWidth="1"/>
    <col min="13060" max="13060" width="23.85546875" style="53" customWidth="1"/>
    <col min="13061" max="13061" width="16" style="53" bestFit="1" customWidth="1"/>
    <col min="13062" max="13062" width="13.7109375" style="53" bestFit="1" customWidth="1"/>
    <col min="13063" max="13063" width="15.7109375" style="53" bestFit="1" customWidth="1"/>
    <col min="13064" max="13064" width="13.140625" style="53" bestFit="1" customWidth="1"/>
    <col min="13065" max="13065" width="11.85546875" style="53" bestFit="1" customWidth="1"/>
    <col min="13066" max="13066" width="12.85546875" style="53" bestFit="1" customWidth="1"/>
    <col min="13067" max="13312" width="9.140625" style="53"/>
    <col min="13313" max="13313" width="9.28515625" style="53" customWidth="1"/>
    <col min="13314" max="13314" width="39.85546875" style="53" customWidth="1"/>
    <col min="13315" max="13315" width="18.28515625" style="53" customWidth="1"/>
    <col min="13316" max="13316" width="23.85546875" style="53" customWidth="1"/>
    <col min="13317" max="13317" width="16" style="53" bestFit="1" customWidth="1"/>
    <col min="13318" max="13318" width="13.7109375" style="53" bestFit="1" customWidth="1"/>
    <col min="13319" max="13319" width="15.7109375" style="53" bestFit="1" customWidth="1"/>
    <col min="13320" max="13320" width="13.140625" style="53" bestFit="1" customWidth="1"/>
    <col min="13321" max="13321" width="11.85546875" style="53" bestFit="1" customWidth="1"/>
    <col min="13322" max="13322" width="12.85546875" style="53" bestFit="1" customWidth="1"/>
    <col min="13323" max="13568" width="9.140625" style="53"/>
    <col min="13569" max="13569" width="9.28515625" style="53" customWidth="1"/>
    <col min="13570" max="13570" width="39.85546875" style="53" customWidth="1"/>
    <col min="13571" max="13571" width="18.28515625" style="53" customWidth="1"/>
    <col min="13572" max="13572" width="23.85546875" style="53" customWidth="1"/>
    <col min="13573" max="13573" width="16" style="53" bestFit="1" customWidth="1"/>
    <col min="13574" max="13574" width="13.7109375" style="53" bestFit="1" customWidth="1"/>
    <col min="13575" max="13575" width="15.7109375" style="53" bestFit="1" customWidth="1"/>
    <col min="13576" max="13576" width="13.140625" style="53" bestFit="1" customWidth="1"/>
    <col min="13577" max="13577" width="11.85546875" style="53" bestFit="1" customWidth="1"/>
    <col min="13578" max="13578" width="12.85546875" style="53" bestFit="1" customWidth="1"/>
    <col min="13579" max="13824" width="9.140625" style="53"/>
    <col min="13825" max="13825" width="9.28515625" style="53" customWidth="1"/>
    <col min="13826" max="13826" width="39.85546875" style="53" customWidth="1"/>
    <col min="13827" max="13827" width="18.28515625" style="53" customWidth="1"/>
    <col min="13828" max="13828" width="23.85546875" style="53" customWidth="1"/>
    <col min="13829" max="13829" width="16" style="53" bestFit="1" customWidth="1"/>
    <col min="13830" max="13830" width="13.7109375" style="53" bestFit="1" customWidth="1"/>
    <col min="13831" max="13831" width="15.7109375" style="53" bestFit="1" customWidth="1"/>
    <col min="13832" max="13832" width="13.140625" style="53" bestFit="1" customWidth="1"/>
    <col min="13833" max="13833" width="11.85546875" style="53" bestFit="1" customWidth="1"/>
    <col min="13834" max="13834" width="12.85546875" style="53" bestFit="1" customWidth="1"/>
    <col min="13835" max="14080" width="9.140625" style="53"/>
    <col min="14081" max="14081" width="9.28515625" style="53" customWidth="1"/>
    <col min="14082" max="14082" width="39.85546875" style="53" customWidth="1"/>
    <col min="14083" max="14083" width="18.28515625" style="53" customWidth="1"/>
    <col min="14084" max="14084" width="23.85546875" style="53" customWidth="1"/>
    <col min="14085" max="14085" width="16" style="53" bestFit="1" customWidth="1"/>
    <col min="14086" max="14086" width="13.7109375" style="53" bestFit="1" customWidth="1"/>
    <col min="14087" max="14087" width="15.7109375" style="53" bestFit="1" customWidth="1"/>
    <col min="14088" max="14088" width="13.140625" style="53" bestFit="1" customWidth="1"/>
    <col min="14089" max="14089" width="11.85546875" style="53" bestFit="1" customWidth="1"/>
    <col min="14090" max="14090" width="12.85546875" style="53" bestFit="1" customWidth="1"/>
    <col min="14091" max="14336" width="9.140625" style="53"/>
    <col min="14337" max="14337" width="9.28515625" style="53" customWidth="1"/>
    <col min="14338" max="14338" width="39.85546875" style="53" customWidth="1"/>
    <col min="14339" max="14339" width="18.28515625" style="53" customWidth="1"/>
    <col min="14340" max="14340" width="23.85546875" style="53" customWidth="1"/>
    <col min="14341" max="14341" width="16" style="53" bestFit="1" customWidth="1"/>
    <col min="14342" max="14342" width="13.7109375" style="53" bestFit="1" customWidth="1"/>
    <col min="14343" max="14343" width="15.7109375" style="53" bestFit="1" customWidth="1"/>
    <col min="14344" max="14344" width="13.140625" style="53" bestFit="1" customWidth="1"/>
    <col min="14345" max="14345" width="11.85546875" style="53" bestFit="1" customWidth="1"/>
    <col min="14346" max="14346" width="12.85546875" style="53" bestFit="1" customWidth="1"/>
    <col min="14347" max="14592" width="9.140625" style="53"/>
    <col min="14593" max="14593" width="9.28515625" style="53" customWidth="1"/>
    <col min="14594" max="14594" width="39.85546875" style="53" customWidth="1"/>
    <col min="14595" max="14595" width="18.28515625" style="53" customWidth="1"/>
    <col min="14596" max="14596" width="23.85546875" style="53" customWidth="1"/>
    <col min="14597" max="14597" width="16" style="53" bestFit="1" customWidth="1"/>
    <col min="14598" max="14598" width="13.7109375" style="53" bestFit="1" customWidth="1"/>
    <col min="14599" max="14599" width="15.7109375" style="53" bestFit="1" customWidth="1"/>
    <col min="14600" max="14600" width="13.140625" style="53" bestFit="1" customWidth="1"/>
    <col min="14601" max="14601" width="11.85546875" style="53" bestFit="1" customWidth="1"/>
    <col min="14602" max="14602" width="12.85546875" style="53" bestFit="1" customWidth="1"/>
    <col min="14603" max="14848" width="9.140625" style="53"/>
    <col min="14849" max="14849" width="9.28515625" style="53" customWidth="1"/>
    <col min="14850" max="14850" width="39.85546875" style="53" customWidth="1"/>
    <col min="14851" max="14851" width="18.28515625" style="53" customWidth="1"/>
    <col min="14852" max="14852" width="23.85546875" style="53" customWidth="1"/>
    <col min="14853" max="14853" width="16" style="53" bestFit="1" customWidth="1"/>
    <col min="14854" max="14854" width="13.7109375" style="53" bestFit="1" customWidth="1"/>
    <col min="14855" max="14855" width="15.7109375" style="53" bestFit="1" customWidth="1"/>
    <col min="14856" max="14856" width="13.140625" style="53" bestFit="1" customWidth="1"/>
    <col min="14857" max="14857" width="11.85546875" style="53" bestFit="1" customWidth="1"/>
    <col min="14858" max="14858" width="12.85546875" style="53" bestFit="1" customWidth="1"/>
    <col min="14859" max="15104" width="9.140625" style="53"/>
    <col min="15105" max="15105" width="9.28515625" style="53" customWidth="1"/>
    <col min="15106" max="15106" width="39.85546875" style="53" customWidth="1"/>
    <col min="15107" max="15107" width="18.28515625" style="53" customWidth="1"/>
    <col min="15108" max="15108" width="23.85546875" style="53" customWidth="1"/>
    <col min="15109" max="15109" width="16" style="53" bestFit="1" customWidth="1"/>
    <col min="15110" max="15110" width="13.7109375" style="53" bestFit="1" customWidth="1"/>
    <col min="15111" max="15111" width="15.7109375" style="53" bestFit="1" customWidth="1"/>
    <col min="15112" max="15112" width="13.140625" style="53" bestFit="1" customWidth="1"/>
    <col min="15113" max="15113" width="11.85546875" style="53" bestFit="1" customWidth="1"/>
    <col min="15114" max="15114" width="12.85546875" style="53" bestFit="1" customWidth="1"/>
    <col min="15115" max="15360" width="9.140625" style="53"/>
    <col min="15361" max="15361" width="9.28515625" style="53" customWidth="1"/>
    <col min="15362" max="15362" width="39.85546875" style="53" customWidth="1"/>
    <col min="15363" max="15363" width="18.28515625" style="53" customWidth="1"/>
    <col min="15364" max="15364" width="23.85546875" style="53" customWidth="1"/>
    <col min="15365" max="15365" width="16" style="53" bestFit="1" customWidth="1"/>
    <col min="15366" max="15366" width="13.7109375" style="53" bestFit="1" customWidth="1"/>
    <col min="15367" max="15367" width="15.7109375" style="53" bestFit="1" customWidth="1"/>
    <col min="15368" max="15368" width="13.140625" style="53" bestFit="1" customWidth="1"/>
    <col min="15369" max="15369" width="11.85546875" style="53" bestFit="1" customWidth="1"/>
    <col min="15370" max="15370" width="12.85546875" style="53" bestFit="1" customWidth="1"/>
    <col min="15371" max="15616" width="9.140625" style="53"/>
    <col min="15617" max="15617" width="9.28515625" style="53" customWidth="1"/>
    <col min="15618" max="15618" width="39.85546875" style="53" customWidth="1"/>
    <col min="15619" max="15619" width="18.28515625" style="53" customWidth="1"/>
    <col min="15620" max="15620" width="23.85546875" style="53" customWidth="1"/>
    <col min="15621" max="15621" width="16" style="53" bestFit="1" customWidth="1"/>
    <col min="15622" max="15622" width="13.7109375" style="53" bestFit="1" customWidth="1"/>
    <col min="15623" max="15623" width="15.7109375" style="53" bestFit="1" customWidth="1"/>
    <col min="15624" max="15624" width="13.140625" style="53" bestFit="1" customWidth="1"/>
    <col min="15625" max="15625" width="11.85546875" style="53" bestFit="1" customWidth="1"/>
    <col min="15626" max="15626" width="12.85546875" style="53" bestFit="1" customWidth="1"/>
    <col min="15627" max="15872" width="9.140625" style="53"/>
    <col min="15873" max="15873" width="9.28515625" style="53" customWidth="1"/>
    <col min="15874" max="15874" width="39.85546875" style="53" customWidth="1"/>
    <col min="15875" max="15875" width="18.28515625" style="53" customWidth="1"/>
    <col min="15876" max="15876" width="23.85546875" style="53" customWidth="1"/>
    <col min="15877" max="15877" width="16" style="53" bestFit="1" customWidth="1"/>
    <col min="15878" max="15878" width="13.7109375" style="53" bestFit="1" customWidth="1"/>
    <col min="15879" max="15879" width="15.7109375" style="53" bestFit="1" customWidth="1"/>
    <col min="15880" max="15880" width="13.140625" style="53" bestFit="1" customWidth="1"/>
    <col min="15881" max="15881" width="11.85546875" style="53" bestFit="1" customWidth="1"/>
    <col min="15882" max="15882" width="12.85546875" style="53" bestFit="1" customWidth="1"/>
    <col min="15883" max="16128" width="9.140625" style="53"/>
    <col min="16129" max="16129" width="9.28515625" style="53" customWidth="1"/>
    <col min="16130" max="16130" width="39.85546875" style="53" customWidth="1"/>
    <col min="16131" max="16131" width="18.28515625" style="53" customWidth="1"/>
    <col min="16132" max="16132" width="23.85546875" style="53" customWidth="1"/>
    <col min="16133" max="16133" width="16" style="53" bestFit="1" customWidth="1"/>
    <col min="16134" max="16134" width="13.7109375" style="53" bestFit="1" customWidth="1"/>
    <col min="16135" max="16135" width="15.7109375" style="53" bestFit="1" customWidth="1"/>
    <col min="16136" max="16136" width="13.140625" style="53" bestFit="1" customWidth="1"/>
    <col min="16137" max="16137" width="11.85546875" style="53" bestFit="1" customWidth="1"/>
    <col min="16138" max="16138" width="12.85546875" style="53" bestFit="1" customWidth="1"/>
    <col min="16139" max="16384" width="9.140625" style="53"/>
  </cols>
  <sheetData>
    <row r="3" spans="1:7" ht="15.75" customHeight="1">
      <c r="A3" s="543" t="s">
        <v>255</v>
      </c>
      <c r="B3" s="543"/>
      <c r="C3" s="543"/>
      <c r="D3" s="543"/>
      <c r="E3" s="52"/>
      <c r="F3" s="52"/>
      <c r="G3" s="52"/>
    </row>
    <row r="4" spans="1:7">
      <c r="A4" s="543"/>
      <c r="B4" s="543"/>
      <c r="C4" s="543"/>
      <c r="D4" s="543"/>
      <c r="E4" s="52"/>
      <c r="F4" s="52"/>
      <c r="G4" s="52"/>
    </row>
    <row r="5" spans="1:7">
      <c r="A5" s="54"/>
      <c r="B5" s="52"/>
      <c r="C5" s="52"/>
      <c r="D5" s="52"/>
      <c r="E5" s="52"/>
      <c r="F5" s="52"/>
      <c r="G5" s="52"/>
    </row>
    <row r="6" spans="1:7" ht="15.75" customHeight="1">
      <c r="A6" s="544" t="s">
        <v>550</v>
      </c>
      <c r="B6" s="544"/>
      <c r="C6" s="544"/>
      <c r="D6" s="544"/>
      <c r="E6" s="52"/>
      <c r="F6" s="52"/>
      <c r="G6" s="52"/>
    </row>
    <row r="7" spans="1:7">
      <c r="A7" s="522"/>
      <c r="B7" s="522"/>
      <c r="C7" s="522"/>
      <c r="D7" s="522"/>
    </row>
    <row r="8" spans="1:7">
      <c r="A8" s="237" t="s">
        <v>551</v>
      </c>
      <c r="B8" s="238"/>
      <c r="C8" s="187"/>
      <c r="D8" s="187"/>
    </row>
    <row r="9" spans="1:7">
      <c r="A9" s="522"/>
      <c r="B9" s="522"/>
      <c r="C9" s="522"/>
      <c r="D9" s="522"/>
    </row>
    <row r="10" spans="1:7">
      <c r="A10" s="57" t="s">
        <v>256</v>
      </c>
      <c r="B10" s="188"/>
      <c r="C10" s="187"/>
      <c r="D10" s="187"/>
    </row>
    <row r="11" spans="1:7">
      <c r="A11" s="59" t="s">
        <v>257</v>
      </c>
      <c r="B11" s="541" t="s">
        <v>258</v>
      </c>
      <c r="C11" s="542"/>
      <c r="D11" s="239">
        <v>42550</v>
      </c>
    </row>
    <row r="12" spans="1:7">
      <c r="A12" s="59" t="s">
        <v>259</v>
      </c>
      <c r="B12" s="62" t="s">
        <v>260</v>
      </c>
      <c r="C12" s="63"/>
      <c r="D12" s="240" t="s">
        <v>374</v>
      </c>
    </row>
    <row r="13" spans="1:7">
      <c r="A13" s="59" t="s">
        <v>261</v>
      </c>
      <c r="B13" s="541" t="s">
        <v>262</v>
      </c>
      <c r="C13" s="542"/>
      <c r="D13" s="240">
        <v>2016</v>
      </c>
    </row>
    <row r="14" spans="1:7">
      <c r="A14" s="64" t="s">
        <v>263</v>
      </c>
      <c r="B14" s="65" t="s">
        <v>555</v>
      </c>
      <c r="C14" s="66"/>
      <c r="D14" s="239">
        <v>42625</v>
      </c>
    </row>
    <row r="16" spans="1:7">
      <c r="A16" s="190"/>
    </row>
    <row r="17" spans="1:7">
      <c r="A17" s="523"/>
      <c r="B17" s="523"/>
      <c r="C17" s="523"/>
      <c r="D17" s="523"/>
      <c r="E17" s="523"/>
      <c r="F17" s="523"/>
      <c r="G17" s="523"/>
    </row>
    <row r="18" spans="1:7" ht="35.25" customHeight="1">
      <c r="A18" s="545" t="s">
        <v>264</v>
      </c>
      <c r="B18" s="545"/>
      <c r="C18" s="67" t="s">
        <v>265</v>
      </c>
      <c r="D18" s="67" t="s">
        <v>266</v>
      </c>
    </row>
    <row r="19" spans="1:7">
      <c r="A19" s="241">
        <v>1</v>
      </c>
      <c r="B19" s="242" t="s">
        <v>2</v>
      </c>
      <c r="C19" s="241" t="s">
        <v>267</v>
      </c>
      <c r="D19" s="243">
        <v>3</v>
      </c>
    </row>
    <row r="20" spans="1:7">
      <c r="A20" s="68"/>
      <c r="B20" s="69"/>
      <c r="C20" s="68"/>
      <c r="D20" s="70"/>
    </row>
    <row r="21" spans="1:7">
      <c r="A21" s="522" t="s">
        <v>268</v>
      </c>
      <c r="B21" s="522"/>
      <c r="C21" s="522"/>
      <c r="D21" s="522"/>
      <c r="E21" s="522"/>
      <c r="F21" s="522"/>
      <c r="G21" s="522"/>
    </row>
    <row r="22" spans="1:7">
      <c r="A22" s="71"/>
    </row>
    <row r="23" spans="1:7">
      <c r="A23" s="57" t="s">
        <v>269</v>
      </c>
    </row>
    <row r="24" spans="1:7">
      <c r="A24" s="57" t="s">
        <v>270</v>
      </c>
    </row>
    <row r="25" spans="1:7">
      <c r="A25" s="72" t="s">
        <v>271</v>
      </c>
      <c r="B25" s="60"/>
      <c r="C25" s="60"/>
      <c r="D25" s="61"/>
    </row>
    <row r="26" spans="1:7">
      <c r="A26" s="73">
        <v>1</v>
      </c>
      <c r="B26" s="74" t="s">
        <v>272</v>
      </c>
      <c r="C26" s="74"/>
      <c r="D26" s="244" t="str">
        <f>B19</f>
        <v>Porteiro</v>
      </c>
    </row>
    <row r="27" spans="1:7" ht="30.75" customHeight="1">
      <c r="A27" s="73">
        <v>2</v>
      </c>
      <c r="B27" s="539" t="s">
        <v>273</v>
      </c>
      <c r="C27" s="540"/>
      <c r="D27" s="175">
        <v>1475</v>
      </c>
    </row>
    <row r="28" spans="1:7" ht="31.5" customHeight="1">
      <c r="A28" s="73">
        <v>3</v>
      </c>
      <c r="B28" s="539" t="s">
        <v>274</v>
      </c>
      <c r="C28" s="540"/>
      <c r="D28" s="176" t="s">
        <v>375</v>
      </c>
    </row>
    <row r="29" spans="1:7">
      <c r="A29" s="75">
        <v>4</v>
      </c>
      <c r="B29" s="76" t="s">
        <v>275</v>
      </c>
      <c r="C29" s="76"/>
      <c r="D29" s="77">
        <v>42401</v>
      </c>
    </row>
    <row r="30" spans="1:7">
      <c r="A30" s="71"/>
    </row>
    <row r="31" spans="1:7">
      <c r="A31" s="71"/>
    </row>
    <row r="32" spans="1:7">
      <c r="A32" s="71"/>
    </row>
    <row r="33" spans="1:7" ht="16.5" customHeight="1" thickBot="1">
      <c r="A33" s="523" t="s">
        <v>276</v>
      </c>
      <c r="B33" s="523"/>
      <c r="C33" s="523"/>
      <c r="D33" s="523"/>
      <c r="E33" s="523"/>
      <c r="F33" s="52"/>
      <c r="G33" s="52"/>
    </row>
    <row r="34" spans="1:7" ht="16.5" thickBot="1">
      <c r="A34" s="78" t="s">
        <v>277</v>
      </c>
      <c r="B34" s="79" t="s">
        <v>278</v>
      </c>
      <c r="C34" s="80"/>
      <c r="D34" s="81" t="s">
        <v>279</v>
      </c>
    </row>
    <row r="35" spans="1:7">
      <c r="A35" s="82" t="s">
        <v>257</v>
      </c>
      <c r="B35" s="83" t="s">
        <v>280</v>
      </c>
      <c r="C35" s="84"/>
      <c r="D35" s="85">
        <f>D27</f>
        <v>1475</v>
      </c>
    </row>
    <row r="36" spans="1:7">
      <c r="A36" s="191" t="s">
        <v>259</v>
      </c>
      <c r="B36" s="87" t="s">
        <v>281</v>
      </c>
      <c r="C36" s="88"/>
      <c r="D36" s="89">
        <v>0</v>
      </c>
    </row>
    <row r="37" spans="1:7">
      <c r="A37" s="191" t="s">
        <v>261</v>
      </c>
      <c r="B37" s="87" t="s">
        <v>282</v>
      </c>
      <c r="C37" s="90"/>
      <c r="D37" s="89">
        <v>0</v>
      </c>
    </row>
    <row r="38" spans="1:7">
      <c r="A38" s="191" t="s">
        <v>263</v>
      </c>
      <c r="B38" s="91" t="s">
        <v>552</v>
      </c>
      <c r="C38" s="88"/>
      <c r="D38" s="89">
        <v>47</v>
      </c>
    </row>
    <row r="39" spans="1:7">
      <c r="A39" s="191" t="s">
        <v>284</v>
      </c>
      <c r="B39" s="91" t="s">
        <v>285</v>
      </c>
      <c r="C39" s="92"/>
      <c r="D39" s="89">
        <v>0</v>
      </c>
    </row>
    <row r="40" spans="1:7">
      <c r="A40" s="191" t="s">
        <v>286</v>
      </c>
      <c r="B40" s="93" t="s">
        <v>287</v>
      </c>
      <c r="C40" s="92"/>
      <c r="D40" s="89">
        <v>0</v>
      </c>
    </row>
    <row r="41" spans="1:7">
      <c r="A41" s="191" t="s">
        <v>288</v>
      </c>
      <c r="B41" s="93" t="s">
        <v>289</v>
      </c>
      <c r="C41" s="92"/>
      <c r="D41" s="89">
        <v>0</v>
      </c>
    </row>
    <row r="42" spans="1:7" ht="16.5" thickBot="1">
      <c r="A42" s="191" t="s">
        <v>290</v>
      </c>
      <c r="B42" s="94" t="s">
        <v>376</v>
      </c>
      <c r="C42" s="95"/>
      <c r="D42" s="89">
        <v>0</v>
      </c>
    </row>
    <row r="43" spans="1:7" ht="16.5" thickBot="1">
      <c r="A43" s="96"/>
      <c r="B43" s="97" t="s">
        <v>292</v>
      </c>
      <c r="C43" s="98"/>
      <c r="D43" s="99">
        <f>SUM(D35:D42)</f>
        <v>1522</v>
      </c>
    </row>
    <row r="44" spans="1:7">
      <c r="A44" s="190"/>
    </row>
    <row r="45" spans="1:7" ht="16.5" thickBot="1">
      <c r="A45" s="523" t="s">
        <v>293</v>
      </c>
      <c r="B45" s="523"/>
      <c r="C45" s="523"/>
      <c r="D45" s="523"/>
      <c r="E45" s="523"/>
      <c r="F45" s="523"/>
      <c r="G45" s="523"/>
    </row>
    <row r="46" spans="1:7" ht="16.5" thickBot="1">
      <c r="A46" s="100">
        <v>2</v>
      </c>
      <c r="B46" s="189" t="s">
        <v>294</v>
      </c>
      <c r="C46" s="102"/>
      <c r="D46" s="100" t="s">
        <v>279</v>
      </c>
    </row>
    <row r="47" spans="1:7">
      <c r="A47" s="82" t="s">
        <v>257</v>
      </c>
      <c r="B47" s="83" t="s">
        <v>295</v>
      </c>
      <c r="C47" s="103"/>
      <c r="D47" s="104">
        <f>(3.7*52)-(D35*6%)</f>
        <v>103.9</v>
      </c>
    </row>
    <row r="48" spans="1:7" ht="31.5">
      <c r="A48" s="105" t="s">
        <v>259</v>
      </c>
      <c r="B48" s="106" t="s">
        <v>296</v>
      </c>
      <c r="C48" s="90"/>
      <c r="D48" s="107">
        <f>330*(1-20%)</f>
        <v>264</v>
      </c>
    </row>
    <row r="49" spans="1:7">
      <c r="A49" s="191" t="s">
        <v>261</v>
      </c>
      <c r="B49" s="87" t="s">
        <v>389</v>
      </c>
      <c r="C49" s="90"/>
      <c r="D49" s="107">
        <v>50</v>
      </c>
    </row>
    <row r="50" spans="1:7">
      <c r="A50" s="191" t="s">
        <v>263</v>
      </c>
      <c r="B50" s="87" t="s">
        <v>297</v>
      </c>
      <c r="C50" s="88"/>
      <c r="D50" s="107">
        <v>0</v>
      </c>
    </row>
    <row r="51" spans="1:7">
      <c r="A51" s="191" t="s">
        <v>284</v>
      </c>
      <c r="B51" s="87" t="s">
        <v>390</v>
      </c>
      <c r="C51" s="92"/>
      <c r="D51" s="108">
        <v>16</v>
      </c>
    </row>
    <row r="52" spans="1:7" ht="16.5" customHeight="1">
      <c r="A52" s="191" t="s">
        <v>286</v>
      </c>
      <c r="B52" s="535" t="s">
        <v>377</v>
      </c>
      <c r="C52" s="536"/>
      <c r="D52" s="108">
        <v>16</v>
      </c>
    </row>
    <row r="53" spans="1:7" ht="16.5" thickBot="1">
      <c r="A53" s="109" t="s">
        <v>288</v>
      </c>
      <c r="B53" s="537" t="s">
        <v>291</v>
      </c>
      <c r="C53" s="538"/>
      <c r="D53" s="110">
        <v>0</v>
      </c>
    </row>
    <row r="54" spans="1:7" ht="16.5" thickBot="1">
      <c r="A54" s="111"/>
      <c r="B54" s="189" t="s">
        <v>298</v>
      </c>
      <c r="C54" s="112"/>
      <c r="D54" s="113">
        <f>SUM(D47:D53)</f>
        <v>449.9</v>
      </c>
    </row>
    <row r="55" spans="1:7" ht="33" customHeight="1">
      <c r="A55" s="522" t="s">
        <v>299</v>
      </c>
      <c r="B55" s="522"/>
      <c r="C55" s="522"/>
      <c r="D55" s="522"/>
    </row>
    <row r="56" spans="1:7">
      <c r="A56" s="190"/>
    </row>
    <row r="57" spans="1:7" ht="16.5" thickBot="1">
      <c r="A57" s="523" t="s">
        <v>300</v>
      </c>
      <c r="B57" s="523"/>
      <c r="C57" s="523"/>
      <c r="D57" s="523"/>
      <c r="E57" s="523"/>
      <c r="F57" s="523"/>
      <c r="G57" s="523"/>
    </row>
    <row r="58" spans="1:7" ht="16.5" thickBot="1">
      <c r="A58" s="114">
        <v>3</v>
      </c>
      <c r="B58" s="189" t="s">
        <v>301</v>
      </c>
      <c r="C58" s="102"/>
      <c r="D58" s="100" t="s">
        <v>279</v>
      </c>
    </row>
    <row r="59" spans="1:7">
      <c r="A59" s="82" t="s">
        <v>257</v>
      </c>
      <c r="B59" s="83" t="s">
        <v>302</v>
      </c>
      <c r="C59" s="115"/>
      <c r="D59" s="116">
        <f>'ANEXO IV'!D19</f>
        <v>41.166666666666664</v>
      </c>
    </row>
    <row r="60" spans="1:7">
      <c r="A60" s="105" t="s">
        <v>259</v>
      </c>
      <c r="B60" s="106" t="s">
        <v>15</v>
      </c>
      <c r="C60" s="90"/>
      <c r="D60" s="107">
        <v>0</v>
      </c>
    </row>
    <row r="61" spans="1:7">
      <c r="A61" s="191" t="s">
        <v>261</v>
      </c>
      <c r="B61" s="87" t="s">
        <v>21</v>
      </c>
      <c r="C61" s="90"/>
      <c r="D61" s="107">
        <v>0</v>
      </c>
    </row>
    <row r="62" spans="1:7">
      <c r="A62" s="191" t="s">
        <v>263</v>
      </c>
      <c r="B62" s="535" t="s">
        <v>18</v>
      </c>
      <c r="C62" s="536"/>
      <c r="D62" s="108">
        <v>0</v>
      </c>
    </row>
    <row r="63" spans="1:7" ht="16.5" thickBot="1">
      <c r="A63" s="109" t="s">
        <v>284</v>
      </c>
      <c r="B63" s="537" t="s">
        <v>291</v>
      </c>
      <c r="C63" s="538"/>
      <c r="D63" s="110">
        <v>0</v>
      </c>
    </row>
    <row r="64" spans="1:7" ht="16.5" thickBot="1">
      <c r="A64" s="111"/>
      <c r="B64" s="189" t="s">
        <v>303</v>
      </c>
      <c r="C64" s="112"/>
      <c r="D64" s="113">
        <f>SUM(D59:D63)</f>
        <v>41.166666666666664</v>
      </c>
    </row>
    <row r="65" spans="1:7">
      <c r="A65" s="522" t="s">
        <v>304</v>
      </c>
      <c r="B65" s="522"/>
      <c r="C65" s="522"/>
      <c r="D65" s="522"/>
      <c r="E65" s="522"/>
      <c r="F65" s="522"/>
      <c r="G65" s="522"/>
    </row>
    <row r="66" spans="1:7">
      <c r="A66" s="190"/>
    </row>
    <row r="67" spans="1:7">
      <c r="A67" s="523" t="s">
        <v>305</v>
      </c>
      <c r="B67" s="523"/>
      <c r="C67" s="523"/>
      <c r="D67" s="523"/>
      <c r="E67" s="523"/>
      <c r="F67" s="523"/>
      <c r="G67" s="523"/>
    </row>
    <row r="68" spans="1:7" ht="16.5" thickBot="1">
      <c r="A68" s="523" t="s">
        <v>306</v>
      </c>
      <c r="B68" s="523"/>
      <c r="C68" s="523"/>
      <c r="D68" s="523"/>
      <c r="E68" s="523"/>
      <c r="F68" s="523"/>
      <c r="G68" s="523"/>
    </row>
    <row r="69" spans="1:7" ht="16.5" thickBot="1">
      <c r="A69" s="117" t="s">
        <v>307</v>
      </c>
      <c r="B69" s="118" t="s">
        <v>308</v>
      </c>
      <c r="C69" s="117" t="s">
        <v>4</v>
      </c>
      <c r="D69" s="117" t="s">
        <v>279</v>
      </c>
    </row>
    <row r="70" spans="1:7">
      <c r="A70" s="82" t="s">
        <v>257</v>
      </c>
      <c r="B70" s="119" t="s">
        <v>8</v>
      </c>
      <c r="C70" s="120">
        <v>0.2</v>
      </c>
      <c r="D70" s="104">
        <f t="shared" ref="D70:D77" si="0">ROUND($D$43*C70,2)</f>
        <v>304.39999999999998</v>
      </c>
    </row>
    <row r="71" spans="1:7">
      <c r="A71" s="105" t="s">
        <v>259</v>
      </c>
      <c r="B71" s="121" t="s">
        <v>309</v>
      </c>
      <c r="C71" s="122">
        <v>1.4999999999999999E-2</v>
      </c>
      <c r="D71" s="107">
        <f t="shared" si="0"/>
        <v>22.83</v>
      </c>
    </row>
    <row r="72" spans="1:7">
      <c r="A72" s="191" t="s">
        <v>261</v>
      </c>
      <c r="B72" s="123" t="s">
        <v>310</v>
      </c>
      <c r="C72" s="122">
        <v>0.01</v>
      </c>
      <c r="D72" s="107">
        <f t="shared" si="0"/>
        <v>15.22</v>
      </c>
    </row>
    <row r="73" spans="1:7">
      <c r="A73" s="105" t="s">
        <v>263</v>
      </c>
      <c r="B73" s="121" t="s">
        <v>9</v>
      </c>
      <c r="C73" s="122">
        <v>2E-3</v>
      </c>
      <c r="D73" s="107">
        <f t="shared" si="0"/>
        <v>3.04</v>
      </c>
    </row>
    <row r="74" spans="1:7">
      <c r="A74" s="191" t="s">
        <v>284</v>
      </c>
      <c r="B74" s="123" t="s">
        <v>10</v>
      </c>
      <c r="C74" s="122">
        <v>2.5000000000000001E-2</v>
      </c>
      <c r="D74" s="107">
        <f t="shared" si="0"/>
        <v>38.049999999999997</v>
      </c>
    </row>
    <row r="75" spans="1:7">
      <c r="A75" s="105" t="s">
        <v>286</v>
      </c>
      <c r="B75" s="121" t="s">
        <v>11</v>
      </c>
      <c r="C75" s="122">
        <v>0.08</v>
      </c>
      <c r="D75" s="107">
        <f t="shared" si="0"/>
        <v>121.76</v>
      </c>
    </row>
    <row r="76" spans="1:7" ht="31.5">
      <c r="A76" s="191" t="s">
        <v>288</v>
      </c>
      <c r="B76" s="123" t="s">
        <v>378</v>
      </c>
      <c r="C76" s="141">
        <v>3.0499999999999999E-2</v>
      </c>
      <c r="D76" s="245">
        <f t="shared" si="0"/>
        <v>46.42</v>
      </c>
    </row>
    <row r="77" spans="1:7" ht="16.5" thickBot="1">
      <c r="A77" s="124" t="s">
        <v>290</v>
      </c>
      <c r="B77" s="125" t="s">
        <v>12</v>
      </c>
      <c r="C77" s="126">
        <v>6.0000000000000001E-3</v>
      </c>
      <c r="D77" s="110">
        <f t="shared" si="0"/>
        <v>9.1300000000000008</v>
      </c>
    </row>
    <row r="78" spans="1:7" ht="16.5" thickBot="1">
      <c r="A78" s="530" t="s">
        <v>7</v>
      </c>
      <c r="B78" s="531"/>
      <c r="C78" s="127">
        <f>SUM(C70:C77)</f>
        <v>0.36850000000000005</v>
      </c>
      <c r="D78" s="113">
        <f>SUM(D70:D77)</f>
        <v>560.85</v>
      </c>
    </row>
    <row r="79" spans="1:7">
      <c r="A79" s="534" t="s">
        <v>311</v>
      </c>
      <c r="B79" s="534"/>
      <c r="C79" s="534"/>
      <c r="D79" s="534"/>
    </row>
    <row r="80" spans="1:7" ht="16.5" customHeight="1">
      <c r="A80" s="534" t="s">
        <v>312</v>
      </c>
      <c r="B80" s="534"/>
      <c r="C80" s="534"/>
      <c r="D80" s="534"/>
    </row>
    <row r="81" spans="1:7">
      <c r="A81" s="190"/>
    </row>
    <row r="82" spans="1:7" ht="16.5" thickBot="1">
      <c r="A82" s="523" t="s">
        <v>313</v>
      </c>
      <c r="B82" s="523"/>
      <c r="C82" s="523"/>
      <c r="D82" s="523"/>
      <c r="E82" s="523"/>
      <c r="F82" s="523"/>
      <c r="G82" s="523"/>
    </row>
    <row r="83" spans="1:7" ht="16.5" thickBot="1">
      <c r="A83" s="117" t="s">
        <v>314</v>
      </c>
      <c r="B83" s="118" t="s">
        <v>315</v>
      </c>
      <c r="C83" s="117" t="s">
        <v>4</v>
      </c>
      <c r="D83" s="117" t="s">
        <v>279</v>
      </c>
    </row>
    <row r="84" spans="1:7">
      <c r="A84" s="82" t="s">
        <v>257</v>
      </c>
      <c r="B84" s="119" t="s">
        <v>316</v>
      </c>
      <c r="C84" s="120">
        <f>((5/56)*100)/100</f>
        <v>8.9285714285714288E-2</v>
      </c>
      <c r="D84" s="104">
        <f>ROUND($D$43*C84,2)</f>
        <v>135.88999999999999</v>
      </c>
    </row>
    <row r="85" spans="1:7">
      <c r="A85" s="105" t="s">
        <v>259</v>
      </c>
      <c r="B85" s="121" t="s">
        <v>317</v>
      </c>
      <c r="C85" s="128">
        <f>(1/3)*(5/56)</f>
        <v>2.976190476190476E-2</v>
      </c>
      <c r="D85" s="129">
        <f>ROUND($D$43*C85,2)</f>
        <v>45.3</v>
      </c>
    </row>
    <row r="86" spans="1:7">
      <c r="A86" s="130" t="s">
        <v>318</v>
      </c>
      <c r="B86" s="121"/>
      <c r="C86" s="131">
        <f>SUM(C84:C85)</f>
        <v>0.11904761904761904</v>
      </c>
      <c r="D86" s="132">
        <f>SUM(D84:D85)</f>
        <v>181.19</v>
      </c>
    </row>
    <row r="87" spans="1:7" ht="32.25" thickBot="1">
      <c r="A87" s="105" t="s">
        <v>261</v>
      </c>
      <c r="B87" s="121" t="s">
        <v>319</v>
      </c>
      <c r="C87" s="122">
        <f>D87/D43</f>
        <v>4.3869908015768726E-2</v>
      </c>
      <c r="D87" s="107">
        <f>ROUND(D78*C86,2)</f>
        <v>66.77</v>
      </c>
    </row>
    <row r="88" spans="1:7" ht="16.5" thickBot="1">
      <c r="A88" s="530" t="s">
        <v>7</v>
      </c>
      <c r="B88" s="531"/>
      <c r="C88" s="127">
        <f>C87+C86</f>
        <v>0.16291752706338777</v>
      </c>
      <c r="D88" s="113">
        <f>D86+D87</f>
        <v>247.95999999999998</v>
      </c>
    </row>
    <row r="89" spans="1:7">
      <c r="A89" s="190"/>
    </row>
    <row r="90" spans="1:7" ht="16.5" thickBot="1">
      <c r="A90" s="523" t="s">
        <v>320</v>
      </c>
      <c r="B90" s="523"/>
      <c r="C90" s="523"/>
      <c r="D90" s="523"/>
      <c r="E90" s="523"/>
      <c r="F90" s="523"/>
      <c r="G90" s="523"/>
    </row>
    <row r="91" spans="1:7" ht="16.5" thickBot="1">
      <c r="A91" s="117" t="s">
        <v>321</v>
      </c>
      <c r="B91" s="118" t="s">
        <v>322</v>
      </c>
      <c r="C91" s="117" t="s">
        <v>4</v>
      </c>
      <c r="D91" s="117" t="s">
        <v>279</v>
      </c>
    </row>
    <row r="92" spans="1:7">
      <c r="A92" s="82" t="s">
        <v>257</v>
      </c>
      <c r="B92" s="133" t="s">
        <v>323</v>
      </c>
      <c r="C92" s="120">
        <f>0.1111*0.02*0.3333</f>
        <v>7.4059259999999997E-4</v>
      </c>
      <c r="D92" s="104">
        <f>ROUND($D$43*C92,2)</f>
        <v>1.1299999999999999</v>
      </c>
    </row>
    <row r="93" spans="1:7" ht="32.25" thickBot="1">
      <c r="A93" s="109" t="s">
        <v>259</v>
      </c>
      <c r="B93" s="134" t="s">
        <v>324</v>
      </c>
      <c r="C93" s="126">
        <f>D93/D43</f>
        <v>2.759526938239159E-4</v>
      </c>
      <c r="D93" s="110">
        <f>ROUND(D78*C92,2)</f>
        <v>0.42</v>
      </c>
    </row>
    <row r="94" spans="1:7" ht="16.5" thickBot="1">
      <c r="A94" s="530" t="s">
        <v>7</v>
      </c>
      <c r="B94" s="531"/>
      <c r="C94" s="127">
        <f>SUM(C92:C93)</f>
        <v>1.0165452938239159E-3</v>
      </c>
      <c r="D94" s="113">
        <f>SUM(D92:D93)</f>
        <v>1.5499999999999998</v>
      </c>
    </row>
    <row r="95" spans="1:7">
      <c r="A95" s="190"/>
    </row>
    <row r="96" spans="1:7">
      <c r="A96" s="190"/>
    </row>
    <row r="97" spans="1:7" ht="16.5" thickBot="1">
      <c r="A97" s="523" t="s">
        <v>325</v>
      </c>
      <c r="B97" s="523"/>
      <c r="C97" s="523"/>
      <c r="D97" s="523"/>
      <c r="E97" s="523"/>
      <c r="F97" s="523"/>
      <c r="G97" s="523"/>
    </row>
    <row r="98" spans="1:7" ht="16.5" thickBot="1">
      <c r="A98" s="117" t="s">
        <v>326</v>
      </c>
      <c r="B98" s="118" t="s">
        <v>327</v>
      </c>
      <c r="C98" s="117" t="s">
        <v>4</v>
      </c>
      <c r="D98" s="117" t="s">
        <v>279</v>
      </c>
    </row>
    <row r="99" spans="1:7">
      <c r="A99" s="82" t="s">
        <v>257</v>
      </c>
      <c r="B99" s="133" t="s">
        <v>328</v>
      </c>
      <c r="C99" s="135">
        <f>((1/12)*0.05)</f>
        <v>4.1666666666666666E-3</v>
      </c>
      <c r="D99" s="104">
        <f>ROUND($D$43*C99,2)</f>
        <v>6.34</v>
      </c>
    </row>
    <row r="100" spans="1:7" ht="31.5">
      <c r="A100" s="191" t="s">
        <v>259</v>
      </c>
      <c r="B100" s="91" t="s">
        <v>329</v>
      </c>
      <c r="C100" s="136">
        <f>D100/D43</f>
        <v>3.3508541392904072E-4</v>
      </c>
      <c r="D100" s="137">
        <f>ROUND(D75*C99,2)</f>
        <v>0.51</v>
      </c>
    </row>
    <row r="101" spans="1:7">
      <c r="A101" s="191" t="s">
        <v>261</v>
      </c>
      <c r="B101" s="138" t="s">
        <v>330</v>
      </c>
      <c r="C101" s="139">
        <f>0.08*0.5*0.9*(1+(5/56)+(5/56)+(1/3)*(5/56))</f>
        <v>4.3499999999999997E-2</v>
      </c>
      <c r="D101" s="107">
        <f>ROUND($D$43*C101,2)</f>
        <v>66.209999999999994</v>
      </c>
    </row>
    <row r="102" spans="1:7">
      <c r="A102" s="191" t="s">
        <v>263</v>
      </c>
      <c r="B102" s="138" t="s">
        <v>331</v>
      </c>
      <c r="C102" s="140">
        <f>(((7/30)/12))</f>
        <v>1.9444444444444445E-2</v>
      </c>
      <c r="D102" s="107">
        <f>ROUND($D$43*C102,2)</f>
        <v>29.59</v>
      </c>
    </row>
    <row r="103" spans="1:7" ht="31.5">
      <c r="A103" s="191" t="s">
        <v>284</v>
      </c>
      <c r="B103" s="138" t="s">
        <v>332</v>
      </c>
      <c r="C103" s="141">
        <f>D103/D43</f>
        <v>7.1681997371879106E-3</v>
      </c>
      <c r="D103" s="107">
        <f>ROUND(D78*C102,2)</f>
        <v>10.91</v>
      </c>
    </row>
    <row r="104" spans="1:7" ht="16.5" thickBot="1">
      <c r="A104" s="109" t="s">
        <v>286</v>
      </c>
      <c r="B104" s="134" t="s">
        <v>333</v>
      </c>
      <c r="C104" s="142">
        <f>(40%+10%)*C75*C102</f>
        <v>7.7777777777777784E-4</v>
      </c>
      <c r="D104" s="107">
        <f>ROUND($D$43*C104,2)</f>
        <v>1.18</v>
      </c>
    </row>
    <row r="105" spans="1:7" ht="16.5" thickBot="1">
      <c r="A105" s="525" t="s">
        <v>7</v>
      </c>
      <c r="B105" s="526"/>
      <c r="C105" s="127">
        <f>SUM(C99:C104)</f>
        <v>7.5392174040005838E-2</v>
      </c>
      <c r="D105" s="143">
        <f>SUM(D99:D104)</f>
        <v>114.74</v>
      </c>
    </row>
    <row r="106" spans="1:7">
      <c r="A106" s="71"/>
    </row>
    <row r="107" spans="1:7" ht="16.5" thickBot="1">
      <c r="A107" s="523" t="s">
        <v>334</v>
      </c>
      <c r="B107" s="523"/>
      <c r="C107" s="523"/>
      <c r="D107" s="523"/>
      <c r="E107" s="523"/>
      <c r="F107" s="523"/>
      <c r="G107" s="523"/>
    </row>
    <row r="108" spans="1:7" ht="32.25" thickBot="1">
      <c r="A108" s="117" t="s">
        <v>335</v>
      </c>
      <c r="B108" s="118" t="s">
        <v>336</v>
      </c>
      <c r="C108" s="117" t="s">
        <v>4</v>
      </c>
      <c r="D108" s="117" t="s">
        <v>279</v>
      </c>
    </row>
    <row r="109" spans="1:7">
      <c r="A109" s="82" t="s">
        <v>257</v>
      </c>
      <c r="B109" s="133" t="s">
        <v>13</v>
      </c>
      <c r="C109" s="144">
        <f>(5/56)</f>
        <v>8.9285714285714288E-2</v>
      </c>
      <c r="D109" s="107">
        <f t="shared" ref="D109:D114" si="1">ROUND($D$43*C109,2)</f>
        <v>135.88999999999999</v>
      </c>
    </row>
    <row r="110" spans="1:7">
      <c r="A110" s="191" t="s">
        <v>259</v>
      </c>
      <c r="B110" s="138" t="s">
        <v>379</v>
      </c>
      <c r="C110" s="122">
        <f>(10.96/30)/12</f>
        <v>3.0444444444444444E-2</v>
      </c>
      <c r="D110" s="107">
        <f t="shared" si="1"/>
        <v>46.34</v>
      </c>
      <c r="E110" s="184"/>
    </row>
    <row r="111" spans="1:7">
      <c r="A111" s="191" t="s">
        <v>261</v>
      </c>
      <c r="B111" s="138" t="s">
        <v>337</v>
      </c>
      <c r="C111" s="122">
        <f>((5/30)/12)*0.015</f>
        <v>2.0833333333333332E-4</v>
      </c>
      <c r="D111" s="107">
        <f t="shared" si="1"/>
        <v>0.32</v>
      </c>
    </row>
    <row r="112" spans="1:7">
      <c r="A112" s="191" t="s">
        <v>263</v>
      </c>
      <c r="B112" s="138" t="s">
        <v>338</v>
      </c>
      <c r="C112" s="122">
        <f>((1/30)/12)</f>
        <v>2.7777777777777779E-3</v>
      </c>
      <c r="D112" s="107">
        <f t="shared" si="1"/>
        <v>4.2300000000000004</v>
      </c>
    </row>
    <row r="113" spans="1:7">
      <c r="A113" s="191" t="s">
        <v>284</v>
      </c>
      <c r="B113" s="138" t="s">
        <v>339</v>
      </c>
      <c r="C113" s="122">
        <f>((15/30)/12)*0.0078</f>
        <v>3.2499999999999999E-4</v>
      </c>
      <c r="D113" s="107">
        <f t="shared" si="1"/>
        <v>0.49</v>
      </c>
    </row>
    <row r="114" spans="1:7">
      <c r="A114" s="191" t="s">
        <v>286</v>
      </c>
      <c r="B114" s="138" t="s">
        <v>291</v>
      </c>
      <c r="C114" s="145"/>
      <c r="D114" s="107">
        <f t="shared" si="1"/>
        <v>0</v>
      </c>
    </row>
    <row r="115" spans="1:7">
      <c r="A115" s="532" t="s">
        <v>318</v>
      </c>
      <c r="B115" s="533"/>
      <c r="C115" s="122">
        <f>SUM(C109:C114)</f>
        <v>0.12304126984126985</v>
      </c>
      <c r="D115" s="107">
        <f>SUM(D109:D114)</f>
        <v>187.26999999999998</v>
      </c>
    </row>
    <row r="116" spans="1:7" ht="32.25" thickBot="1">
      <c r="A116" s="109" t="s">
        <v>288</v>
      </c>
      <c r="B116" s="134" t="s">
        <v>340</v>
      </c>
      <c r="C116" s="142">
        <f>D116/$D$43</f>
        <v>4.534165571616295E-2</v>
      </c>
      <c r="D116" s="107">
        <f>ROUND(D78*C115,2)</f>
        <v>69.010000000000005</v>
      </c>
    </row>
    <row r="117" spans="1:7" ht="16.5" thickBot="1">
      <c r="A117" s="525" t="s">
        <v>7</v>
      </c>
      <c r="B117" s="526"/>
      <c r="C117" s="127">
        <f>C116+C115</f>
        <v>0.16838292555743281</v>
      </c>
      <c r="D117" s="146">
        <f>D116+D115</f>
        <v>256.27999999999997</v>
      </c>
    </row>
    <row r="118" spans="1:7">
      <c r="A118" s="190" t="s">
        <v>341</v>
      </c>
    </row>
    <row r="119" spans="1:7" ht="16.5" thickBot="1">
      <c r="A119" s="522" t="s">
        <v>342</v>
      </c>
      <c r="B119" s="522"/>
      <c r="C119" s="522"/>
      <c r="D119" s="522"/>
      <c r="E119" s="522"/>
      <c r="F119" s="522"/>
      <c r="G119" s="522"/>
    </row>
    <row r="120" spans="1:7" ht="32.25" customHeight="1" thickBot="1">
      <c r="A120" s="147">
        <v>4</v>
      </c>
      <c r="B120" s="148" t="s">
        <v>343</v>
      </c>
      <c r="C120" s="149" t="s">
        <v>4</v>
      </c>
      <c r="D120" s="150" t="s">
        <v>279</v>
      </c>
    </row>
    <row r="121" spans="1:7">
      <c r="A121" s="82" t="s">
        <v>307</v>
      </c>
      <c r="B121" s="133" t="s">
        <v>344</v>
      </c>
      <c r="C121" s="142">
        <f t="shared" ref="C121:C126" si="2">D121/$D$43</f>
        <v>0.16291721419185282</v>
      </c>
      <c r="D121" s="107">
        <f>D88</f>
        <v>247.95999999999998</v>
      </c>
    </row>
    <row r="122" spans="1:7">
      <c r="A122" s="191" t="s">
        <v>314</v>
      </c>
      <c r="B122" s="138" t="s">
        <v>308</v>
      </c>
      <c r="C122" s="142">
        <f t="shared" si="2"/>
        <v>0.36849540078843629</v>
      </c>
      <c r="D122" s="107">
        <f>D78</f>
        <v>560.85</v>
      </c>
    </row>
    <row r="123" spans="1:7">
      <c r="A123" s="191" t="s">
        <v>321</v>
      </c>
      <c r="B123" s="138" t="s">
        <v>323</v>
      </c>
      <c r="C123" s="142">
        <f t="shared" si="2"/>
        <v>1.0183968462549276E-3</v>
      </c>
      <c r="D123" s="107">
        <f>D94</f>
        <v>1.5499999999999998</v>
      </c>
    </row>
    <row r="124" spans="1:7">
      <c r="A124" s="151" t="s">
        <v>326</v>
      </c>
      <c r="B124" s="152" t="s">
        <v>345</v>
      </c>
      <c r="C124" s="142">
        <f t="shared" si="2"/>
        <v>7.5387647831800256E-2</v>
      </c>
      <c r="D124" s="107">
        <f>D105</f>
        <v>114.74</v>
      </c>
    </row>
    <row r="125" spans="1:7">
      <c r="A125" s="153" t="s">
        <v>335</v>
      </c>
      <c r="B125" s="154" t="s">
        <v>346</v>
      </c>
      <c r="C125" s="142">
        <f t="shared" si="2"/>
        <v>0.1683837056504599</v>
      </c>
      <c r="D125" s="107">
        <f>D117</f>
        <v>256.27999999999997</v>
      </c>
    </row>
    <row r="126" spans="1:7" ht="16.5" thickBot="1">
      <c r="A126" s="191" t="s">
        <v>347</v>
      </c>
      <c r="B126" s="138" t="s">
        <v>291</v>
      </c>
      <c r="C126" s="142">
        <f t="shared" si="2"/>
        <v>0</v>
      </c>
      <c r="D126" s="107">
        <v>0</v>
      </c>
    </row>
    <row r="127" spans="1:7" ht="37.5" customHeight="1" thickBot="1">
      <c r="A127" s="530" t="s">
        <v>348</v>
      </c>
      <c r="B127" s="531"/>
      <c r="C127" s="127">
        <f>SUM(C121:C126)</f>
        <v>0.77620236530880427</v>
      </c>
      <c r="D127" s="113">
        <f>SUM(D121:D126)</f>
        <v>1181.3799999999999</v>
      </c>
    </row>
    <row r="128" spans="1:7">
      <c r="A128" s="155"/>
      <c r="B128" s="155"/>
      <c r="C128" s="156"/>
      <c r="D128" s="157"/>
      <c r="E128" s="158"/>
      <c r="F128" s="159"/>
      <c r="G128" s="159"/>
    </row>
    <row r="129" spans="1:8" ht="16.5" thickBot="1">
      <c r="A129" s="522" t="s">
        <v>349</v>
      </c>
      <c r="B129" s="522"/>
      <c r="C129" s="522"/>
      <c r="D129" s="522"/>
      <c r="E129" s="522"/>
      <c r="F129" s="522"/>
      <c r="G129" s="522"/>
      <c r="H129" s="160"/>
    </row>
    <row r="130" spans="1:8" ht="16.5" thickBot="1">
      <c r="A130" s="147" t="s">
        <v>350</v>
      </c>
      <c r="B130" s="148" t="s">
        <v>351</v>
      </c>
      <c r="C130" s="149" t="s">
        <v>4</v>
      </c>
      <c r="D130" s="114" t="s">
        <v>279</v>
      </c>
      <c r="E130" s="161">
        <f>D43+D54+D64+D78+D88+D94+D105+D117</f>
        <v>3194.4466666666667</v>
      </c>
      <c r="G130" s="160"/>
    </row>
    <row r="131" spans="1:8">
      <c r="A131" s="82" t="s">
        <v>257</v>
      </c>
      <c r="B131" s="133" t="s">
        <v>352</v>
      </c>
      <c r="C131" s="162">
        <v>7.0063E-2</v>
      </c>
      <c r="D131" s="163">
        <f>E130*C131</f>
        <v>223.81251680666668</v>
      </c>
      <c r="G131" s="160"/>
    </row>
    <row r="132" spans="1:8">
      <c r="A132" s="191" t="s">
        <v>259</v>
      </c>
      <c r="B132" s="138" t="s">
        <v>353</v>
      </c>
      <c r="C132" s="142"/>
      <c r="D132" s="164"/>
      <c r="F132" s="165"/>
    </row>
    <row r="133" spans="1:8">
      <c r="A133" s="191"/>
      <c r="B133" s="138" t="s">
        <v>354</v>
      </c>
      <c r="C133" s="142"/>
      <c r="D133" s="129"/>
      <c r="F133" s="182"/>
      <c r="G133" s="160"/>
    </row>
    <row r="134" spans="1:8">
      <c r="A134" s="191"/>
      <c r="B134" s="138" t="s">
        <v>355</v>
      </c>
      <c r="C134" s="142">
        <v>7.5999999999999998E-2</v>
      </c>
      <c r="D134" s="107">
        <f>$D$152*C134</f>
        <v>301.97586090481292</v>
      </c>
      <c r="E134" s="165">
        <f>D152</f>
        <v>3973.3665908528019</v>
      </c>
      <c r="G134" s="160"/>
    </row>
    <row r="135" spans="1:8">
      <c r="A135" s="191"/>
      <c r="B135" s="138" t="s">
        <v>356</v>
      </c>
      <c r="C135" s="142">
        <v>1.6500000000000001E-2</v>
      </c>
      <c r="D135" s="107">
        <f>$D$152*C135</f>
        <v>65.560548749071231</v>
      </c>
      <c r="E135" s="246"/>
      <c r="G135" s="160"/>
    </row>
    <row r="136" spans="1:8">
      <c r="A136" s="191"/>
      <c r="B136" s="138" t="s">
        <v>357</v>
      </c>
      <c r="C136" s="142"/>
      <c r="D136" s="107"/>
    </row>
    <row r="137" spans="1:8">
      <c r="A137" s="191"/>
      <c r="B137" s="138" t="s">
        <v>358</v>
      </c>
      <c r="C137" s="142">
        <v>0.03</v>
      </c>
      <c r="D137" s="107">
        <f>$D$152*C137</f>
        <v>119.20099772558405</v>
      </c>
      <c r="G137" s="160"/>
    </row>
    <row r="138" spans="1:8">
      <c r="A138" s="191"/>
      <c r="B138" s="138" t="s">
        <v>359</v>
      </c>
      <c r="C138" s="142"/>
      <c r="D138" s="107"/>
    </row>
    <row r="139" spans="1:8" ht="16.5" thickBot="1">
      <c r="A139" s="191" t="s">
        <v>261</v>
      </c>
      <c r="B139" s="138" t="s">
        <v>360</v>
      </c>
      <c r="C139" s="142">
        <v>0.02</v>
      </c>
      <c r="D139" s="107">
        <f>ROUND(E139*C139,2)</f>
        <v>68.37</v>
      </c>
      <c r="E139" s="132">
        <f>E130+D131</f>
        <v>3418.2591834733335</v>
      </c>
    </row>
    <row r="140" spans="1:8" ht="33" customHeight="1" thickBot="1">
      <c r="A140" s="527" t="s">
        <v>361</v>
      </c>
      <c r="B140" s="528"/>
      <c r="C140" s="529"/>
      <c r="D140" s="166">
        <f>D131+D134+D135+D137+D139</f>
        <v>778.91992418613484</v>
      </c>
    </row>
    <row r="141" spans="1:8">
      <c r="A141" s="522" t="s">
        <v>362</v>
      </c>
      <c r="B141" s="522"/>
      <c r="C141" s="522"/>
      <c r="D141" s="522"/>
      <c r="E141" s="522"/>
      <c r="F141" s="522"/>
      <c r="G141" s="522"/>
    </row>
    <row r="142" spans="1:8">
      <c r="A142" s="522" t="s">
        <v>363</v>
      </c>
      <c r="B142" s="522"/>
      <c r="C142" s="522"/>
      <c r="D142" s="522"/>
      <c r="E142" s="522"/>
      <c r="F142" s="522"/>
      <c r="G142" s="522"/>
    </row>
    <row r="143" spans="1:8">
      <c r="A143" s="190"/>
    </row>
    <row r="144" spans="1:8" ht="16.5" thickBot="1">
      <c r="A144" s="523" t="s">
        <v>364</v>
      </c>
      <c r="B144" s="523"/>
      <c r="C144" s="523"/>
      <c r="D144" s="523"/>
      <c r="E144" s="523"/>
      <c r="F144" s="523"/>
      <c r="G144" s="523"/>
    </row>
    <row r="145" spans="1:8" ht="32.25" customHeight="1" thickBot="1">
      <c r="A145" s="147"/>
      <c r="B145" s="524" t="s">
        <v>365</v>
      </c>
      <c r="C145" s="524"/>
      <c r="D145" s="167" t="s">
        <v>366</v>
      </c>
    </row>
    <row r="146" spans="1:8">
      <c r="A146" s="191" t="s">
        <v>257</v>
      </c>
      <c r="B146" s="138" t="s">
        <v>367</v>
      </c>
      <c r="C146" s="122">
        <f t="shared" ref="C146:C151" si="3">D146/$D$152</f>
        <v>0.38305048507324713</v>
      </c>
      <c r="D146" s="129">
        <f>D43</f>
        <v>1522</v>
      </c>
    </row>
    <row r="147" spans="1:8">
      <c r="A147" s="191" t="s">
        <v>259</v>
      </c>
      <c r="B147" s="138" t="s">
        <v>368</v>
      </c>
      <c r="C147" s="122">
        <f t="shared" si="3"/>
        <v>0.11322891802526536</v>
      </c>
      <c r="D147" s="129">
        <f>D54</f>
        <v>449.9</v>
      </c>
    </row>
    <row r="148" spans="1:8" ht="31.5">
      <c r="A148" s="191" t="s">
        <v>261</v>
      </c>
      <c r="B148" s="138" t="s">
        <v>369</v>
      </c>
      <c r="C148" s="122">
        <f t="shared" si="3"/>
        <v>1.0360651534504165E-2</v>
      </c>
      <c r="D148" s="129">
        <f>D64</f>
        <v>41.166666666666664</v>
      </c>
      <c r="E148" s="165">
        <f>D150+D131+D139</f>
        <v>3486.6291834733333</v>
      </c>
    </row>
    <row r="149" spans="1:8" ht="31.5">
      <c r="A149" s="191" t="s">
        <v>263</v>
      </c>
      <c r="B149" s="138" t="s">
        <v>370</v>
      </c>
      <c r="C149" s="122">
        <f t="shared" si="3"/>
        <v>0.2973246925465392</v>
      </c>
      <c r="D149" s="129">
        <f>D127</f>
        <v>1181.3799999999999</v>
      </c>
      <c r="E149" s="174">
        <f>C137+C135+C134</f>
        <v>0.1225</v>
      </c>
    </row>
    <row r="150" spans="1:8" ht="16.5" customHeight="1">
      <c r="A150" s="168" t="s">
        <v>371</v>
      </c>
      <c r="B150" s="169"/>
      <c r="C150" s="131">
        <f t="shared" si="3"/>
        <v>0.80396474717955591</v>
      </c>
      <c r="D150" s="170">
        <f>SUM(D146:D149)</f>
        <v>3194.4466666666667</v>
      </c>
      <c r="E150" s="174">
        <f>100%-E149</f>
        <v>0.87749999999999995</v>
      </c>
    </row>
    <row r="151" spans="1:8" ht="32.25" thickBot="1">
      <c r="A151" s="191" t="s">
        <v>284</v>
      </c>
      <c r="B151" s="138" t="s">
        <v>372</v>
      </c>
      <c r="C151" s="122">
        <f t="shared" si="3"/>
        <v>0.19603525282044404</v>
      </c>
      <c r="D151" s="129">
        <f>D140</f>
        <v>778.91992418613484</v>
      </c>
      <c r="G151" s="171"/>
    </row>
    <row r="152" spans="1:8" ht="16.5" customHeight="1" thickBot="1">
      <c r="A152" s="525" t="s">
        <v>373</v>
      </c>
      <c r="B152" s="526"/>
      <c r="C152" s="127">
        <f>C151+C150</f>
        <v>1</v>
      </c>
      <c r="D152" s="166">
        <f>(D150+D139+D131)/0.8775</f>
        <v>3973.3665908528019</v>
      </c>
      <c r="E152" s="171"/>
      <c r="F152" s="165">
        <f>D150+D151</f>
        <v>3973.3665908528014</v>
      </c>
      <c r="H152" s="172"/>
    </row>
    <row r="153" spans="1:8">
      <c r="E153" s="171"/>
    </row>
    <row r="154" spans="1:8">
      <c r="A154" s="186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1.299212598425197" right="0.51181102362204722" top="2.1653543307086616" bottom="0.98425196850393704" header="0.31496062992125984" footer="0.31496062992125984"/>
  <pageSetup paperSize="9" scale="80" fitToHeight="4" orientation="portrait" r:id="rId1"/>
  <headerFooter alignWithMargins="0"/>
  <rowBreaks count="3" manualBreakCount="3">
    <brk id="43" max="3" man="1"/>
    <brk id="86" max="3" man="1"/>
    <brk id="127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154"/>
  <sheetViews>
    <sheetView showGridLines="0" view="pageBreakPreview" topLeftCell="A142" zoomScale="90" zoomScaleSheetLayoutView="90" workbookViewId="0">
      <selection activeCell="E135" sqref="E135"/>
    </sheetView>
  </sheetViews>
  <sheetFormatPr defaultRowHeight="15.75"/>
  <cols>
    <col min="1" max="1" width="9.28515625" style="53" customWidth="1"/>
    <col min="2" max="2" width="39.85546875" style="53" customWidth="1"/>
    <col min="3" max="3" width="18.28515625" style="53" customWidth="1"/>
    <col min="4" max="4" width="23.85546875" style="53" customWidth="1"/>
    <col min="5" max="5" width="16" style="53" bestFit="1" customWidth="1"/>
    <col min="6" max="6" width="13.7109375" style="53" bestFit="1" customWidth="1"/>
    <col min="7" max="7" width="15.7109375" style="53" bestFit="1" customWidth="1"/>
    <col min="8" max="8" width="13.140625" style="53" bestFit="1" customWidth="1"/>
    <col min="9" max="9" width="11.85546875" style="53" bestFit="1" customWidth="1"/>
    <col min="10" max="10" width="12.85546875" style="53" bestFit="1" customWidth="1"/>
    <col min="11" max="256" width="9.140625" style="53"/>
    <col min="257" max="257" width="9.28515625" style="53" customWidth="1"/>
    <col min="258" max="258" width="39.85546875" style="53" customWidth="1"/>
    <col min="259" max="259" width="18.28515625" style="53" customWidth="1"/>
    <col min="260" max="260" width="23.85546875" style="53" customWidth="1"/>
    <col min="261" max="261" width="16" style="53" bestFit="1" customWidth="1"/>
    <col min="262" max="262" width="13.7109375" style="53" bestFit="1" customWidth="1"/>
    <col min="263" max="263" width="15.7109375" style="53" bestFit="1" customWidth="1"/>
    <col min="264" max="264" width="13.140625" style="53" bestFit="1" customWidth="1"/>
    <col min="265" max="265" width="11.85546875" style="53" bestFit="1" customWidth="1"/>
    <col min="266" max="266" width="12.85546875" style="53" bestFit="1" customWidth="1"/>
    <col min="267" max="512" width="9.140625" style="53"/>
    <col min="513" max="513" width="9.28515625" style="53" customWidth="1"/>
    <col min="514" max="514" width="39.85546875" style="53" customWidth="1"/>
    <col min="515" max="515" width="18.28515625" style="53" customWidth="1"/>
    <col min="516" max="516" width="23.85546875" style="53" customWidth="1"/>
    <col min="517" max="517" width="16" style="53" bestFit="1" customWidth="1"/>
    <col min="518" max="518" width="13.7109375" style="53" bestFit="1" customWidth="1"/>
    <col min="519" max="519" width="15.7109375" style="53" bestFit="1" customWidth="1"/>
    <col min="520" max="520" width="13.140625" style="53" bestFit="1" customWidth="1"/>
    <col min="521" max="521" width="11.85546875" style="53" bestFit="1" customWidth="1"/>
    <col min="522" max="522" width="12.85546875" style="53" bestFit="1" customWidth="1"/>
    <col min="523" max="768" width="9.140625" style="53"/>
    <col min="769" max="769" width="9.28515625" style="53" customWidth="1"/>
    <col min="770" max="770" width="39.85546875" style="53" customWidth="1"/>
    <col min="771" max="771" width="18.28515625" style="53" customWidth="1"/>
    <col min="772" max="772" width="23.85546875" style="53" customWidth="1"/>
    <col min="773" max="773" width="16" style="53" bestFit="1" customWidth="1"/>
    <col min="774" max="774" width="13.7109375" style="53" bestFit="1" customWidth="1"/>
    <col min="775" max="775" width="15.7109375" style="53" bestFit="1" customWidth="1"/>
    <col min="776" max="776" width="13.140625" style="53" bestFit="1" customWidth="1"/>
    <col min="777" max="777" width="11.85546875" style="53" bestFit="1" customWidth="1"/>
    <col min="778" max="778" width="12.85546875" style="53" bestFit="1" customWidth="1"/>
    <col min="779" max="1024" width="9.140625" style="53"/>
    <col min="1025" max="1025" width="9.28515625" style="53" customWidth="1"/>
    <col min="1026" max="1026" width="39.85546875" style="53" customWidth="1"/>
    <col min="1027" max="1027" width="18.28515625" style="53" customWidth="1"/>
    <col min="1028" max="1028" width="23.85546875" style="53" customWidth="1"/>
    <col min="1029" max="1029" width="16" style="53" bestFit="1" customWidth="1"/>
    <col min="1030" max="1030" width="13.7109375" style="53" bestFit="1" customWidth="1"/>
    <col min="1031" max="1031" width="15.7109375" style="53" bestFit="1" customWidth="1"/>
    <col min="1032" max="1032" width="13.140625" style="53" bestFit="1" customWidth="1"/>
    <col min="1033" max="1033" width="11.85546875" style="53" bestFit="1" customWidth="1"/>
    <col min="1034" max="1034" width="12.85546875" style="53" bestFit="1" customWidth="1"/>
    <col min="1035" max="1280" width="9.140625" style="53"/>
    <col min="1281" max="1281" width="9.28515625" style="53" customWidth="1"/>
    <col min="1282" max="1282" width="39.85546875" style="53" customWidth="1"/>
    <col min="1283" max="1283" width="18.28515625" style="53" customWidth="1"/>
    <col min="1284" max="1284" width="23.85546875" style="53" customWidth="1"/>
    <col min="1285" max="1285" width="16" style="53" bestFit="1" customWidth="1"/>
    <col min="1286" max="1286" width="13.7109375" style="53" bestFit="1" customWidth="1"/>
    <col min="1287" max="1287" width="15.7109375" style="53" bestFit="1" customWidth="1"/>
    <col min="1288" max="1288" width="13.140625" style="53" bestFit="1" customWidth="1"/>
    <col min="1289" max="1289" width="11.85546875" style="53" bestFit="1" customWidth="1"/>
    <col min="1290" max="1290" width="12.85546875" style="53" bestFit="1" customWidth="1"/>
    <col min="1291" max="1536" width="9.140625" style="53"/>
    <col min="1537" max="1537" width="9.28515625" style="53" customWidth="1"/>
    <col min="1538" max="1538" width="39.85546875" style="53" customWidth="1"/>
    <col min="1539" max="1539" width="18.28515625" style="53" customWidth="1"/>
    <col min="1540" max="1540" width="23.85546875" style="53" customWidth="1"/>
    <col min="1541" max="1541" width="16" style="53" bestFit="1" customWidth="1"/>
    <col min="1542" max="1542" width="13.7109375" style="53" bestFit="1" customWidth="1"/>
    <col min="1543" max="1543" width="15.7109375" style="53" bestFit="1" customWidth="1"/>
    <col min="1544" max="1544" width="13.140625" style="53" bestFit="1" customWidth="1"/>
    <col min="1545" max="1545" width="11.85546875" style="53" bestFit="1" customWidth="1"/>
    <col min="1546" max="1546" width="12.85546875" style="53" bestFit="1" customWidth="1"/>
    <col min="1547" max="1792" width="9.140625" style="53"/>
    <col min="1793" max="1793" width="9.28515625" style="53" customWidth="1"/>
    <col min="1794" max="1794" width="39.85546875" style="53" customWidth="1"/>
    <col min="1795" max="1795" width="18.28515625" style="53" customWidth="1"/>
    <col min="1796" max="1796" width="23.85546875" style="53" customWidth="1"/>
    <col min="1797" max="1797" width="16" style="53" bestFit="1" customWidth="1"/>
    <col min="1798" max="1798" width="13.7109375" style="53" bestFit="1" customWidth="1"/>
    <col min="1799" max="1799" width="15.7109375" style="53" bestFit="1" customWidth="1"/>
    <col min="1800" max="1800" width="13.140625" style="53" bestFit="1" customWidth="1"/>
    <col min="1801" max="1801" width="11.85546875" style="53" bestFit="1" customWidth="1"/>
    <col min="1802" max="1802" width="12.85546875" style="53" bestFit="1" customWidth="1"/>
    <col min="1803" max="2048" width="9.140625" style="53"/>
    <col min="2049" max="2049" width="9.28515625" style="53" customWidth="1"/>
    <col min="2050" max="2050" width="39.85546875" style="53" customWidth="1"/>
    <col min="2051" max="2051" width="18.28515625" style="53" customWidth="1"/>
    <col min="2052" max="2052" width="23.85546875" style="53" customWidth="1"/>
    <col min="2053" max="2053" width="16" style="53" bestFit="1" customWidth="1"/>
    <col min="2054" max="2054" width="13.7109375" style="53" bestFit="1" customWidth="1"/>
    <col min="2055" max="2055" width="15.7109375" style="53" bestFit="1" customWidth="1"/>
    <col min="2056" max="2056" width="13.140625" style="53" bestFit="1" customWidth="1"/>
    <col min="2057" max="2057" width="11.85546875" style="53" bestFit="1" customWidth="1"/>
    <col min="2058" max="2058" width="12.85546875" style="53" bestFit="1" customWidth="1"/>
    <col min="2059" max="2304" width="9.140625" style="53"/>
    <col min="2305" max="2305" width="9.28515625" style="53" customWidth="1"/>
    <col min="2306" max="2306" width="39.85546875" style="53" customWidth="1"/>
    <col min="2307" max="2307" width="18.28515625" style="53" customWidth="1"/>
    <col min="2308" max="2308" width="23.85546875" style="53" customWidth="1"/>
    <col min="2309" max="2309" width="16" style="53" bestFit="1" customWidth="1"/>
    <col min="2310" max="2310" width="13.7109375" style="53" bestFit="1" customWidth="1"/>
    <col min="2311" max="2311" width="15.7109375" style="53" bestFit="1" customWidth="1"/>
    <col min="2312" max="2312" width="13.140625" style="53" bestFit="1" customWidth="1"/>
    <col min="2313" max="2313" width="11.85546875" style="53" bestFit="1" customWidth="1"/>
    <col min="2314" max="2314" width="12.85546875" style="53" bestFit="1" customWidth="1"/>
    <col min="2315" max="2560" width="9.140625" style="53"/>
    <col min="2561" max="2561" width="9.28515625" style="53" customWidth="1"/>
    <col min="2562" max="2562" width="39.85546875" style="53" customWidth="1"/>
    <col min="2563" max="2563" width="18.28515625" style="53" customWidth="1"/>
    <col min="2564" max="2564" width="23.85546875" style="53" customWidth="1"/>
    <col min="2565" max="2565" width="16" style="53" bestFit="1" customWidth="1"/>
    <col min="2566" max="2566" width="13.7109375" style="53" bestFit="1" customWidth="1"/>
    <col min="2567" max="2567" width="15.7109375" style="53" bestFit="1" customWidth="1"/>
    <col min="2568" max="2568" width="13.140625" style="53" bestFit="1" customWidth="1"/>
    <col min="2569" max="2569" width="11.85546875" style="53" bestFit="1" customWidth="1"/>
    <col min="2570" max="2570" width="12.85546875" style="53" bestFit="1" customWidth="1"/>
    <col min="2571" max="2816" width="9.140625" style="53"/>
    <col min="2817" max="2817" width="9.28515625" style="53" customWidth="1"/>
    <col min="2818" max="2818" width="39.85546875" style="53" customWidth="1"/>
    <col min="2819" max="2819" width="18.28515625" style="53" customWidth="1"/>
    <col min="2820" max="2820" width="23.85546875" style="53" customWidth="1"/>
    <col min="2821" max="2821" width="16" style="53" bestFit="1" customWidth="1"/>
    <col min="2822" max="2822" width="13.7109375" style="53" bestFit="1" customWidth="1"/>
    <col min="2823" max="2823" width="15.7109375" style="53" bestFit="1" customWidth="1"/>
    <col min="2824" max="2824" width="13.140625" style="53" bestFit="1" customWidth="1"/>
    <col min="2825" max="2825" width="11.85546875" style="53" bestFit="1" customWidth="1"/>
    <col min="2826" max="2826" width="12.85546875" style="53" bestFit="1" customWidth="1"/>
    <col min="2827" max="3072" width="9.140625" style="53"/>
    <col min="3073" max="3073" width="9.28515625" style="53" customWidth="1"/>
    <col min="3074" max="3074" width="39.85546875" style="53" customWidth="1"/>
    <col min="3075" max="3075" width="18.28515625" style="53" customWidth="1"/>
    <col min="3076" max="3076" width="23.85546875" style="53" customWidth="1"/>
    <col min="3077" max="3077" width="16" style="53" bestFit="1" customWidth="1"/>
    <col min="3078" max="3078" width="13.7109375" style="53" bestFit="1" customWidth="1"/>
    <col min="3079" max="3079" width="15.7109375" style="53" bestFit="1" customWidth="1"/>
    <col min="3080" max="3080" width="13.140625" style="53" bestFit="1" customWidth="1"/>
    <col min="3081" max="3081" width="11.85546875" style="53" bestFit="1" customWidth="1"/>
    <col min="3082" max="3082" width="12.85546875" style="53" bestFit="1" customWidth="1"/>
    <col min="3083" max="3328" width="9.140625" style="53"/>
    <col min="3329" max="3329" width="9.28515625" style="53" customWidth="1"/>
    <col min="3330" max="3330" width="39.85546875" style="53" customWidth="1"/>
    <col min="3331" max="3331" width="18.28515625" style="53" customWidth="1"/>
    <col min="3332" max="3332" width="23.85546875" style="53" customWidth="1"/>
    <col min="3333" max="3333" width="16" style="53" bestFit="1" customWidth="1"/>
    <col min="3334" max="3334" width="13.7109375" style="53" bestFit="1" customWidth="1"/>
    <col min="3335" max="3335" width="15.7109375" style="53" bestFit="1" customWidth="1"/>
    <col min="3336" max="3336" width="13.140625" style="53" bestFit="1" customWidth="1"/>
    <col min="3337" max="3337" width="11.85546875" style="53" bestFit="1" customWidth="1"/>
    <col min="3338" max="3338" width="12.85546875" style="53" bestFit="1" customWidth="1"/>
    <col min="3339" max="3584" width="9.140625" style="53"/>
    <col min="3585" max="3585" width="9.28515625" style="53" customWidth="1"/>
    <col min="3586" max="3586" width="39.85546875" style="53" customWidth="1"/>
    <col min="3587" max="3587" width="18.28515625" style="53" customWidth="1"/>
    <col min="3588" max="3588" width="23.85546875" style="53" customWidth="1"/>
    <col min="3589" max="3589" width="16" style="53" bestFit="1" customWidth="1"/>
    <col min="3590" max="3590" width="13.7109375" style="53" bestFit="1" customWidth="1"/>
    <col min="3591" max="3591" width="15.7109375" style="53" bestFit="1" customWidth="1"/>
    <col min="3592" max="3592" width="13.140625" style="53" bestFit="1" customWidth="1"/>
    <col min="3593" max="3593" width="11.85546875" style="53" bestFit="1" customWidth="1"/>
    <col min="3594" max="3594" width="12.85546875" style="53" bestFit="1" customWidth="1"/>
    <col min="3595" max="3840" width="9.140625" style="53"/>
    <col min="3841" max="3841" width="9.28515625" style="53" customWidth="1"/>
    <col min="3842" max="3842" width="39.85546875" style="53" customWidth="1"/>
    <col min="3843" max="3843" width="18.28515625" style="53" customWidth="1"/>
    <col min="3844" max="3844" width="23.85546875" style="53" customWidth="1"/>
    <col min="3845" max="3845" width="16" style="53" bestFit="1" customWidth="1"/>
    <col min="3846" max="3846" width="13.7109375" style="53" bestFit="1" customWidth="1"/>
    <col min="3847" max="3847" width="15.7109375" style="53" bestFit="1" customWidth="1"/>
    <col min="3848" max="3848" width="13.140625" style="53" bestFit="1" customWidth="1"/>
    <col min="3849" max="3849" width="11.85546875" style="53" bestFit="1" customWidth="1"/>
    <col min="3850" max="3850" width="12.85546875" style="53" bestFit="1" customWidth="1"/>
    <col min="3851" max="4096" width="9.140625" style="53"/>
    <col min="4097" max="4097" width="9.28515625" style="53" customWidth="1"/>
    <col min="4098" max="4098" width="39.85546875" style="53" customWidth="1"/>
    <col min="4099" max="4099" width="18.28515625" style="53" customWidth="1"/>
    <col min="4100" max="4100" width="23.85546875" style="53" customWidth="1"/>
    <col min="4101" max="4101" width="16" style="53" bestFit="1" customWidth="1"/>
    <col min="4102" max="4102" width="13.7109375" style="53" bestFit="1" customWidth="1"/>
    <col min="4103" max="4103" width="15.7109375" style="53" bestFit="1" customWidth="1"/>
    <col min="4104" max="4104" width="13.140625" style="53" bestFit="1" customWidth="1"/>
    <col min="4105" max="4105" width="11.85546875" style="53" bestFit="1" customWidth="1"/>
    <col min="4106" max="4106" width="12.85546875" style="53" bestFit="1" customWidth="1"/>
    <col min="4107" max="4352" width="9.140625" style="53"/>
    <col min="4353" max="4353" width="9.28515625" style="53" customWidth="1"/>
    <col min="4354" max="4354" width="39.85546875" style="53" customWidth="1"/>
    <col min="4355" max="4355" width="18.28515625" style="53" customWidth="1"/>
    <col min="4356" max="4356" width="23.85546875" style="53" customWidth="1"/>
    <col min="4357" max="4357" width="16" style="53" bestFit="1" customWidth="1"/>
    <col min="4358" max="4358" width="13.7109375" style="53" bestFit="1" customWidth="1"/>
    <col min="4359" max="4359" width="15.7109375" style="53" bestFit="1" customWidth="1"/>
    <col min="4360" max="4360" width="13.140625" style="53" bestFit="1" customWidth="1"/>
    <col min="4361" max="4361" width="11.85546875" style="53" bestFit="1" customWidth="1"/>
    <col min="4362" max="4362" width="12.85546875" style="53" bestFit="1" customWidth="1"/>
    <col min="4363" max="4608" width="9.140625" style="53"/>
    <col min="4609" max="4609" width="9.28515625" style="53" customWidth="1"/>
    <col min="4610" max="4610" width="39.85546875" style="53" customWidth="1"/>
    <col min="4611" max="4611" width="18.28515625" style="53" customWidth="1"/>
    <col min="4612" max="4612" width="23.85546875" style="53" customWidth="1"/>
    <col min="4613" max="4613" width="16" style="53" bestFit="1" customWidth="1"/>
    <col min="4614" max="4614" width="13.7109375" style="53" bestFit="1" customWidth="1"/>
    <col min="4615" max="4615" width="15.7109375" style="53" bestFit="1" customWidth="1"/>
    <col min="4616" max="4616" width="13.140625" style="53" bestFit="1" customWidth="1"/>
    <col min="4617" max="4617" width="11.85546875" style="53" bestFit="1" customWidth="1"/>
    <col min="4618" max="4618" width="12.85546875" style="53" bestFit="1" customWidth="1"/>
    <col min="4619" max="4864" width="9.140625" style="53"/>
    <col min="4865" max="4865" width="9.28515625" style="53" customWidth="1"/>
    <col min="4866" max="4866" width="39.85546875" style="53" customWidth="1"/>
    <col min="4867" max="4867" width="18.28515625" style="53" customWidth="1"/>
    <col min="4868" max="4868" width="23.85546875" style="53" customWidth="1"/>
    <col min="4869" max="4869" width="16" style="53" bestFit="1" customWidth="1"/>
    <col min="4870" max="4870" width="13.7109375" style="53" bestFit="1" customWidth="1"/>
    <col min="4871" max="4871" width="15.7109375" style="53" bestFit="1" customWidth="1"/>
    <col min="4872" max="4872" width="13.140625" style="53" bestFit="1" customWidth="1"/>
    <col min="4873" max="4873" width="11.85546875" style="53" bestFit="1" customWidth="1"/>
    <col min="4874" max="4874" width="12.85546875" style="53" bestFit="1" customWidth="1"/>
    <col min="4875" max="5120" width="9.140625" style="53"/>
    <col min="5121" max="5121" width="9.28515625" style="53" customWidth="1"/>
    <col min="5122" max="5122" width="39.85546875" style="53" customWidth="1"/>
    <col min="5123" max="5123" width="18.28515625" style="53" customWidth="1"/>
    <col min="5124" max="5124" width="23.85546875" style="53" customWidth="1"/>
    <col min="5125" max="5125" width="16" style="53" bestFit="1" customWidth="1"/>
    <col min="5126" max="5126" width="13.7109375" style="53" bestFit="1" customWidth="1"/>
    <col min="5127" max="5127" width="15.7109375" style="53" bestFit="1" customWidth="1"/>
    <col min="5128" max="5128" width="13.140625" style="53" bestFit="1" customWidth="1"/>
    <col min="5129" max="5129" width="11.85546875" style="53" bestFit="1" customWidth="1"/>
    <col min="5130" max="5130" width="12.85546875" style="53" bestFit="1" customWidth="1"/>
    <col min="5131" max="5376" width="9.140625" style="53"/>
    <col min="5377" max="5377" width="9.28515625" style="53" customWidth="1"/>
    <col min="5378" max="5378" width="39.85546875" style="53" customWidth="1"/>
    <col min="5379" max="5379" width="18.28515625" style="53" customWidth="1"/>
    <col min="5380" max="5380" width="23.85546875" style="53" customWidth="1"/>
    <col min="5381" max="5381" width="16" style="53" bestFit="1" customWidth="1"/>
    <col min="5382" max="5382" width="13.7109375" style="53" bestFit="1" customWidth="1"/>
    <col min="5383" max="5383" width="15.7109375" style="53" bestFit="1" customWidth="1"/>
    <col min="5384" max="5384" width="13.140625" style="53" bestFit="1" customWidth="1"/>
    <col min="5385" max="5385" width="11.85546875" style="53" bestFit="1" customWidth="1"/>
    <col min="5386" max="5386" width="12.85546875" style="53" bestFit="1" customWidth="1"/>
    <col min="5387" max="5632" width="9.140625" style="53"/>
    <col min="5633" max="5633" width="9.28515625" style="53" customWidth="1"/>
    <col min="5634" max="5634" width="39.85546875" style="53" customWidth="1"/>
    <col min="5635" max="5635" width="18.28515625" style="53" customWidth="1"/>
    <col min="5636" max="5636" width="23.85546875" style="53" customWidth="1"/>
    <col min="5637" max="5637" width="16" style="53" bestFit="1" customWidth="1"/>
    <col min="5638" max="5638" width="13.7109375" style="53" bestFit="1" customWidth="1"/>
    <col min="5639" max="5639" width="15.7109375" style="53" bestFit="1" customWidth="1"/>
    <col min="5640" max="5640" width="13.140625" style="53" bestFit="1" customWidth="1"/>
    <col min="5641" max="5641" width="11.85546875" style="53" bestFit="1" customWidth="1"/>
    <col min="5642" max="5642" width="12.85546875" style="53" bestFit="1" customWidth="1"/>
    <col min="5643" max="5888" width="9.140625" style="53"/>
    <col min="5889" max="5889" width="9.28515625" style="53" customWidth="1"/>
    <col min="5890" max="5890" width="39.85546875" style="53" customWidth="1"/>
    <col min="5891" max="5891" width="18.28515625" style="53" customWidth="1"/>
    <col min="5892" max="5892" width="23.85546875" style="53" customWidth="1"/>
    <col min="5893" max="5893" width="16" style="53" bestFit="1" customWidth="1"/>
    <col min="5894" max="5894" width="13.7109375" style="53" bestFit="1" customWidth="1"/>
    <col min="5895" max="5895" width="15.7109375" style="53" bestFit="1" customWidth="1"/>
    <col min="5896" max="5896" width="13.140625" style="53" bestFit="1" customWidth="1"/>
    <col min="5897" max="5897" width="11.85546875" style="53" bestFit="1" customWidth="1"/>
    <col min="5898" max="5898" width="12.85546875" style="53" bestFit="1" customWidth="1"/>
    <col min="5899" max="6144" width="9.140625" style="53"/>
    <col min="6145" max="6145" width="9.28515625" style="53" customWidth="1"/>
    <col min="6146" max="6146" width="39.85546875" style="53" customWidth="1"/>
    <col min="6147" max="6147" width="18.28515625" style="53" customWidth="1"/>
    <col min="6148" max="6148" width="23.85546875" style="53" customWidth="1"/>
    <col min="6149" max="6149" width="16" style="53" bestFit="1" customWidth="1"/>
    <col min="6150" max="6150" width="13.7109375" style="53" bestFit="1" customWidth="1"/>
    <col min="6151" max="6151" width="15.7109375" style="53" bestFit="1" customWidth="1"/>
    <col min="6152" max="6152" width="13.140625" style="53" bestFit="1" customWidth="1"/>
    <col min="6153" max="6153" width="11.85546875" style="53" bestFit="1" customWidth="1"/>
    <col min="6154" max="6154" width="12.85546875" style="53" bestFit="1" customWidth="1"/>
    <col min="6155" max="6400" width="9.140625" style="53"/>
    <col min="6401" max="6401" width="9.28515625" style="53" customWidth="1"/>
    <col min="6402" max="6402" width="39.85546875" style="53" customWidth="1"/>
    <col min="6403" max="6403" width="18.28515625" style="53" customWidth="1"/>
    <col min="6404" max="6404" width="23.85546875" style="53" customWidth="1"/>
    <col min="6405" max="6405" width="16" style="53" bestFit="1" customWidth="1"/>
    <col min="6406" max="6406" width="13.7109375" style="53" bestFit="1" customWidth="1"/>
    <col min="6407" max="6407" width="15.7109375" style="53" bestFit="1" customWidth="1"/>
    <col min="6408" max="6408" width="13.140625" style="53" bestFit="1" customWidth="1"/>
    <col min="6409" max="6409" width="11.85546875" style="53" bestFit="1" customWidth="1"/>
    <col min="6410" max="6410" width="12.85546875" style="53" bestFit="1" customWidth="1"/>
    <col min="6411" max="6656" width="9.140625" style="53"/>
    <col min="6657" max="6657" width="9.28515625" style="53" customWidth="1"/>
    <col min="6658" max="6658" width="39.85546875" style="53" customWidth="1"/>
    <col min="6659" max="6659" width="18.28515625" style="53" customWidth="1"/>
    <col min="6660" max="6660" width="23.85546875" style="53" customWidth="1"/>
    <col min="6661" max="6661" width="16" style="53" bestFit="1" customWidth="1"/>
    <col min="6662" max="6662" width="13.7109375" style="53" bestFit="1" customWidth="1"/>
    <col min="6663" max="6663" width="15.7109375" style="53" bestFit="1" customWidth="1"/>
    <col min="6664" max="6664" width="13.140625" style="53" bestFit="1" customWidth="1"/>
    <col min="6665" max="6665" width="11.85546875" style="53" bestFit="1" customWidth="1"/>
    <col min="6666" max="6666" width="12.85546875" style="53" bestFit="1" customWidth="1"/>
    <col min="6667" max="6912" width="9.140625" style="53"/>
    <col min="6913" max="6913" width="9.28515625" style="53" customWidth="1"/>
    <col min="6914" max="6914" width="39.85546875" style="53" customWidth="1"/>
    <col min="6915" max="6915" width="18.28515625" style="53" customWidth="1"/>
    <col min="6916" max="6916" width="23.85546875" style="53" customWidth="1"/>
    <col min="6917" max="6917" width="16" style="53" bestFit="1" customWidth="1"/>
    <col min="6918" max="6918" width="13.7109375" style="53" bestFit="1" customWidth="1"/>
    <col min="6919" max="6919" width="15.7109375" style="53" bestFit="1" customWidth="1"/>
    <col min="6920" max="6920" width="13.140625" style="53" bestFit="1" customWidth="1"/>
    <col min="6921" max="6921" width="11.85546875" style="53" bestFit="1" customWidth="1"/>
    <col min="6922" max="6922" width="12.85546875" style="53" bestFit="1" customWidth="1"/>
    <col min="6923" max="7168" width="9.140625" style="53"/>
    <col min="7169" max="7169" width="9.28515625" style="53" customWidth="1"/>
    <col min="7170" max="7170" width="39.85546875" style="53" customWidth="1"/>
    <col min="7171" max="7171" width="18.28515625" style="53" customWidth="1"/>
    <col min="7172" max="7172" width="23.85546875" style="53" customWidth="1"/>
    <col min="7173" max="7173" width="16" style="53" bestFit="1" customWidth="1"/>
    <col min="7174" max="7174" width="13.7109375" style="53" bestFit="1" customWidth="1"/>
    <col min="7175" max="7175" width="15.7109375" style="53" bestFit="1" customWidth="1"/>
    <col min="7176" max="7176" width="13.140625" style="53" bestFit="1" customWidth="1"/>
    <col min="7177" max="7177" width="11.85546875" style="53" bestFit="1" customWidth="1"/>
    <col min="7178" max="7178" width="12.85546875" style="53" bestFit="1" customWidth="1"/>
    <col min="7179" max="7424" width="9.140625" style="53"/>
    <col min="7425" max="7425" width="9.28515625" style="53" customWidth="1"/>
    <col min="7426" max="7426" width="39.85546875" style="53" customWidth="1"/>
    <col min="7427" max="7427" width="18.28515625" style="53" customWidth="1"/>
    <col min="7428" max="7428" width="23.85546875" style="53" customWidth="1"/>
    <col min="7429" max="7429" width="16" style="53" bestFit="1" customWidth="1"/>
    <col min="7430" max="7430" width="13.7109375" style="53" bestFit="1" customWidth="1"/>
    <col min="7431" max="7431" width="15.7109375" style="53" bestFit="1" customWidth="1"/>
    <col min="7432" max="7432" width="13.140625" style="53" bestFit="1" customWidth="1"/>
    <col min="7433" max="7433" width="11.85546875" style="53" bestFit="1" customWidth="1"/>
    <col min="7434" max="7434" width="12.85546875" style="53" bestFit="1" customWidth="1"/>
    <col min="7435" max="7680" width="9.140625" style="53"/>
    <col min="7681" max="7681" width="9.28515625" style="53" customWidth="1"/>
    <col min="7682" max="7682" width="39.85546875" style="53" customWidth="1"/>
    <col min="7683" max="7683" width="18.28515625" style="53" customWidth="1"/>
    <col min="7684" max="7684" width="23.85546875" style="53" customWidth="1"/>
    <col min="7685" max="7685" width="16" style="53" bestFit="1" customWidth="1"/>
    <col min="7686" max="7686" width="13.7109375" style="53" bestFit="1" customWidth="1"/>
    <col min="7687" max="7687" width="15.7109375" style="53" bestFit="1" customWidth="1"/>
    <col min="7688" max="7688" width="13.140625" style="53" bestFit="1" customWidth="1"/>
    <col min="7689" max="7689" width="11.85546875" style="53" bestFit="1" customWidth="1"/>
    <col min="7690" max="7690" width="12.85546875" style="53" bestFit="1" customWidth="1"/>
    <col min="7691" max="7936" width="9.140625" style="53"/>
    <col min="7937" max="7937" width="9.28515625" style="53" customWidth="1"/>
    <col min="7938" max="7938" width="39.85546875" style="53" customWidth="1"/>
    <col min="7939" max="7939" width="18.28515625" style="53" customWidth="1"/>
    <col min="7940" max="7940" width="23.85546875" style="53" customWidth="1"/>
    <col min="7941" max="7941" width="16" style="53" bestFit="1" customWidth="1"/>
    <col min="7942" max="7942" width="13.7109375" style="53" bestFit="1" customWidth="1"/>
    <col min="7943" max="7943" width="15.7109375" style="53" bestFit="1" customWidth="1"/>
    <col min="7944" max="7944" width="13.140625" style="53" bestFit="1" customWidth="1"/>
    <col min="7945" max="7945" width="11.85546875" style="53" bestFit="1" customWidth="1"/>
    <col min="7946" max="7946" width="12.85546875" style="53" bestFit="1" customWidth="1"/>
    <col min="7947" max="8192" width="9.140625" style="53"/>
    <col min="8193" max="8193" width="9.28515625" style="53" customWidth="1"/>
    <col min="8194" max="8194" width="39.85546875" style="53" customWidth="1"/>
    <col min="8195" max="8195" width="18.28515625" style="53" customWidth="1"/>
    <col min="8196" max="8196" width="23.85546875" style="53" customWidth="1"/>
    <col min="8197" max="8197" width="16" style="53" bestFit="1" customWidth="1"/>
    <col min="8198" max="8198" width="13.7109375" style="53" bestFit="1" customWidth="1"/>
    <col min="8199" max="8199" width="15.7109375" style="53" bestFit="1" customWidth="1"/>
    <col min="8200" max="8200" width="13.140625" style="53" bestFit="1" customWidth="1"/>
    <col min="8201" max="8201" width="11.85546875" style="53" bestFit="1" customWidth="1"/>
    <col min="8202" max="8202" width="12.85546875" style="53" bestFit="1" customWidth="1"/>
    <col min="8203" max="8448" width="9.140625" style="53"/>
    <col min="8449" max="8449" width="9.28515625" style="53" customWidth="1"/>
    <col min="8450" max="8450" width="39.85546875" style="53" customWidth="1"/>
    <col min="8451" max="8451" width="18.28515625" style="53" customWidth="1"/>
    <col min="8452" max="8452" width="23.85546875" style="53" customWidth="1"/>
    <col min="8453" max="8453" width="16" style="53" bestFit="1" customWidth="1"/>
    <col min="8454" max="8454" width="13.7109375" style="53" bestFit="1" customWidth="1"/>
    <col min="8455" max="8455" width="15.7109375" style="53" bestFit="1" customWidth="1"/>
    <col min="8456" max="8456" width="13.140625" style="53" bestFit="1" customWidth="1"/>
    <col min="8457" max="8457" width="11.85546875" style="53" bestFit="1" customWidth="1"/>
    <col min="8458" max="8458" width="12.85546875" style="53" bestFit="1" customWidth="1"/>
    <col min="8459" max="8704" width="9.140625" style="53"/>
    <col min="8705" max="8705" width="9.28515625" style="53" customWidth="1"/>
    <col min="8706" max="8706" width="39.85546875" style="53" customWidth="1"/>
    <col min="8707" max="8707" width="18.28515625" style="53" customWidth="1"/>
    <col min="8708" max="8708" width="23.85546875" style="53" customWidth="1"/>
    <col min="8709" max="8709" width="16" style="53" bestFit="1" customWidth="1"/>
    <col min="8710" max="8710" width="13.7109375" style="53" bestFit="1" customWidth="1"/>
    <col min="8711" max="8711" width="15.7109375" style="53" bestFit="1" customWidth="1"/>
    <col min="8712" max="8712" width="13.140625" style="53" bestFit="1" customWidth="1"/>
    <col min="8713" max="8713" width="11.85546875" style="53" bestFit="1" customWidth="1"/>
    <col min="8714" max="8714" width="12.85546875" style="53" bestFit="1" customWidth="1"/>
    <col min="8715" max="8960" width="9.140625" style="53"/>
    <col min="8961" max="8961" width="9.28515625" style="53" customWidth="1"/>
    <col min="8962" max="8962" width="39.85546875" style="53" customWidth="1"/>
    <col min="8963" max="8963" width="18.28515625" style="53" customWidth="1"/>
    <col min="8964" max="8964" width="23.85546875" style="53" customWidth="1"/>
    <col min="8965" max="8965" width="16" style="53" bestFit="1" customWidth="1"/>
    <col min="8966" max="8966" width="13.7109375" style="53" bestFit="1" customWidth="1"/>
    <col min="8967" max="8967" width="15.7109375" style="53" bestFit="1" customWidth="1"/>
    <col min="8968" max="8968" width="13.140625" style="53" bestFit="1" customWidth="1"/>
    <col min="8969" max="8969" width="11.85546875" style="53" bestFit="1" customWidth="1"/>
    <col min="8970" max="8970" width="12.85546875" style="53" bestFit="1" customWidth="1"/>
    <col min="8971" max="9216" width="9.140625" style="53"/>
    <col min="9217" max="9217" width="9.28515625" style="53" customWidth="1"/>
    <col min="9218" max="9218" width="39.85546875" style="53" customWidth="1"/>
    <col min="9219" max="9219" width="18.28515625" style="53" customWidth="1"/>
    <col min="9220" max="9220" width="23.85546875" style="53" customWidth="1"/>
    <col min="9221" max="9221" width="16" style="53" bestFit="1" customWidth="1"/>
    <col min="9222" max="9222" width="13.7109375" style="53" bestFit="1" customWidth="1"/>
    <col min="9223" max="9223" width="15.7109375" style="53" bestFit="1" customWidth="1"/>
    <col min="9224" max="9224" width="13.140625" style="53" bestFit="1" customWidth="1"/>
    <col min="9225" max="9225" width="11.85546875" style="53" bestFit="1" customWidth="1"/>
    <col min="9226" max="9226" width="12.85546875" style="53" bestFit="1" customWidth="1"/>
    <col min="9227" max="9472" width="9.140625" style="53"/>
    <col min="9473" max="9473" width="9.28515625" style="53" customWidth="1"/>
    <col min="9474" max="9474" width="39.85546875" style="53" customWidth="1"/>
    <col min="9475" max="9475" width="18.28515625" style="53" customWidth="1"/>
    <col min="9476" max="9476" width="23.85546875" style="53" customWidth="1"/>
    <col min="9477" max="9477" width="16" style="53" bestFit="1" customWidth="1"/>
    <col min="9478" max="9478" width="13.7109375" style="53" bestFit="1" customWidth="1"/>
    <col min="9479" max="9479" width="15.7109375" style="53" bestFit="1" customWidth="1"/>
    <col min="9480" max="9480" width="13.140625" style="53" bestFit="1" customWidth="1"/>
    <col min="9481" max="9481" width="11.85546875" style="53" bestFit="1" customWidth="1"/>
    <col min="9482" max="9482" width="12.85546875" style="53" bestFit="1" customWidth="1"/>
    <col min="9483" max="9728" width="9.140625" style="53"/>
    <col min="9729" max="9729" width="9.28515625" style="53" customWidth="1"/>
    <col min="9730" max="9730" width="39.85546875" style="53" customWidth="1"/>
    <col min="9731" max="9731" width="18.28515625" style="53" customWidth="1"/>
    <col min="9732" max="9732" width="23.85546875" style="53" customWidth="1"/>
    <col min="9733" max="9733" width="16" style="53" bestFit="1" customWidth="1"/>
    <col min="9734" max="9734" width="13.7109375" style="53" bestFit="1" customWidth="1"/>
    <col min="9735" max="9735" width="15.7109375" style="53" bestFit="1" customWidth="1"/>
    <col min="9736" max="9736" width="13.140625" style="53" bestFit="1" customWidth="1"/>
    <col min="9737" max="9737" width="11.85546875" style="53" bestFit="1" customWidth="1"/>
    <col min="9738" max="9738" width="12.85546875" style="53" bestFit="1" customWidth="1"/>
    <col min="9739" max="9984" width="9.140625" style="53"/>
    <col min="9985" max="9985" width="9.28515625" style="53" customWidth="1"/>
    <col min="9986" max="9986" width="39.85546875" style="53" customWidth="1"/>
    <col min="9987" max="9987" width="18.28515625" style="53" customWidth="1"/>
    <col min="9988" max="9988" width="23.85546875" style="53" customWidth="1"/>
    <col min="9989" max="9989" width="16" style="53" bestFit="1" customWidth="1"/>
    <col min="9990" max="9990" width="13.7109375" style="53" bestFit="1" customWidth="1"/>
    <col min="9991" max="9991" width="15.7109375" style="53" bestFit="1" customWidth="1"/>
    <col min="9992" max="9992" width="13.140625" style="53" bestFit="1" customWidth="1"/>
    <col min="9993" max="9993" width="11.85546875" style="53" bestFit="1" customWidth="1"/>
    <col min="9994" max="9994" width="12.85546875" style="53" bestFit="1" customWidth="1"/>
    <col min="9995" max="10240" width="9.140625" style="53"/>
    <col min="10241" max="10241" width="9.28515625" style="53" customWidth="1"/>
    <col min="10242" max="10242" width="39.85546875" style="53" customWidth="1"/>
    <col min="10243" max="10243" width="18.28515625" style="53" customWidth="1"/>
    <col min="10244" max="10244" width="23.85546875" style="53" customWidth="1"/>
    <col min="10245" max="10245" width="16" style="53" bestFit="1" customWidth="1"/>
    <col min="10246" max="10246" width="13.7109375" style="53" bestFit="1" customWidth="1"/>
    <col min="10247" max="10247" width="15.7109375" style="53" bestFit="1" customWidth="1"/>
    <col min="10248" max="10248" width="13.140625" style="53" bestFit="1" customWidth="1"/>
    <col min="10249" max="10249" width="11.85546875" style="53" bestFit="1" customWidth="1"/>
    <col min="10250" max="10250" width="12.85546875" style="53" bestFit="1" customWidth="1"/>
    <col min="10251" max="10496" width="9.140625" style="53"/>
    <col min="10497" max="10497" width="9.28515625" style="53" customWidth="1"/>
    <col min="10498" max="10498" width="39.85546875" style="53" customWidth="1"/>
    <col min="10499" max="10499" width="18.28515625" style="53" customWidth="1"/>
    <col min="10500" max="10500" width="23.85546875" style="53" customWidth="1"/>
    <col min="10501" max="10501" width="16" style="53" bestFit="1" customWidth="1"/>
    <col min="10502" max="10502" width="13.7109375" style="53" bestFit="1" customWidth="1"/>
    <col min="10503" max="10503" width="15.7109375" style="53" bestFit="1" customWidth="1"/>
    <col min="10504" max="10504" width="13.140625" style="53" bestFit="1" customWidth="1"/>
    <col min="10505" max="10505" width="11.85546875" style="53" bestFit="1" customWidth="1"/>
    <col min="10506" max="10506" width="12.85546875" style="53" bestFit="1" customWidth="1"/>
    <col min="10507" max="10752" width="9.140625" style="53"/>
    <col min="10753" max="10753" width="9.28515625" style="53" customWidth="1"/>
    <col min="10754" max="10754" width="39.85546875" style="53" customWidth="1"/>
    <col min="10755" max="10755" width="18.28515625" style="53" customWidth="1"/>
    <col min="10756" max="10756" width="23.85546875" style="53" customWidth="1"/>
    <col min="10757" max="10757" width="16" style="53" bestFit="1" customWidth="1"/>
    <col min="10758" max="10758" width="13.7109375" style="53" bestFit="1" customWidth="1"/>
    <col min="10759" max="10759" width="15.7109375" style="53" bestFit="1" customWidth="1"/>
    <col min="10760" max="10760" width="13.140625" style="53" bestFit="1" customWidth="1"/>
    <col min="10761" max="10761" width="11.85546875" style="53" bestFit="1" customWidth="1"/>
    <col min="10762" max="10762" width="12.85546875" style="53" bestFit="1" customWidth="1"/>
    <col min="10763" max="11008" width="9.140625" style="53"/>
    <col min="11009" max="11009" width="9.28515625" style="53" customWidth="1"/>
    <col min="11010" max="11010" width="39.85546875" style="53" customWidth="1"/>
    <col min="11011" max="11011" width="18.28515625" style="53" customWidth="1"/>
    <col min="11012" max="11012" width="23.85546875" style="53" customWidth="1"/>
    <col min="11013" max="11013" width="16" style="53" bestFit="1" customWidth="1"/>
    <col min="11014" max="11014" width="13.7109375" style="53" bestFit="1" customWidth="1"/>
    <col min="11015" max="11015" width="15.7109375" style="53" bestFit="1" customWidth="1"/>
    <col min="11016" max="11016" width="13.140625" style="53" bestFit="1" customWidth="1"/>
    <col min="11017" max="11017" width="11.85546875" style="53" bestFit="1" customWidth="1"/>
    <col min="11018" max="11018" width="12.85546875" style="53" bestFit="1" customWidth="1"/>
    <col min="11019" max="11264" width="9.140625" style="53"/>
    <col min="11265" max="11265" width="9.28515625" style="53" customWidth="1"/>
    <col min="11266" max="11266" width="39.85546875" style="53" customWidth="1"/>
    <col min="11267" max="11267" width="18.28515625" style="53" customWidth="1"/>
    <col min="11268" max="11268" width="23.85546875" style="53" customWidth="1"/>
    <col min="11269" max="11269" width="16" style="53" bestFit="1" customWidth="1"/>
    <col min="11270" max="11270" width="13.7109375" style="53" bestFit="1" customWidth="1"/>
    <col min="11271" max="11271" width="15.7109375" style="53" bestFit="1" customWidth="1"/>
    <col min="11272" max="11272" width="13.140625" style="53" bestFit="1" customWidth="1"/>
    <col min="11273" max="11273" width="11.85546875" style="53" bestFit="1" customWidth="1"/>
    <col min="11274" max="11274" width="12.85546875" style="53" bestFit="1" customWidth="1"/>
    <col min="11275" max="11520" width="9.140625" style="53"/>
    <col min="11521" max="11521" width="9.28515625" style="53" customWidth="1"/>
    <col min="11522" max="11522" width="39.85546875" style="53" customWidth="1"/>
    <col min="11523" max="11523" width="18.28515625" style="53" customWidth="1"/>
    <col min="11524" max="11524" width="23.85546875" style="53" customWidth="1"/>
    <col min="11525" max="11525" width="16" style="53" bestFit="1" customWidth="1"/>
    <col min="11526" max="11526" width="13.7109375" style="53" bestFit="1" customWidth="1"/>
    <col min="11527" max="11527" width="15.7109375" style="53" bestFit="1" customWidth="1"/>
    <col min="11528" max="11528" width="13.140625" style="53" bestFit="1" customWidth="1"/>
    <col min="11529" max="11529" width="11.85546875" style="53" bestFit="1" customWidth="1"/>
    <col min="11530" max="11530" width="12.85546875" style="53" bestFit="1" customWidth="1"/>
    <col min="11531" max="11776" width="9.140625" style="53"/>
    <col min="11777" max="11777" width="9.28515625" style="53" customWidth="1"/>
    <col min="11778" max="11778" width="39.85546875" style="53" customWidth="1"/>
    <col min="11779" max="11779" width="18.28515625" style="53" customWidth="1"/>
    <col min="11780" max="11780" width="23.85546875" style="53" customWidth="1"/>
    <col min="11781" max="11781" width="16" style="53" bestFit="1" customWidth="1"/>
    <col min="11782" max="11782" width="13.7109375" style="53" bestFit="1" customWidth="1"/>
    <col min="11783" max="11783" width="15.7109375" style="53" bestFit="1" customWidth="1"/>
    <col min="11784" max="11784" width="13.140625" style="53" bestFit="1" customWidth="1"/>
    <col min="11785" max="11785" width="11.85546875" style="53" bestFit="1" customWidth="1"/>
    <col min="11786" max="11786" width="12.85546875" style="53" bestFit="1" customWidth="1"/>
    <col min="11787" max="12032" width="9.140625" style="53"/>
    <col min="12033" max="12033" width="9.28515625" style="53" customWidth="1"/>
    <col min="12034" max="12034" width="39.85546875" style="53" customWidth="1"/>
    <col min="12035" max="12035" width="18.28515625" style="53" customWidth="1"/>
    <col min="12036" max="12036" width="23.85546875" style="53" customWidth="1"/>
    <col min="12037" max="12037" width="16" style="53" bestFit="1" customWidth="1"/>
    <col min="12038" max="12038" width="13.7109375" style="53" bestFit="1" customWidth="1"/>
    <col min="12039" max="12039" width="15.7109375" style="53" bestFit="1" customWidth="1"/>
    <col min="12040" max="12040" width="13.140625" style="53" bestFit="1" customWidth="1"/>
    <col min="12041" max="12041" width="11.85546875" style="53" bestFit="1" customWidth="1"/>
    <col min="12042" max="12042" width="12.85546875" style="53" bestFit="1" customWidth="1"/>
    <col min="12043" max="12288" width="9.140625" style="53"/>
    <col min="12289" max="12289" width="9.28515625" style="53" customWidth="1"/>
    <col min="12290" max="12290" width="39.85546875" style="53" customWidth="1"/>
    <col min="12291" max="12291" width="18.28515625" style="53" customWidth="1"/>
    <col min="12292" max="12292" width="23.85546875" style="53" customWidth="1"/>
    <col min="12293" max="12293" width="16" style="53" bestFit="1" customWidth="1"/>
    <col min="12294" max="12294" width="13.7109375" style="53" bestFit="1" customWidth="1"/>
    <col min="12295" max="12295" width="15.7109375" style="53" bestFit="1" customWidth="1"/>
    <col min="12296" max="12296" width="13.140625" style="53" bestFit="1" customWidth="1"/>
    <col min="12297" max="12297" width="11.85546875" style="53" bestFit="1" customWidth="1"/>
    <col min="12298" max="12298" width="12.85546875" style="53" bestFit="1" customWidth="1"/>
    <col min="12299" max="12544" width="9.140625" style="53"/>
    <col min="12545" max="12545" width="9.28515625" style="53" customWidth="1"/>
    <col min="12546" max="12546" width="39.85546875" style="53" customWidth="1"/>
    <col min="12547" max="12547" width="18.28515625" style="53" customWidth="1"/>
    <col min="12548" max="12548" width="23.85546875" style="53" customWidth="1"/>
    <col min="12549" max="12549" width="16" style="53" bestFit="1" customWidth="1"/>
    <col min="12550" max="12550" width="13.7109375" style="53" bestFit="1" customWidth="1"/>
    <col min="12551" max="12551" width="15.7109375" style="53" bestFit="1" customWidth="1"/>
    <col min="12552" max="12552" width="13.140625" style="53" bestFit="1" customWidth="1"/>
    <col min="12553" max="12553" width="11.85546875" style="53" bestFit="1" customWidth="1"/>
    <col min="12554" max="12554" width="12.85546875" style="53" bestFit="1" customWidth="1"/>
    <col min="12555" max="12800" width="9.140625" style="53"/>
    <col min="12801" max="12801" width="9.28515625" style="53" customWidth="1"/>
    <col min="12802" max="12802" width="39.85546875" style="53" customWidth="1"/>
    <col min="12803" max="12803" width="18.28515625" style="53" customWidth="1"/>
    <col min="12804" max="12804" width="23.85546875" style="53" customWidth="1"/>
    <col min="12805" max="12805" width="16" style="53" bestFit="1" customWidth="1"/>
    <col min="12806" max="12806" width="13.7109375" style="53" bestFit="1" customWidth="1"/>
    <col min="12807" max="12807" width="15.7109375" style="53" bestFit="1" customWidth="1"/>
    <col min="12808" max="12808" width="13.140625" style="53" bestFit="1" customWidth="1"/>
    <col min="12809" max="12809" width="11.85546875" style="53" bestFit="1" customWidth="1"/>
    <col min="12810" max="12810" width="12.85546875" style="53" bestFit="1" customWidth="1"/>
    <col min="12811" max="13056" width="9.140625" style="53"/>
    <col min="13057" max="13057" width="9.28515625" style="53" customWidth="1"/>
    <col min="13058" max="13058" width="39.85546875" style="53" customWidth="1"/>
    <col min="13059" max="13059" width="18.28515625" style="53" customWidth="1"/>
    <col min="13060" max="13060" width="23.85546875" style="53" customWidth="1"/>
    <col min="13061" max="13061" width="16" style="53" bestFit="1" customWidth="1"/>
    <col min="13062" max="13062" width="13.7109375" style="53" bestFit="1" customWidth="1"/>
    <col min="13063" max="13063" width="15.7109375" style="53" bestFit="1" customWidth="1"/>
    <col min="13064" max="13064" width="13.140625" style="53" bestFit="1" customWidth="1"/>
    <col min="13065" max="13065" width="11.85546875" style="53" bestFit="1" customWidth="1"/>
    <col min="13066" max="13066" width="12.85546875" style="53" bestFit="1" customWidth="1"/>
    <col min="13067" max="13312" width="9.140625" style="53"/>
    <col min="13313" max="13313" width="9.28515625" style="53" customWidth="1"/>
    <col min="13314" max="13314" width="39.85546875" style="53" customWidth="1"/>
    <col min="13315" max="13315" width="18.28515625" style="53" customWidth="1"/>
    <col min="13316" max="13316" width="23.85546875" style="53" customWidth="1"/>
    <col min="13317" max="13317" width="16" style="53" bestFit="1" customWidth="1"/>
    <col min="13318" max="13318" width="13.7109375" style="53" bestFit="1" customWidth="1"/>
    <col min="13319" max="13319" width="15.7109375" style="53" bestFit="1" customWidth="1"/>
    <col min="13320" max="13320" width="13.140625" style="53" bestFit="1" customWidth="1"/>
    <col min="13321" max="13321" width="11.85546875" style="53" bestFit="1" customWidth="1"/>
    <col min="13322" max="13322" width="12.85546875" style="53" bestFit="1" customWidth="1"/>
    <col min="13323" max="13568" width="9.140625" style="53"/>
    <col min="13569" max="13569" width="9.28515625" style="53" customWidth="1"/>
    <col min="13570" max="13570" width="39.85546875" style="53" customWidth="1"/>
    <col min="13571" max="13571" width="18.28515625" style="53" customWidth="1"/>
    <col min="13572" max="13572" width="23.85546875" style="53" customWidth="1"/>
    <col min="13573" max="13573" width="16" style="53" bestFit="1" customWidth="1"/>
    <col min="13574" max="13574" width="13.7109375" style="53" bestFit="1" customWidth="1"/>
    <col min="13575" max="13575" width="15.7109375" style="53" bestFit="1" customWidth="1"/>
    <col min="13576" max="13576" width="13.140625" style="53" bestFit="1" customWidth="1"/>
    <col min="13577" max="13577" width="11.85546875" style="53" bestFit="1" customWidth="1"/>
    <col min="13578" max="13578" width="12.85546875" style="53" bestFit="1" customWidth="1"/>
    <col min="13579" max="13824" width="9.140625" style="53"/>
    <col min="13825" max="13825" width="9.28515625" style="53" customWidth="1"/>
    <col min="13826" max="13826" width="39.85546875" style="53" customWidth="1"/>
    <col min="13827" max="13827" width="18.28515625" style="53" customWidth="1"/>
    <col min="13828" max="13828" width="23.85546875" style="53" customWidth="1"/>
    <col min="13829" max="13829" width="16" style="53" bestFit="1" customWidth="1"/>
    <col min="13830" max="13830" width="13.7109375" style="53" bestFit="1" customWidth="1"/>
    <col min="13831" max="13831" width="15.7109375" style="53" bestFit="1" customWidth="1"/>
    <col min="13832" max="13832" width="13.140625" style="53" bestFit="1" customWidth="1"/>
    <col min="13833" max="13833" width="11.85546875" style="53" bestFit="1" customWidth="1"/>
    <col min="13834" max="13834" width="12.85546875" style="53" bestFit="1" customWidth="1"/>
    <col min="13835" max="14080" width="9.140625" style="53"/>
    <col min="14081" max="14081" width="9.28515625" style="53" customWidth="1"/>
    <col min="14082" max="14082" width="39.85546875" style="53" customWidth="1"/>
    <col min="14083" max="14083" width="18.28515625" style="53" customWidth="1"/>
    <col min="14084" max="14084" width="23.85546875" style="53" customWidth="1"/>
    <col min="14085" max="14085" width="16" style="53" bestFit="1" customWidth="1"/>
    <col min="14086" max="14086" width="13.7109375" style="53" bestFit="1" customWidth="1"/>
    <col min="14087" max="14087" width="15.7109375" style="53" bestFit="1" customWidth="1"/>
    <col min="14088" max="14088" width="13.140625" style="53" bestFit="1" customWidth="1"/>
    <col min="14089" max="14089" width="11.85546875" style="53" bestFit="1" customWidth="1"/>
    <col min="14090" max="14090" width="12.85546875" style="53" bestFit="1" customWidth="1"/>
    <col min="14091" max="14336" width="9.140625" style="53"/>
    <col min="14337" max="14337" width="9.28515625" style="53" customWidth="1"/>
    <col min="14338" max="14338" width="39.85546875" style="53" customWidth="1"/>
    <col min="14339" max="14339" width="18.28515625" style="53" customWidth="1"/>
    <col min="14340" max="14340" width="23.85546875" style="53" customWidth="1"/>
    <col min="14341" max="14341" width="16" style="53" bestFit="1" customWidth="1"/>
    <col min="14342" max="14342" width="13.7109375" style="53" bestFit="1" customWidth="1"/>
    <col min="14343" max="14343" width="15.7109375" style="53" bestFit="1" customWidth="1"/>
    <col min="14344" max="14344" width="13.140625" style="53" bestFit="1" customWidth="1"/>
    <col min="14345" max="14345" width="11.85546875" style="53" bestFit="1" customWidth="1"/>
    <col min="14346" max="14346" width="12.85546875" style="53" bestFit="1" customWidth="1"/>
    <col min="14347" max="14592" width="9.140625" style="53"/>
    <col min="14593" max="14593" width="9.28515625" style="53" customWidth="1"/>
    <col min="14594" max="14594" width="39.85546875" style="53" customWidth="1"/>
    <col min="14595" max="14595" width="18.28515625" style="53" customWidth="1"/>
    <col min="14596" max="14596" width="23.85546875" style="53" customWidth="1"/>
    <col min="14597" max="14597" width="16" style="53" bestFit="1" customWidth="1"/>
    <col min="14598" max="14598" width="13.7109375" style="53" bestFit="1" customWidth="1"/>
    <col min="14599" max="14599" width="15.7109375" style="53" bestFit="1" customWidth="1"/>
    <col min="14600" max="14600" width="13.140625" style="53" bestFit="1" customWidth="1"/>
    <col min="14601" max="14601" width="11.85546875" style="53" bestFit="1" customWidth="1"/>
    <col min="14602" max="14602" width="12.85546875" style="53" bestFit="1" customWidth="1"/>
    <col min="14603" max="14848" width="9.140625" style="53"/>
    <col min="14849" max="14849" width="9.28515625" style="53" customWidth="1"/>
    <col min="14850" max="14850" width="39.85546875" style="53" customWidth="1"/>
    <col min="14851" max="14851" width="18.28515625" style="53" customWidth="1"/>
    <col min="14852" max="14852" width="23.85546875" style="53" customWidth="1"/>
    <col min="14853" max="14853" width="16" style="53" bestFit="1" customWidth="1"/>
    <col min="14854" max="14854" width="13.7109375" style="53" bestFit="1" customWidth="1"/>
    <col min="14855" max="14855" width="15.7109375" style="53" bestFit="1" customWidth="1"/>
    <col min="14856" max="14856" width="13.140625" style="53" bestFit="1" customWidth="1"/>
    <col min="14857" max="14857" width="11.85546875" style="53" bestFit="1" customWidth="1"/>
    <col min="14858" max="14858" width="12.85546875" style="53" bestFit="1" customWidth="1"/>
    <col min="14859" max="15104" width="9.140625" style="53"/>
    <col min="15105" max="15105" width="9.28515625" style="53" customWidth="1"/>
    <col min="15106" max="15106" width="39.85546875" style="53" customWidth="1"/>
    <col min="15107" max="15107" width="18.28515625" style="53" customWidth="1"/>
    <col min="15108" max="15108" width="23.85546875" style="53" customWidth="1"/>
    <col min="15109" max="15109" width="16" style="53" bestFit="1" customWidth="1"/>
    <col min="15110" max="15110" width="13.7109375" style="53" bestFit="1" customWidth="1"/>
    <col min="15111" max="15111" width="15.7109375" style="53" bestFit="1" customWidth="1"/>
    <col min="15112" max="15112" width="13.140625" style="53" bestFit="1" customWidth="1"/>
    <col min="15113" max="15113" width="11.85546875" style="53" bestFit="1" customWidth="1"/>
    <col min="15114" max="15114" width="12.85546875" style="53" bestFit="1" customWidth="1"/>
    <col min="15115" max="15360" width="9.140625" style="53"/>
    <col min="15361" max="15361" width="9.28515625" style="53" customWidth="1"/>
    <col min="15362" max="15362" width="39.85546875" style="53" customWidth="1"/>
    <col min="15363" max="15363" width="18.28515625" style="53" customWidth="1"/>
    <col min="15364" max="15364" width="23.85546875" style="53" customWidth="1"/>
    <col min="15365" max="15365" width="16" style="53" bestFit="1" customWidth="1"/>
    <col min="15366" max="15366" width="13.7109375" style="53" bestFit="1" customWidth="1"/>
    <col min="15367" max="15367" width="15.7109375" style="53" bestFit="1" customWidth="1"/>
    <col min="15368" max="15368" width="13.140625" style="53" bestFit="1" customWidth="1"/>
    <col min="15369" max="15369" width="11.85546875" style="53" bestFit="1" customWidth="1"/>
    <col min="15370" max="15370" width="12.85546875" style="53" bestFit="1" customWidth="1"/>
    <col min="15371" max="15616" width="9.140625" style="53"/>
    <col min="15617" max="15617" width="9.28515625" style="53" customWidth="1"/>
    <col min="15618" max="15618" width="39.85546875" style="53" customWidth="1"/>
    <col min="15619" max="15619" width="18.28515625" style="53" customWidth="1"/>
    <col min="15620" max="15620" width="23.85546875" style="53" customWidth="1"/>
    <col min="15621" max="15621" width="16" style="53" bestFit="1" customWidth="1"/>
    <col min="15622" max="15622" width="13.7109375" style="53" bestFit="1" customWidth="1"/>
    <col min="15623" max="15623" width="15.7109375" style="53" bestFit="1" customWidth="1"/>
    <col min="15624" max="15624" width="13.140625" style="53" bestFit="1" customWidth="1"/>
    <col min="15625" max="15625" width="11.85546875" style="53" bestFit="1" customWidth="1"/>
    <col min="15626" max="15626" width="12.85546875" style="53" bestFit="1" customWidth="1"/>
    <col min="15627" max="15872" width="9.140625" style="53"/>
    <col min="15873" max="15873" width="9.28515625" style="53" customWidth="1"/>
    <col min="15874" max="15874" width="39.85546875" style="53" customWidth="1"/>
    <col min="15875" max="15875" width="18.28515625" style="53" customWidth="1"/>
    <col min="15876" max="15876" width="23.85546875" style="53" customWidth="1"/>
    <col min="15877" max="15877" width="16" style="53" bestFit="1" customWidth="1"/>
    <col min="15878" max="15878" width="13.7109375" style="53" bestFit="1" customWidth="1"/>
    <col min="15879" max="15879" width="15.7109375" style="53" bestFit="1" customWidth="1"/>
    <col min="15880" max="15880" width="13.140625" style="53" bestFit="1" customWidth="1"/>
    <col min="15881" max="15881" width="11.85546875" style="53" bestFit="1" customWidth="1"/>
    <col min="15882" max="15882" width="12.85546875" style="53" bestFit="1" customWidth="1"/>
    <col min="15883" max="16128" width="9.140625" style="53"/>
    <col min="16129" max="16129" width="9.28515625" style="53" customWidth="1"/>
    <col min="16130" max="16130" width="39.85546875" style="53" customWidth="1"/>
    <col min="16131" max="16131" width="18.28515625" style="53" customWidth="1"/>
    <col min="16132" max="16132" width="23.85546875" style="53" customWidth="1"/>
    <col min="16133" max="16133" width="16" style="53" bestFit="1" customWidth="1"/>
    <col min="16134" max="16134" width="13.7109375" style="53" bestFit="1" customWidth="1"/>
    <col min="16135" max="16135" width="15.7109375" style="53" bestFit="1" customWidth="1"/>
    <col min="16136" max="16136" width="13.140625" style="53" bestFit="1" customWidth="1"/>
    <col min="16137" max="16137" width="11.85546875" style="53" bestFit="1" customWidth="1"/>
    <col min="16138" max="16138" width="12.85546875" style="53" bestFit="1" customWidth="1"/>
    <col min="16139" max="16384" width="9.140625" style="53"/>
  </cols>
  <sheetData>
    <row r="3" spans="1:7" ht="15.75" customHeight="1">
      <c r="A3" s="543" t="s">
        <v>255</v>
      </c>
      <c r="B3" s="543"/>
      <c r="C3" s="543"/>
      <c r="D3" s="543"/>
      <c r="E3" s="52"/>
      <c r="F3" s="52"/>
      <c r="G3" s="52"/>
    </row>
    <row r="4" spans="1:7">
      <c r="A4" s="543"/>
      <c r="B4" s="543"/>
      <c r="C4" s="543"/>
      <c r="D4" s="543"/>
      <c r="E4" s="52"/>
      <c r="F4" s="52"/>
      <c r="G4" s="52"/>
    </row>
    <row r="5" spans="1:7">
      <c r="A5" s="54"/>
      <c r="B5" s="52"/>
      <c r="C5" s="52"/>
      <c r="D5" s="52"/>
      <c r="E5" s="52"/>
      <c r="F5" s="52"/>
      <c r="G5" s="52"/>
    </row>
    <row r="6" spans="1:7" ht="15.75" customHeight="1">
      <c r="A6" s="544" t="s">
        <v>550</v>
      </c>
      <c r="B6" s="544"/>
      <c r="C6" s="544"/>
      <c r="D6" s="544"/>
      <c r="E6" s="52"/>
      <c r="F6" s="52"/>
      <c r="G6" s="52"/>
    </row>
    <row r="7" spans="1:7">
      <c r="A7" s="522"/>
      <c r="B7" s="522"/>
      <c r="C7" s="522"/>
      <c r="D7" s="522"/>
    </row>
    <row r="8" spans="1:7">
      <c r="A8" s="237" t="s">
        <v>551</v>
      </c>
      <c r="B8" s="238"/>
      <c r="C8" s="187"/>
      <c r="D8" s="187"/>
    </row>
    <row r="9" spans="1:7">
      <c r="A9" s="522"/>
      <c r="B9" s="522"/>
      <c r="C9" s="522"/>
      <c r="D9" s="522"/>
    </row>
    <row r="10" spans="1:7">
      <c r="A10" s="57" t="s">
        <v>256</v>
      </c>
      <c r="B10" s="188"/>
      <c r="C10" s="187"/>
      <c r="D10" s="187"/>
    </row>
    <row r="11" spans="1:7">
      <c r="A11" s="59" t="s">
        <v>257</v>
      </c>
      <c r="B11" s="541" t="s">
        <v>258</v>
      </c>
      <c r="C11" s="542"/>
      <c r="D11" s="239">
        <v>42550</v>
      </c>
    </row>
    <row r="12" spans="1:7">
      <c r="A12" s="59" t="s">
        <v>259</v>
      </c>
      <c r="B12" s="62" t="s">
        <v>260</v>
      </c>
      <c r="C12" s="63"/>
      <c r="D12" s="240" t="s">
        <v>374</v>
      </c>
    </row>
    <row r="13" spans="1:7">
      <c r="A13" s="59" t="s">
        <v>261</v>
      </c>
      <c r="B13" s="541" t="s">
        <v>262</v>
      </c>
      <c r="C13" s="542"/>
      <c r="D13" s="240">
        <v>2016</v>
      </c>
    </row>
    <row r="14" spans="1:7">
      <c r="A14" s="64" t="s">
        <v>263</v>
      </c>
      <c r="B14" s="65" t="s">
        <v>555</v>
      </c>
      <c r="C14" s="66"/>
      <c r="D14" s="239">
        <v>42625</v>
      </c>
    </row>
    <row r="16" spans="1:7">
      <c r="A16" s="190"/>
    </row>
    <row r="17" spans="1:7">
      <c r="A17" s="523"/>
      <c r="B17" s="523"/>
      <c r="C17" s="523"/>
      <c r="D17" s="523"/>
      <c r="E17" s="523"/>
      <c r="F17" s="523"/>
      <c r="G17" s="523"/>
    </row>
    <row r="18" spans="1:7" ht="35.25" customHeight="1">
      <c r="A18" s="545" t="s">
        <v>264</v>
      </c>
      <c r="B18" s="545"/>
      <c r="C18" s="67" t="s">
        <v>265</v>
      </c>
      <c r="D18" s="67" t="s">
        <v>266</v>
      </c>
    </row>
    <row r="19" spans="1:7">
      <c r="A19" s="241">
        <v>1</v>
      </c>
      <c r="B19" s="242" t="s">
        <v>2</v>
      </c>
      <c r="C19" s="241" t="s">
        <v>267</v>
      </c>
      <c r="D19" s="243">
        <v>2</v>
      </c>
    </row>
    <row r="20" spans="1:7">
      <c r="A20" s="68"/>
      <c r="B20" s="69"/>
      <c r="C20" s="68"/>
      <c r="D20" s="70"/>
    </row>
    <row r="21" spans="1:7">
      <c r="A21" s="522" t="s">
        <v>268</v>
      </c>
      <c r="B21" s="522"/>
      <c r="C21" s="522"/>
      <c r="D21" s="522"/>
      <c r="E21" s="522"/>
      <c r="F21" s="522"/>
      <c r="G21" s="522"/>
    </row>
    <row r="22" spans="1:7">
      <c r="A22" s="71"/>
    </row>
    <row r="23" spans="1:7">
      <c r="A23" s="57" t="s">
        <v>269</v>
      </c>
    </row>
    <row r="24" spans="1:7">
      <c r="A24" s="57" t="s">
        <v>270</v>
      </c>
    </row>
    <row r="25" spans="1:7">
      <c r="A25" s="72" t="s">
        <v>271</v>
      </c>
      <c r="B25" s="60"/>
      <c r="C25" s="60"/>
      <c r="D25" s="61"/>
    </row>
    <row r="26" spans="1:7">
      <c r="A26" s="73">
        <v>1</v>
      </c>
      <c r="B26" s="74" t="s">
        <v>272</v>
      </c>
      <c r="C26" s="74"/>
      <c r="D26" s="244" t="str">
        <f>B19</f>
        <v>Porteiro</v>
      </c>
    </row>
    <row r="27" spans="1:7" ht="30.75" customHeight="1">
      <c r="A27" s="73">
        <v>2</v>
      </c>
      <c r="B27" s="539" t="s">
        <v>273</v>
      </c>
      <c r="C27" s="540"/>
      <c r="D27" s="175">
        <v>1475</v>
      </c>
    </row>
    <row r="28" spans="1:7" ht="31.5" customHeight="1">
      <c r="A28" s="73">
        <v>3</v>
      </c>
      <c r="B28" s="539" t="s">
        <v>274</v>
      </c>
      <c r="C28" s="540"/>
      <c r="D28" s="176" t="s">
        <v>375</v>
      </c>
    </row>
    <row r="29" spans="1:7">
      <c r="A29" s="75">
        <v>4</v>
      </c>
      <c r="B29" s="76" t="s">
        <v>275</v>
      </c>
      <c r="C29" s="76"/>
      <c r="D29" s="77">
        <v>42401</v>
      </c>
    </row>
    <row r="30" spans="1:7">
      <c r="A30" s="71"/>
    </row>
    <row r="31" spans="1:7">
      <c r="A31" s="71"/>
    </row>
    <row r="32" spans="1:7">
      <c r="A32" s="71"/>
    </row>
    <row r="33" spans="1:7" ht="16.5" customHeight="1" thickBot="1">
      <c r="A33" s="523" t="s">
        <v>276</v>
      </c>
      <c r="B33" s="523"/>
      <c r="C33" s="523"/>
      <c r="D33" s="523"/>
      <c r="E33" s="523"/>
      <c r="F33" s="52"/>
      <c r="G33" s="52"/>
    </row>
    <row r="34" spans="1:7" ht="16.5" thickBot="1">
      <c r="A34" s="78" t="s">
        <v>277</v>
      </c>
      <c r="B34" s="79" t="s">
        <v>278</v>
      </c>
      <c r="C34" s="80"/>
      <c r="D34" s="81" t="s">
        <v>279</v>
      </c>
    </row>
    <row r="35" spans="1:7">
      <c r="A35" s="82" t="s">
        <v>257</v>
      </c>
      <c r="B35" s="83" t="s">
        <v>280</v>
      </c>
      <c r="C35" s="84"/>
      <c r="D35" s="85">
        <f>D27</f>
        <v>1475</v>
      </c>
    </row>
    <row r="36" spans="1:7">
      <c r="A36" s="191" t="s">
        <v>259</v>
      </c>
      <c r="B36" s="87" t="s">
        <v>281</v>
      </c>
      <c r="C36" s="88"/>
      <c r="D36" s="89">
        <v>0</v>
      </c>
    </row>
    <row r="37" spans="1:7">
      <c r="A37" s="191" t="s">
        <v>261</v>
      </c>
      <c r="B37" s="87" t="s">
        <v>282</v>
      </c>
      <c r="C37" s="90"/>
      <c r="D37" s="89">
        <v>0</v>
      </c>
    </row>
    <row r="38" spans="1:7">
      <c r="A38" s="191" t="s">
        <v>263</v>
      </c>
      <c r="B38" s="91" t="s">
        <v>552</v>
      </c>
      <c r="C38" s="88"/>
      <c r="D38" s="89">
        <v>47</v>
      </c>
    </row>
    <row r="39" spans="1:7">
      <c r="A39" s="191" t="s">
        <v>284</v>
      </c>
      <c r="B39" s="91" t="s">
        <v>285</v>
      </c>
      <c r="C39" s="92"/>
      <c r="D39" s="89">
        <v>0</v>
      </c>
    </row>
    <row r="40" spans="1:7">
      <c r="A40" s="191" t="s">
        <v>286</v>
      </c>
      <c r="B40" s="93" t="s">
        <v>287</v>
      </c>
      <c r="C40" s="92"/>
      <c r="D40" s="89">
        <v>0</v>
      </c>
    </row>
    <row r="41" spans="1:7">
      <c r="A41" s="191" t="s">
        <v>288</v>
      </c>
      <c r="B41" s="93" t="s">
        <v>289</v>
      </c>
      <c r="C41" s="92"/>
      <c r="D41" s="89">
        <v>0</v>
      </c>
    </row>
    <row r="42" spans="1:7" ht="16.5" thickBot="1">
      <c r="A42" s="191" t="s">
        <v>290</v>
      </c>
      <c r="B42" s="94" t="s">
        <v>376</v>
      </c>
      <c r="C42" s="95"/>
      <c r="D42" s="89">
        <v>0</v>
      </c>
    </row>
    <row r="43" spans="1:7" ht="16.5" thickBot="1">
      <c r="A43" s="96"/>
      <c r="B43" s="97" t="s">
        <v>292</v>
      </c>
      <c r="C43" s="98"/>
      <c r="D43" s="99">
        <f>SUM(D35:D42)</f>
        <v>1522</v>
      </c>
    </row>
    <row r="44" spans="1:7">
      <c r="A44" s="190"/>
    </row>
    <row r="45" spans="1:7" ht="16.5" thickBot="1">
      <c r="A45" s="523" t="s">
        <v>293</v>
      </c>
      <c r="B45" s="523"/>
      <c r="C45" s="523"/>
      <c r="D45" s="523"/>
      <c r="E45" s="523"/>
      <c r="F45" s="523"/>
      <c r="G45" s="523"/>
    </row>
    <row r="46" spans="1:7" ht="16.5" thickBot="1">
      <c r="A46" s="100">
        <v>2</v>
      </c>
      <c r="B46" s="189" t="s">
        <v>294</v>
      </c>
      <c r="C46" s="102"/>
      <c r="D46" s="100" t="s">
        <v>279</v>
      </c>
    </row>
    <row r="47" spans="1:7">
      <c r="A47" s="82" t="s">
        <v>257</v>
      </c>
      <c r="B47" s="83" t="s">
        <v>295</v>
      </c>
      <c r="C47" s="103"/>
      <c r="D47" s="104">
        <f>(3.7*52)-(D35*6%)</f>
        <v>103.9</v>
      </c>
    </row>
    <row r="48" spans="1:7" ht="31.5">
      <c r="A48" s="105" t="s">
        <v>259</v>
      </c>
      <c r="B48" s="106" t="s">
        <v>296</v>
      </c>
      <c r="C48" s="90"/>
      <c r="D48" s="107">
        <f>330*(1-20%)</f>
        <v>264</v>
      </c>
    </row>
    <row r="49" spans="1:7">
      <c r="A49" s="191" t="s">
        <v>261</v>
      </c>
      <c r="B49" s="87" t="s">
        <v>389</v>
      </c>
      <c r="C49" s="90"/>
      <c r="D49" s="107">
        <v>50</v>
      </c>
    </row>
    <row r="50" spans="1:7">
      <c r="A50" s="191" t="s">
        <v>263</v>
      </c>
      <c r="B50" s="87" t="s">
        <v>297</v>
      </c>
      <c r="C50" s="88"/>
      <c r="D50" s="107">
        <v>0</v>
      </c>
    </row>
    <row r="51" spans="1:7">
      <c r="A51" s="191" t="s">
        <v>284</v>
      </c>
      <c r="B51" s="87" t="s">
        <v>390</v>
      </c>
      <c r="C51" s="92"/>
      <c r="D51" s="108">
        <v>16</v>
      </c>
    </row>
    <row r="52" spans="1:7" ht="16.5" customHeight="1">
      <c r="A52" s="191" t="s">
        <v>286</v>
      </c>
      <c r="B52" s="535" t="s">
        <v>377</v>
      </c>
      <c r="C52" s="536"/>
      <c r="D52" s="108">
        <v>16</v>
      </c>
    </row>
    <row r="53" spans="1:7" ht="16.5" thickBot="1">
      <c r="A53" s="109" t="s">
        <v>288</v>
      </c>
      <c r="B53" s="537" t="s">
        <v>291</v>
      </c>
      <c r="C53" s="538"/>
      <c r="D53" s="110">
        <v>0</v>
      </c>
    </row>
    <row r="54" spans="1:7" ht="16.5" thickBot="1">
      <c r="A54" s="111"/>
      <c r="B54" s="189" t="s">
        <v>298</v>
      </c>
      <c r="C54" s="112"/>
      <c r="D54" s="113">
        <f>SUM(D47:D53)</f>
        <v>449.9</v>
      </c>
    </row>
    <row r="55" spans="1:7" ht="33" customHeight="1">
      <c r="A55" s="522" t="s">
        <v>299</v>
      </c>
      <c r="B55" s="522"/>
      <c r="C55" s="522"/>
      <c r="D55" s="522"/>
    </row>
    <row r="56" spans="1:7">
      <c r="A56" s="190"/>
    </row>
    <row r="57" spans="1:7" ht="16.5" thickBot="1">
      <c r="A57" s="523" t="s">
        <v>300</v>
      </c>
      <c r="B57" s="523"/>
      <c r="C57" s="523"/>
      <c r="D57" s="523"/>
      <c r="E57" s="523"/>
      <c r="F57" s="523"/>
      <c r="G57" s="523"/>
    </row>
    <row r="58" spans="1:7" ht="16.5" thickBot="1">
      <c r="A58" s="114">
        <v>3</v>
      </c>
      <c r="B58" s="189" t="s">
        <v>301</v>
      </c>
      <c r="C58" s="102"/>
      <c r="D58" s="100" t="s">
        <v>279</v>
      </c>
    </row>
    <row r="59" spans="1:7">
      <c r="A59" s="82" t="s">
        <v>257</v>
      </c>
      <c r="B59" s="83" t="s">
        <v>302</v>
      </c>
      <c r="C59" s="115"/>
      <c r="D59" s="116">
        <f>'ANEXO IV'!D19</f>
        <v>41.166666666666664</v>
      </c>
    </row>
    <row r="60" spans="1:7">
      <c r="A60" s="105" t="s">
        <v>259</v>
      </c>
      <c r="B60" s="106" t="s">
        <v>15</v>
      </c>
      <c r="C60" s="90"/>
      <c r="D60" s="107">
        <v>0</v>
      </c>
    </row>
    <row r="61" spans="1:7">
      <c r="A61" s="191" t="s">
        <v>261</v>
      </c>
      <c r="B61" s="87" t="s">
        <v>21</v>
      </c>
      <c r="C61" s="90"/>
      <c r="D61" s="107">
        <v>0</v>
      </c>
    </row>
    <row r="62" spans="1:7">
      <c r="A62" s="191" t="s">
        <v>263</v>
      </c>
      <c r="B62" s="535" t="s">
        <v>18</v>
      </c>
      <c r="C62" s="536"/>
      <c r="D62" s="108">
        <v>0</v>
      </c>
    </row>
    <row r="63" spans="1:7" ht="16.5" thickBot="1">
      <c r="A63" s="109" t="s">
        <v>284</v>
      </c>
      <c r="B63" s="537" t="s">
        <v>291</v>
      </c>
      <c r="C63" s="538"/>
      <c r="D63" s="110">
        <v>0</v>
      </c>
    </row>
    <row r="64" spans="1:7" ht="16.5" thickBot="1">
      <c r="A64" s="111"/>
      <c r="B64" s="189" t="s">
        <v>303</v>
      </c>
      <c r="C64" s="112"/>
      <c r="D64" s="113">
        <f>SUM(D59:D63)</f>
        <v>41.166666666666664</v>
      </c>
    </row>
    <row r="65" spans="1:7">
      <c r="A65" s="522" t="s">
        <v>304</v>
      </c>
      <c r="B65" s="522"/>
      <c r="C65" s="522"/>
      <c r="D65" s="522"/>
      <c r="E65" s="522"/>
      <c r="F65" s="522"/>
      <c r="G65" s="522"/>
    </row>
    <row r="66" spans="1:7">
      <c r="A66" s="190"/>
    </row>
    <row r="67" spans="1:7">
      <c r="A67" s="523" t="s">
        <v>305</v>
      </c>
      <c r="B67" s="523"/>
      <c r="C67" s="523"/>
      <c r="D67" s="523"/>
      <c r="E67" s="523"/>
      <c r="F67" s="523"/>
      <c r="G67" s="523"/>
    </row>
    <row r="68" spans="1:7" ht="16.5" thickBot="1">
      <c r="A68" s="523" t="s">
        <v>306</v>
      </c>
      <c r="B68" s="523"/>
      <c r="C68" s="523"/>
      <c r="D68" s="523"/>
      <c r="E68" s="523"/>
      <c r="F68" s="523"/>
      <c r="G68" s="523"/>
    </row>
    <row r="69" spans="1:7" ht="16.5" thickBot="1">
      <c r="A69" s="117" t="s">
        <v>307</v>
      </c>
      <c r="B69" s="118" t="s">
        <v>308</v>
      </c>
      <c r="C69" s="117" t="s">
        <v>4</v>
      </c>
      <c r="D69" s="117" t="s">
        <v>279</v>
      </c>
    </row>
    <row r="70" spans="1:7">
      <c r="A70" s="82" t="s">
        <v>257</v>
      </c>
      <c r="B70" s="119" t="s">
        <v>8</v>
      </c>
      <c r="C70" s="120">
        <v>0.2</v>
      </c>
      <c r="D70" s="104">
        <f t="shared" ref="D70:D77" si="0">ROUND($D$43*C70,2)</f>
        <v>304.39999999999998</v>
      </c>
    </row>
    <row r="71" spans="1:7">
      <c r="A71" s="105" t="s">
        <v>259</v>
      </c>
      <c r="B71" s="121" t="s">
        <v>309</v>
      </c>
      <c r="C71" s="122">
        <v>1.4999999999999999E-2</v>
      </c>
      <c r="D71" s="107">
        <f t="shared" si="0"/>
        <v>22.83</v>
      </c>
    </row>
    <row r="72" spans="1:7">
      <c r="A72" s="191" t="s">
        <v>261</v>
      </c>
      <c r="B72" s="123" t="s">
        <v>310</v>
      </c>
      <c r="C72" s="122">
        <v>0.01</v>
      </c>
      <c r="D72" s="107">
        <f t="shared" si="0"/>
        <v>15.22</v>
      </c>
    </row>
    <row r="73" spans="1:7">
      <c r="A73" s="105" t="s">
        <v>263</v>
      </c>
      <c r="B73" s="121" t="s">
        <v>9</v>
      </c>
      <c r="C73" s="122">
        <v>2E-3</v>
      </c>
      <c r="D73" s="107">
        <f t="shared" si="0"/>
        <v>3.04</v>
      </c>
    </row>
    <row r="74" spans="1:7">
      <c r="A74" s="191" t="s">
        <v>284</v>
      </c>
      <c r="B74" s="123" t="s">
        <v>10</v>
      </c>
      <c r="C74" s="122">
        <v>2.5000000000000001E-2</v>
      </c>
      <c r="D74" s="107">
        <f t="shared" si="0"/>
        <v>38.049999999999997</v>
      </c>
    </row>
    <row r="75" spans="1:7">
      <c r="A75" s="105" t="s">
        <v>286</v>
      </c>
      <c r="B75" s="121" t="s">
        <v>11</v>
      </c>
      <c r="C75" s="122">
        <v>0.08</v>
      </c>
      <c r="D75" s="107">
        <f t="shared" si="0"/>
        <v>121.76</v>
      </c>
    </row>
    <row r="76" spans="1:7" ht="31.5">
      <c r="A76" s="191" t="s">
        <v>288</v>
      </c>
      <c r="B76" s="123" t="s">
        <v>378</v>
      </c>
      <c r="C76" s="141">
        <v>3.0499999999999999E-2</v>
      </c>
      <c r="D76" s="245">
        <f t="shared" si="0"/>
        <v>46.42</v>
      </c>
    </row>
    <row r="77" spans="1:7" ht="16.5" thickBot="1">
      <c r="A77" s="124" t="s">
        <v>290</v>
      </c>
      <c r="B77" s="125" t="s">
        <v>12</v>
      </c>
      <c r="C77" s="126">
        <v>6.0000000000000001E-3</v>
      </c>
      <c r="D77" s="110">
        <f t="shared" si="0"/>
        <v>9.1300000000000008</v>
      </c>
    </row>
    <row r="78" spans="1:7" ht="16.5" thickBot="1">
      <c r="A78" s="530" t="s">
        <v>7</v>
      </c>
      <c r="B78" s="531"/>
      <c r="C78" s="127">
        <f>SUM(C70:C77)</f>
        <v>0.36850000000000005</v>
      </c>
      <c r="D78" s="113">
        <f>SUM(D70:D77)</f>
        <v>560.85</v>
      </c>
    </row>
    <row r="79" spans="1:7">
      <c r="A79" s="534" t="s">
        <v>311</v>
      </c>
      <c r="B79" s="534"/>
      <c r="C79" s="534"/>
      <c r="D79" s="534"/>
    </row>
    <row r="80" spans="1:7" ht="16.5" customHeight="1">
      <c r="A80" s="534" t="s">
        <v>312</v>
      </c>
      <c r="B80" s="534"/>
      <c r="C80" s="534"/>
      <c r="D80" s="534"/>
    </row>
    <row r="81" spans="1:7">
      <c r="A81" s="190"/>
    </row>
    <row r="82" spans="1:7" ht="16.5" thickBot="1">
      <c r="A82" s="523" t="s">
        <v>313</v>
      </c>
      <c r="B82" s="523"/>
      <c r="C82" s="523"/>
      <c r="D82" s="523"/>
      <c r="E82" s="523"/>
      <c r="F82" s="523"/>
      <c r="G82" s="523"/>
    </row>
    <row r="83" spans="1:7" ht="16.5" thickBot="1">
      <c r="A83" s="117" t="s">
        <v>314</v>
      </c>
      <c r="B83" s="118" t="s">
        <v>315</v>
      </c>
      <c r="C83" s="117" t="s">
        <v>4</v>
      </c>
      <c r="D83" s="117" t="s">
        <v>279</v>
      </c>
    </row>
    <row r="84" spans="1:7">
      <c r="A84" s="82" t="s">
        <v>257</v>
      </c>
      <c r="B84" s="119" t="s">
        <v>316</v>
      </c>
      <c r="C84" s="120">
        <f>((5/56)*100)/100</f>
        <v>8.9285714285714288E-2</v>
      </c>
      <c r="D84" s="104">
        <f>ROUND($D$43*C84,2)</f>
        <v>135.88999999999999</v>
      </c>
    </row>
    <row r="85" spans="1:7">
      <c r="A85" s="105" t="s">
        <v>259</v>
      </c>
      <c r="B85" s="121" t="s">
        <v>317</v>
      </c>
      <c r="C85" s="128">
        <f>(1/3)*(5/56)</f>
        <v>2.976190476190476E-2</v>
      </c>
      <c r="D85" s="129">
        <f>ROUND($D$43*C85,2)</f>
        <v>45.3</v>
      </c>
    </row>
    <row r="86" spans="1:7">
      <c r="A86" s="130" t="s">
        <v>318</v>
      </c>
      <c r="B86" s="121"/>
      <c r="C86" s="131">
        <f>SUM(C84:C85)</f>
        <v>0.11904761904761904</v>
      </c>
      <c r="D86" s="132">
        <f>SUM(D84:D85)</f>
        <v>181.19</v>
      </c>
    </row>
    <row r="87" spans="1:7" ht="32.25" thickBot="1">
      <c r="A87" s="105" t="s">
        <v>261</v>
      </c>
      <c r="B87" s="121" t="s">
        <v>319</v>
      </c>
      <c r="C87" s="122">
        <f>D87/D43</f>
        <v>4.3869908015768726E-2</v>
      </c>
      <c r="D87" s="107">
        <f>ROUND(D78*C86,2)</f>
        <v>66.77</v>
      </c>
    </row>
    <row r="88" spans="1:7" ht="16.5" thickBot="1">
      <c r="A88" s="530" t="s">
        <v>7</v>
      </c>
      <c r="B88" s="531"/>
      <c r="C88" s="127">
        <f>C87+C86</f>
        <v>0.16291752706338777</v>
      </c>
      <c r="D88" s="113">
        <f>D86+D87</f>
        <v>247.95999999999998</v>
      </c>
    </row>
    <row r="89" spans="1:7">
      <c r="A89" s="190"/>
    </row>
    <row r="90" spans="1:7" ht="16.5" thickBot="1">
      <c r="A90" s="523" t="s">
        <v>320</v>
      </c>
      <c r="B90" s="523"/>
      <c r="C90" s="523"/>
      <c r="D90" s="523"/>
      <c r="E90" s="523"/>
      <c r="F90" s="523"/>
      <c r="G90" s="523"/>
    </row>
    <row r="91" spans="1:7" ht="16.5" thickBot="1">
      <c r="A91" s="117" t="s">
        <v>321</v>
      </c>
      <c r="B91" s="118" t="s">
        <v>322</v>
      </c>
      <c r="C91" s="117" t="s">
        <v>4</v>
      </c>
      <c r="D91" s="117" t="s">
        <v>279</v>
      </c>
    </row>
    <row r="92" spans="1:7">
      <c r="A92" s="82" t="s">
        <v>257</v>
      </c>
      <c r="B92" s="133" t="s">
        <v>323</v>
      </c>
      <c r="C92" s="120">
        <f>0.1111*0.02*0.3333</f>
        <v>7.4059259999999997E-4</v>
      </c>
      <c r="D92" s="104">
        <f>ROUND($D$43*C92,2)</f>
        <v>1.1299999999999999</v>
      </c>
    </row>
    <row r="93" spans="1:7" ht="32.25" thickBot="1">
      <c r="A93" s="109" t="s">
        <v>259</v>
      </c>
      <c r="B93" s="134" t="s">
        <v>324</v>
      </c>
      <c r="C93" s="126">
        <f>D93/D43</f>
        <v>2.759526938239159E-4</v>
      </c>
      <c r="D93" s="110">
        <f>ROUND(D78*C92,2)</f>
        <v>0.42</v>
      </c>
    </row>
    <row r="94" spans="1:7" ht="16.5" thickBot="1">
      <c r="A94" s="530" t="s">
        <v>7</v>
      </c>
      <c r="B94" s="531"/>
      <c r="C94" s="127">
        <f>SUM(C92:C93)</f>
        <v>1.0165452938239159E-3</v>
      </c>
      <c r="D94" s="113">
        <f>SUM(D92:D93)</f>
        <v>1.5499999999999998</v>
      </c>
    </row>
    <row r="95" spans="1:7">
      <c r="A95" s="190"/>
    </row>
    <row r="96" spans="1:7">
      <c r="A96" s="190"/>
    </row>
    <row r="97" spans="1:7" ht="16.5" thickBot="1">
      <c r="A97" s="523" t="s">
        <v>325</v>
      </c>
      <c r="B97" s="523"/>
      <c r="C97" s="523"/>
      <c r="D97" s="523"/>
      <c r="E97" s="523"/>
      <c r="F97" s="523"/>
      <c r="G97" s="523"/>
    </row>
    <row r="98" spans="1:7" ht="16.5" thickBot="1">
      <c r="A98" s="117" t="s">
        <v>326</v>
      </c>
      <c r="B98" s="118" t="s">
        <v>327</v>
      </c>
      <c r="C98" s="117" t="s">
        <v>4</v>
      </c>
      <c r="D98" s="117" t="s">
        <v>279</v>
      </c>
    </row>
    <row r="99" spans="1:7">
      <c r="A99" s="82" t="s">
        <v>257</v>
      </c>
      <c r="B99" s="133" t="s">
        <v>328</v>
      </c>
      <c r="C99" s="135">
        <f>((1/12)*0.05)</f>
        <v>4.1666666666666666E-3</v>
      </c>
      <c r="D99" s="104">
        <f>ROUND($D$43*C99,2)</f>
        <v>6.34</v>
      </c>
    </row>
    <row r="100" spans="1:7" ht="31.5">
      <c r="A100" s="191" t="s">
        <v>259</v>
      </c>
      <c r="B100" s="91" t="s">
        <v>329</v>
      </c>
      <c r="C100" s="136">
        <f>D100/D43</f>
        <v>3.3508541392904072E-4</v>
      </c>
      <c r="D100" s="137">
        <f>ROUND(D75*C99,2)</f>
        <v>0.51</v>
      </c>
    </row>
    <row r="101" spans="1:7">
      <c r="A101" s="191" t="s">
        <v>261</v>
      </c>
      <c r="B101" s="138" t="s">
        <v>330</v>
      </c>
      <c r="C101" s="139">
        <f>0.08*0.5*0.9*(1+(5/56)+(5/56)+(1/3)*(5/56))</f>
        <v>4.3499999999999997E-2</v>
      </c>
      <c r="D101" s="107">
        <f>ROUND($D$43*C101,2)</f>
        <v>66.209999999999994</v>
      </c>
    </row>
    <row r="102" spans="1:7">
      <c r="A102" s="191" t="s">
        <v>263</v>
      </c>
      <c r="B102" s="138" t="s">
        <v>331</v>
      </c>
      <c r="C102" s="140">
        <f>(((7/30)/12))</f>
        <v>1.9444444444444445E-2</v>
      </c>
      <c r="D102" s="107">
        <f>ROUND($D$43*C102,2)</f>
        <v>29.59</v>
      </c>
    </row>
    <row r="103" spans="1:7" ht="31.5">
      <c r="A103" s="191" t="s">
        <v>284</v>
      </c>
      <c r="B103" s="138" t="s">
        <v>332</v>
      </c>
      <c r="C103" s="141">
        <f>D103/D43</f>
        <v>7.1681997371879106E-3</v>
      </c>
      <c r="D103" s="107">
        <f>ROUND(D78*C102,2)</f>
        <v>10.91</v>
      </c>
    </row>
    <row r="104" spans="1:7" ht="16.5" thickBot="1">
      <c r="A104" s="109" t="s">
        <v>286</v>
      </c>
      <c r="B104" s="134" t="s">
        <v>333</v>
      </c>
      <c r="C104" s="142">
        <f>(40%+10%)*C75*C102</f>
        <v>7.7777777777777784E-4</v>
      </c>
      <c r="D104" s="107">
        <f>ROUND($D$43*C104,2)</f>
        <v>1.18</v>
      </c>
    </row>
    <row r="105" spans="1:7" ht="16.5" thickBot="1">
      <c r="A105" s="525" t="s">
        <v>7</v>
      </c>
      <c r="B105" s="526"/>
      <c r="C105" s="127">
        <f>SUM(C99:C104)</f>
        <v>7.5392174040005838E-2</v>
      </c>
      <c r="D105" s="143">
        <f>SUM(D99:D104)</f>
        <v>114.74</v>
      </c>
    </row>
    <row r="106" spans="1:7">
      <c r="A106" s="71"/>
    </row>
    <row r="107" spans="1:7" ht="16.5" thickBot="1">
      <c r="A107" s="523" t="s">
        <v>334</v>
      </c>
      <c r="B107" s="523"/>
      <c r="C107" s="523"/>
      <c r="D107" s="523"/>
      <c r="E107" s="523"/>
      <c r="F107" s="523"/>
      <c r="G107" s="523"/>
    </row>
    <row r="108" spans="1:7" ht="32.25" thickBot="1">
      <c r="A108" s="117" t="s">
        <v>335</v>
      </c>
      <c r="B108" s="118" t="s">
        <v>336</v>
      </c>
      <c r="C108" s="117" t="s">
        <v>4</v>
      </c>
      <c r="D108" s="117" t="s">
        <v>279</v>
      </c>
    </row>
    <row r="109" spans="1:7">
      <c r="A109" s="82" t="s">
        <v>257</v>
      </c>
      <c r="B109" s="133" t="s">
        <v>13</v>
      </c>
      <c r="C109" s="144">
        <f>(5/56)</f>
        <v>8.9285714285714288E-2</v>
      </c>
      <c r="D109" s="107">
        <f t="shared" ref="D109:D114" si="1">ROUND($D$43*C109,2)</f>
        <v>135.88999999999999</v>
      </c>
    </row>
    <row r="110" spans="1:7">
      <c r="A110" s="191" t="s">
        <v>259</v>
      </c>
      <c r="B110" s="138" t="s">
        <v>379</v>
      </c>
      <c r="C110" s="122">
        <f>(10.96/30)/12</f>
        <v>3.0444444444444444E-2</v>
      </c>
      <c r="D110" s="107">
        <f t="shared" si="1"/>
        <v>46.34</v>
      </c>
      <c r="E110" s="184"/>
    </row>
    <row r="111" spans="1:7">
      <c r="A111" s="191" t="s">
        <v>261</v>
      </c>
      <c r="B111" s="138" t="s">
        <v>337</v>
      </c>
      <c r="C111" s="122">
        <f>((5/30)/12)*0.015</f>
        <v>2.0833333333333332E-4</v>
      </c>
      <c r="D111" s="107">
        <f t="shared" si="1"/>
        <v>0.32</v>
      </c>
    </row>
    <row r="112" spans="1:7">
      <c r="A112" s="191" t="s">
        <v>263</v>
      </c>
      <c r="B112" s="138" t="s">
        <v>338</v>
      </c>
      <c r="C112" s="122">
        <f>((1/30)/12)</f>
        <v>2.7777777777777779E-3</v>
      </c>
      <c r="D112" s="107">
        <f t="shared" si="1"/>
        <v>4.2300000000000004</v>
      </c>
    </row>
    <row r="113" spans="1:7">
      <c r="A113" s="191" t="s">
        <v>284</v>
      </c>
      <c r="B113" s="138" t="s">
        <v>339</v>
      </c>
      <c r="C113" s="122">
        <f>((15/30)/12)*0.0078</f>
        <v>3.2499999999999999E-4</v>
      </c>
      <c r="D113" s="107">
        <f t="shared" si="1"/>
        <v>0.49</v>
      </c>
    </row>
    <row r="114" spans="1:7">
      <c r="A114" s="191" t="s">
        <v>286</v>
      </c>
      <c r="B114" s="138" t="s">
        <v>291</v>
      </c>
      <c r="C114" s="145"/>
      <c r="D114" s="107">
        <f t="shared" si="1"/>
        <v>0</v>
      </c>
    </row>
    <row r="115" spans="1:7">
      <c r="A115" s="532" t="s">
        <v>318</v>
      </c>
      <c r="B115" s="533"/>
      <c r="C115" s="122">
        <f>SUM(C109:C114)</f>
        <v>0.12304126984126985</v>
      </c>
      <c r="D115" s="107">
        <f>SUM(D109:D114)</f>
        <v>187.26999999999998</v>
      </c>
    </row>
    <row r="116" spans="1:7" ht="32.25" thickBot="1">
      <c r="A116" s="109" t="s">
        <v>288</v>
      </c>
      <c r="B116" s="134" t="s">
        <v>340</v>
      </c>
      <c r="C116" s="142">
        <f>D116/$D$43</f>
        <v>4.534165571616295E-2</v>
      </c>
      <c r="D116" s="107">
        <f>ROUND(D78*C115,2)</f>
        <v>69.010000000000005</v>
      </c>
    </row>
    <row r="117" spans="1:7" ht="16.5" thickBot="1">
      <c r="A117" s="525" t="s">
        <v>7</v>
      </c>
      <c r="B117" s="526"/>
      <c r="C117" s="127">
        <f>C116+C115</f>
        <v>0.16838292555743281</v>
      </c>
      <c r="D117" s="146">
        <f>D116+D115</f>
        <v>256.27999999999997</v>
      </c>
    </row>
    <row r="118" spans="1:7">
      <c r="A118" s="190" t="s">
        <v>341</v>
      </c>
    </row>
    <row r="119" spans="1:7" ht="16.5" thickBot="1">
      <c r="A119" s="522" t="s">
        <v>342</v>
      </c>
      <c r="B119" s="522"/>
      <c r="C119" s="522"/>
      <c r="D119" s="522"/>
      <c r="E119" s="522"/>
      <c r="F119" s="522"/>
      <c r="G119" s="522"/>
    </row>
    <row r="120" spans="1:7" ht="32.25" customHeight="1" thickBot="1">
      <c r="A120" s="147">
        <v>4</v>
      </c>
      <c r="B120" s="148" t="s">
        <v>343</v>
      </c>
      <c r="C120" s="149" t="s">
        <v>4</v>
      </c>
      <c r="D120" s="150" t="s">
        <v>279</v>
      </c>
    </row>
    <row r="121" spans="1:7">
      <c r="A121" s="82" t="s">
        <v>307</v>
      </c>
      <c r="B121" s="133" t="s">
        <v>344</v>
      </c>
      <c r="C121" s="142">
        <f t="shared" ref="C121:C126" si="2">D121/$D$43</f>
        <v>0.16291721419185282</v>
      </c>
      <c r="D121" s="107">
        <f>D88</f>
        <v>247.95999999999998</v>
      </c>
    </row>
    <row r="122" spans="1:7">
      <c r="A122" s="191" t="s">
        <v>314</v>
      </c>
      <c r="B122" s="138" t="s">
        <v>308</v>
      </c>
      <c r="C122" s="142">
        <f t="shared" si="2"/>
        <v>0.36849540078843629</v>
      </c>
      <c r="D122" s="107">
        <f>D78</f>
        <v>560.85</v>
      </c>
    </row>
    <row r="123" spans="1:7">
      <c r="A123" s="191" t="s">
        <v>321</v>
      </c>
      <c r="B123" s="138" t="s">
        <v>323</v>
      </c>
      <c r="C123" s="142">
        <f t="shared" si="2"/>
        <v>1.0183968462549276E-3</v>
      </c>
      <c r="D123" s="107">
        <f>D94</f>
        <v>1.5499999999999998</v>
      </c>
    </row>
    <row r="124" spans="1:7">
      <c r="A124" s="151" t="s">
        <v>326</v>
      </c>
      <c r="B124" s="152" t="s">
        <v>345</v>
      </c>
      <c r="C124" s="142">
        <f t="shared" si="2"/>
        <v>7.5387647831800256E-2</v>
      </c>
      <c r="D124" s="107">
        <f>D105</f>
        <v>114.74</v>
      </c>
    </row>
    <row r="125" spans="1:7">
      <c r="A125" s="153" t="s">
        <v>335</v>
      </c>
      <c r="B125" s="154" t="s">
        <v>346</v>
      </c>
      <c r="C125" s="142">
        <f t="shared" si="2"/>
        <v>0.1683837056504599</v>
      </c>
      <c r="D125" s="107">
        <f>D117</f>
        <v>256.27999999999997</v>
      </c>
    </row>
    <row r="126" spans="1:7" ht="16.5" thickBot="1">
      <c r="A126" s="191" t="s">
        <v>347</v>
      </c>
      <c r="B126" s="138" t="s">
        <v>291</v>
      </c>
      <c r="C126" s="142">
        <f t="shared" si="2"/>
        <v>0</v>
      </c>
      <c r="D126" s="107">
        <v>0</v>
      </c>
    </row>
    <row r="127" spans="1:7" ht="37.5" customHeight="1" thickBot="1">
      <c r="A127" s="530" t="s">
        <v>348</v>
      </c>
      <c r="B127" s="531"/>
      <c r="C127" s="127">
        <f>SUM(C121:C126)</f>
        <v>0.77620236530880427</v>
      </c>
      <c r="D127" s="113">
        <f>SUM(D121:D126)</f>
        <v>1181.3799999999999</v>
      </c>
    </row>
    <row r="128" spans="1:7">
      <c r="A128" s="155"/>
      <c r="B128" s="155"/>
      <c r="C128" s="156"/>
      <c r="D128" s="157"/>
      <c r="E128" s="158"/>
      <c r="F128" s="159"/>
      <c r="G128" s="159"/>
    </row>
    <row r="129" spans="1:8" ht="16.5" thickBot="1">
      <c r="A129" s="522" t="s">
        <v>349</v>
      </c>
      <c r="B129" s="522"/>
      <c r="C129" s="522"/>
      <c r="D129" s="522"/>
      <c r="E129" s="522"/>
      <c r="F129" s="522"/>
      <c r="G129" s="522"/>
      <c r="H129" s="160"/>
    </row>
    <row r="130" spans="1:8" ht="16.5" thickBot="1">
      <c r="A130" s="147" t="s">
        <v>350</v>
      </c>
      <c r="B130" s="148" t="s">
        <v>351</v>
      </c>
      <c r="C130" s="149" t="s">
        <v>4</v>
      </c>
      <c r="D130" s="114" t="s">
        <v>279</v>
      </c>
      <c r="E130" s="161">
        <f>D43+D54+D64+D78+D88+D94+D105+D117</f>
        <v>3194.4466666666667</v>
      </c>
      <c r="G130" s="160"/>
    </row>
    <row r="131" spans="1:8">
      <c r="A131" s="82" t="s">
        <v>257</v>
      </c>
      <c r="B131" s="133" t="s">
        <v>352</v>
      </c>
      <c r="C131" s="162">
        <v>7.0155999999999996E-2</v>
      </c>
      <c r="D131" s="163">
        <f>E130*C131</f>
        <v>224.10960034666667</v>
      </c>
      <c r="G131" s="160"/>
    </row>
    <row r="132" spans="1:8">
      <c r="A132" s="191" t="s">
        <v>259</v>
      </c>
      <c r="B132" s="138" t="s">
        <v>353</v>
      </c>
      <c r="C132" s="142"/>
      <c r="D132" s="164"/>
      <c r="F132" s="165"/>
    </row>
    <row r="133" spans="1:8">
      <c r="A133" s="191"/>
      <c r="B133" s="138" t="s">
        <v>354</v>
      </c>
      <c r="C133" s="142"/>
      <c r="D133" s="129"/>
      <c r="F133" s="182"/>
      <c r="G133" s="160"/>
    </row>
    <row r="134" spans="1:8">
      <c r="A134" s="191"/>
      <c r="B134" s="138" t="s">
        <v>355</v>
      </c>
      <c r="C134" s="142">
        <v>7.5999999999999998E-2</v>
      </c>
      <c r="D134" s="107">
        <f>$D$152*C134</f>
        <v>305.48287757119692</v>
      </c>
      <c r="E134" s="165">
        <f>D152</f>
        <v>4019.5115469894331</v>
      </c>
      <c r="G134" s="160"/>
    </row>
    <row r="135" spans="1:8">
      <c r="A135" s="191"/>
      <c r="B135" s="138" t="s">
        <v>356</v>
      </c>
      <c r="C135" s="142">
        <v>1.6500000000000001E-2</v>
      </c>
      <c r="D135" s="107">
        <f>$D$152*C135</f>
        <v>66.321940525325644</v>
      </c>
      <c r="E135" s="246"/>
      <c r="G135" s="160"/>
    </row>
    <row r="136" spans="1:8">
      <c r="A136" s="191"/>
      <c r="B136" s="138" t="s">
        <v>357</v>
      </c>
      <c r="C136" s="142"/>
      <c r="D136" s="107"/>
    </row>
    <row r="137" spans="1:8">
      <c r="A137" s="191"/>
      <c r="B137" s="138" t="s">
        <v>358</v>
      </c>
      <c r="C137" s="142">
        <v>0.04</v>
      </c>
      <c r="D137" s="107">
        <f>$D$152*C137</f>
        <v>160.78046187957733</v>
      </c>
      <c r="G137" s="160"/>
    </row>
    <row r="138" spans="1:8">
      <c r="A138" s="191"/>
      <c r="B138" s="138" t="s">
        <v>359</v>
      </c>
      <c r="C138" s="142"/>
      <c r="D138" s="107"/>
    </row>
    <row r="139" spans="1:8" ht="16.5" thickBot="1">
      <c r="A139" s="191" t="s">
        <v>261</v>
      </c>
      <c r="B139" s="138" t="s">
        <v>360</v>
      </c>
      <c r="C139" s="142">
        <v>0.02</v>
      </c>
      <c r="D139" s="107">
        <f>ROUND(E139*C139,2)</f>
        <v>68.37</v>
      </c>
      <c r="E139" s="132">
        <f>E130+D131</f>
        <v>3418.5562670133336</v>
      </c>
    </row>
    <row r="140" spans="1:8" ht="33" customHeight="1" thickBot="1">
      <c r="A140" s="527" t="s">
        <v>361</v>
      </c>
      <c r="B140" s="528"/>
      <c r="C140" s="529"/>
      <c r="D140" s="166">
        <f>D131+D134+D135+D137+D139</f>
        <v>825.0648803227665</v>
      </c>
    </row>
    <row r="141" spans="1:8">
      <c r="A141" s="522" t="s">
        <v>362</v>
      </c>
      <c r="B141" s="522"/>
      <c r="C141" s="522"/>
      <c r="D141" s="522"/>
      <c r="E141" s="522"/>
      <c r="F141" s="522"/>
      <c r="G141" s="522"/>
    </row>
    <row r="142" spans="1:8">
      <c r="A142" s="522" t="s">
        <v>363</v>
      </c>
      <c r="B142" s="522"/>
      <c r="C142" s="522"/>
      <c r="D142" s="522"/>
      <c r="E142" s="522"/>
      <c r="F142" s="522"/>
      <c r="G142" s="522"/>
    </row>
    <row r="143" spans="1:8">
      <c r="A143" s="190"/>
    </row>
    <row r="144" spans="1:8" ht="16.5" thickBot="1">
      <c r="A144" s="523" t="s">
        <v>364</v>
      </c>
      <c r="B144" s="523"/>
      <c r="C144" s="523"/>
      <c r="D144" s="523"/>
      <c r="E144" s="523"/>
      <c r="F144" s="523"/>
      <c r="G144" s="523"/>
    </row>
    <row r="145" spans="1:8" ht="32.25" customHeight="1" thickBot="1">
      <c r="A145" s="147"/>
      <c r="B145" s="524" t="s">
        <v>365</v>
      </c>
      <c r="C145" s="524"/>
      <c r="D145" s="167" t="s">
        <v>366</v>
      </c>
    </row>
    <row r="146" spans="1:8">
      <c r="A146" s="191" t="s">
        <v>257</v>
      </c>
      <c r="B146" s="138" t="s">
        <v>367</v>
      </c>
      <c r="C146" s="122">
        <f t="shared" ref="C146:C151" si="3">D146/$D$152</f>
        <v>0.378652973677849</v>
      </c>
      <c r="D146" s="129">
        <f>D43</f>
        <v>1522</v>
      </c>
    </row>
    <row r="147" spans="1:8">
      <c r="A147" s="191" t="s">
        <v>259</v>
      </c>
      <c r="B147" s="138" t="s">
        <v>368</v>
      </c>
      <c r="C147" s="122">
        <f t="shared" si="3"/>
        <v>0.11192902290253894</v>
      </c>
      <c r="D147" s="129">
        <f>D54</f>
        <v>449.9</v>
      </c>
    </row>
    <row r="148" spans="1:8" ht="31.5">
      <c r="A148" s="191" t="s">
        <v>261</v>
      </c>
      <c r="B148" s="138" t="s">
        <v>369</v>
      </c>
      <c r="C148" s="122">
        <f t="shared" si="3"/>
        <v>1.0241708771181418E-2</v>
      </c>
      <c r="D148" s="129">
        <f>D64</f>
        <v>41.166666666666664</v>
      </c>
      <c r="E148" s="165">
        <f>D150+D131+D139</f>
        <v>3486.9262670133335</v>
      </c>
    </row>
    <row r="149" spans="1:8" ht="31.5">
      <c r="A149" s="191" t="s">
        <v>263</v>
      </c>
      <c r="B149" s="138" t="s">
        <v>370</v>
      </c>
      <c r="C149" s="122">
        <f t="shared" si="3"/>
        <v>0.29391133379995876</v>
      </c>
      <c r="D149" s="129">
        <f>D127</f>
        <v>1181.3799999999999</v>
      </c>
      <c r="E149" s="174">
        <f>C137+C135+C134</f>
        <v>0.13250000000000001</v>
      </c>
    </row>
    <row r="150" spans="1:8" ht="16.5" customHeight="1">
      <c r="A150" s="168" t="s">
        <v>371</v>
      </c>
      <c r="B150" s="169"/>
      <c r="C150" s="131">
        <f t="shared" si="3"/>
        <v>0.79473503915152821</v>
      </c>
      <c r="D150" s="170">
        <f>SUM(D146:D149)</f>
        <v>3194.4466666666667</v>
      </c>
      <c r="E150" s="174">
        <f>100%-E149</f>
        <v>0.86749999999999994</v>
      </c>
    </row>
    <row r="151" spans="1:8" ht="32.25" thickBot="1">
      <c r="A151" s="191" t="s">
        <v>284</v>
      </c>
      <c r="B151" s="138" t="s">
        <v>372</v>
      </c>
      <c r="C151" s="122">
        <f t="shared" si="3"/>
        <v>0.20526496084847184</v>
      </c>
      <c r="D151" s="129">
        <f>D140</f>
        <v>825.0648803227665</v>
      </c>
      <c r="G151" s="171"/>
    </row>
    <row r="152" spans="1:8" ht="16.5" customHeight="1" thickBot="1">
      <c r="A152" s="525" t="s">
        <v>373</v>
      </c>
      <c r="B152" s="526"/>
      <c r="C152" s="127">
        <f>C151+C150</f>
        <v>1</v>
      </c>
      <c r="D152" s="166">
        <f>(D150+D139+D131)/0.8675</f>
        <v>4019.5115469894331</v>
      </c>
      <c r="E152" s="171"/>
      <c r="F152" s="165">
        <f>D150+D151</f>
        <v>4019.5115469894331</v>
      </c>
      <c r="H152" s="172"/>
    </row>
    <row r="153" spans="1:8">
      <c r="E153" s="171"/>
    </row>
    <row r="154" spans="1:8">
      <c r="A154" s="186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1.299212598425197" right="0.51181102362204722" top="2.1653543307086616" bottom="0.98425196850393704" header="0.31496062992125984" footer="0.31496062992125984"/>
  <pageSetup paperSize="9" scale="79" fitToHeight="4" orientation="portrait" r:id="rId1"/>
  <headerFooter alignWithMargins="0"/>
  <rowBreaks count="3" manualBreakCount="3">
    <brk id="43" max="3" man="1"/>
    <brk id="88" max="3" man="1"/>
    <brk id="128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154"/>
  <sheetViews>
    <sheetView showGridLines="0" view="pageBreakPreview" zoomScale="90" zoomScaleSheetLayoutView="90" workbookViewId="0">
      <selection activeCell="E135" sqref="E135"/>
    </sheetView>
  </sheetViews>
  <sheetFormatPr defaultRowHeight="15.75"/>
  <cols>
    <col min="1" max="1" width="9.28515625" style="53" customWidth="1"/>
    <col min="2" max="2" width="39.85546875" style="53" customWidth="1"/>
    <col min="3" max="3" width="18.28515625" style="53" customWidth="1"/>
    <col min="4" max="4" width="23.85546875" style="53" customWidth="1"/>
    <col min="5" max="5" width="16" style="53" bestFit="1" customWidth="1"/>
    <col min="6" max="6" width="13.7109375" style="53" bestFit="1" customWidth="1"/>
    <col min="7" max="7" width="15.7109375" style="53" bestFit="1" customWidth="1"/>
    <col min="8" max="8" width="13.140625" style="53" bestFit="1" customWidth="1"/>
    <col min="9" max="9" width="11.85546875" style="53" bestFit="1" customWidth="1"/>
    <col min="10" max="10" width="12.85546875" style="53" bestFit="1" customWidth="1"/>
    <col min="11" max="256" width="9.140625" style="53"/>
    <col min="257" max="257" width="9.28515625" style="53" customWidth="1"/>
    <col min="258" max="258" width="39.85546875" style="53" customWidth="1"/>
    <col min="259" max="259" width="18.28515625" style="53" customWidth="1"/>
    <col min="260" max="260" width="23.85546875" style="53" customWidth="1"/>
    <col min="261" max="261" width="16" style="53" bestFit="1" customWidth="1"/>
    <col min="262" max="262" width="13.7109375" style="53" bestFit="1" customWidth="1"/>
    <col min="263" max="263" width="15.7109375" style="53" bestFit="1" customWidth="1"/>
    <col min="264" max="264" width="13.140625" style="53" bestFit="1" customWidth="1"/>
    <col min="265" max="265" width="11.85546875" style="53" bestFit="1" customWidth="1"/>
    <col min="266" max="266" width="12.85546875" style="53" bestFit="1" customWidth="1"/>
    <col min="267" max="512" width="9.140625" style="53"/>
    <col min="513" max="513" width="9.28515625" style="53" customWidth="1"/>
    <col min="514" max="514" width="39.85546875" style="53" customWidth="1"/>
    <col min="515" max="515" width="18.28515625" style="53" customWidth="1"/>
    <col min="516" max="516" width="23.85546875" style="53" customWidth="1"/>
    <col min="517" max="517" width="16" style="53" bestFit="1" customWidth="1"/>
    <col min="518" max="518" width="13.7109375" style="53" bestFit="1" customWidth="1"/>
    <col min="519" max="519" width="15.7109375" style="53" bestFit="1" customWidth="1"/>
    <col min="520" max="520" width="13.140625" style="53" bestFit="1" customWidth="1"/>
    <col min="521" max="521" width="11.85546875" style="53" bestFit="1" customWidth="1"/>
    <col min="522" max="522" width="12.85546875" style="53" bestFit="1" customWidth="1"/>
    <col min="523" max="768" width="9.140625" style="53"/>
    <col min="769" max="769" width="9.28515625" style="53" customWidth="1"/>
    <col min="770" max="770" width="39.85546875" style="53" customWidth="1"/>
    <col min="771" max="771" width="18.28515625" style="53" customWidth="1"/>
    <col min="772" max="772" width="23.85546875" style="53" customWidth="1"/>
    <col min="773" max="773" width="16" style="53" bestFit="1" customWidth="1"/>
    <col min="774" max="774" width="13.7109375" style="53" bestFit="1" customWidth="1"/>
    <col min="775" max="775" width="15.7109375" style="53" bestFit="1" customWidth="1"/>
    <col min="776" max="776" width="13.140625" style="53" bestFit="1" customWidth="1"/>
    <col min="777" max="777" width="11.85546875" style="53" bestFit="1" customWidth="1"/>
    <col min="778" max="778" width="12.85546875" style="53" bestFit="1" customWidth="1"/>
    <col min="779" max="1024" width="9.140625" style="53"/>
    <col min="1025" max="1025" width="9.28515625" style="53" customWidth="1"/>
    <col min="1026" max="1026" width="39.85546875" style="53" customWidth="1"/>
    <col min="1027" max="1027" width="18.28515625" style="53" customWidth="1"/>
    <col min="1028" max="1028" width="23.85546875" style="53" customWidth="1"/>
    <col min="1029" max="1029" width="16" style="53" bestFit="1" customWidth="1"/>
    <col min="1030" max="1030" width="13.7109375" style="53" bestFit="1" customWidth="1"/>
    <col min="1031" max="1031" width="15.7109375" style="53" bestFit="1" customWidth="1"/>
    <col min="1032" max="1032" width="13.140625" style="53" bestFit="1" customWidth="1"/>
    <col min="1033" max="1033" width="11.85546875" style="53" bestFit="1" customWidth="1"/>
    <col min="1034" max="1034" width="12.85546875" style="53" bestFit="1" customWidth="1"/>
    <col min="1035" max="1280" width="9.140625" style="53"/>
    <col min="1281" max="1281" width="9.28515625" style="53" customWidth="1"/>
    <col min="1282" max="1282" width="39.85546875" style="53" customWidth="1"/>
    <col min="1283" max="1283" width="18.28515625" style="53" customWidth="1"/>
    <col min="1284" max="1284" width="23.85546875" style="53" customWidth="1"/>
    <col min="1285" max="1285" width="16" style="53" bestFit="1" customWidth="1"/>
    <col min="1286" max="1286" width="13.7109375" style="53" bestFit="1" customWidth="1"/>
    <col min="1287" max="1287" width="15.7109375" style="53" bestFit="1" customWidth="1"/>
    <col min="1288" max="1288" width="13.140625" style="53" bestFit="1" customWidth="1"/>
    <col min="1289" max="1289" width="11.85546875" style="53" bestFit="1" customWidth="1"/>
    <col min="1290" max="1290" width="12.85546875" style="53" bestFit="1" customWidth="1"/>
    <col min="1291" max="1536" width="9.140625" style="53"/>
    <col min="1537" max="1537" width="9.28515625" style="53" customWidth="1"/>
    <col min="1538" max="1538" width="39.85546875" style="53" customWidth="1"/>
    <col min="1539" max="1539" width="18.28515625" style="53" customWidth="1"/>
    <col min="1540" max="1540" width="23.85546875" style="53" customWidth="1"/>
    <col min="1541" max="1541" width="16" style="53" bestFit="1" customWidth="1"/>
    <col min="1542" max="1542" width="13.7109375" style="53" bestFit="1" customWidth="1"/>
    <col min="1543" max="1543" width="15.7109375" style="53" bestFit="1" customWidth="1"/>
    <col min="1544" max="1544" width="13.140625" style="53" bestFit="1" customWidth="1"/>
    <col min="1545" max="1545" width="11.85546875" style="53" bestFit="1" customWidth="1"/>
    <col min="1546" max="1546" width="12.85546875" style="53" bestFit="1" customWidth="1"/>
    <col min="1547" max="1792" width="9.140625" style="53"/>
    <col min="1793" max="1793" width="9.28515625" style="53" customWidth="1"/>
    <col min="1794" max="1794" width="39.85546875" style="53" customWidth="1"/>
    <col min="1795" max="1795" width="18.28515625" style="53" customWidth="1"/>
    <col min="1796" max="1796" width="23.85546875" style="53" customWidth="1"/>
    <col min="1797" max="1797" width="16" style="53" bestFit="1" customWidth="1"/>
    <col min="1798" max="1798" width="13.7109375" style="53" bestFit="1" customWidth="1"/>
    <col min="1799" max="1799" width="15.7109375" style="53" bestFit="1" customWidth="1"/>
    <col min="1800" max="1800" width="13.140625" style="53" bestFit="1" customWidth="1"/>
    <col min="1801" max="1801" width="11.85546875" style="53" bestFit="1" customWidth="1"/>
    <col min="1802" max="1802" width="12.85546875" style="53" bestFit="1" customWidth="1"/>
    <col min="1803" max="2048" width="9.140625" style="53"/>
    <col min="2049" max="2049" width="9.28515625" style="53" customWidth="1"/>
    <col min="2050" max="2050" width="39.85546875" style="53" customWidth="1"/>
    <col min="2051" max="2051" width="18.28515625" style="53" customWidth="1"/>
    <col min="2052" max="2052" width="23.85546875" style="53" customWidth="1"/>
    <col min="2053" max="2053" width="16" style="53" bestFit="1" customWidth="1"/>
    <col min="2054" max="2054" width="13.7109375" style="53" bestFit="1" customWidth="1"/>
    <col min="2055" max="2055" width="15.7109375" style="53" bestFit="1" customWidth="1"/>
    <col min="2056" max="2056" width="13.140625" style="53" bestFit="1" customWidth="1"/>
    <col min="2057" max="2057" width="11.85546875" style="53" bestFit="1" customWidth="1"/>
    <col min="2058" max="2058" width="12.85546875" style="53" bestFit="1" customWidth="1"/>
    <col min="2059" max="2304" width="9.140625" style="53"/>
    <col min="2305" max="2305" width="9.28515625" style="53" customWidth="1"/>
    <col min="2306" max="2306" width="39.85546875" style="53" customWidth="1"/>
    <col min="2307" max="2307" width="18.28515625" style="53" customWidth="1"/>
    <col min="2308" max="2308" width="23.85546875" style="53" customWidth="1"/>
    <col min="2309" max="2309" width="16" style="53" bestFit="1" customWidth="1"/>
    <col min="2310" max="2310" width="13.7109375" style="53" bestFit="1" customWidth="1"/>
    <col min="2311" max="2311" width="15.7109375" style="53" bestFit="1" customWidth="1"/>
    <col min="2312" max="2312" width="13.140625" style="53" bestFit="1" customWidth="1"/>
    <col min="2313" max="2313" width="11.85546875" style="53" bestFit="1" customWidth="1"/>
    <col min="2314" max="2314" width="12.85546875" style="53" bestFit="1" customWidth="1"/>
    <col min="2315" max="2560" width="9.140625" style="53"/>
    <col min="2561" max="2561" width="9.28515625" style="53" customWidth="1"/>
    <col min="2562" max="2562" width="39.85546875" style="53" customWidth="1"/>
    <col min="2563" max="2563" width="18.28515625" style="53" customWidth="1"/>
    <col min="2564" max="2564" width="23.85546875" style="53" customWidth="1"/>
    <col min="2565" max="2565" width="16" style="53" bestFit="1" customWidth="1"/>
    <col min="2566" max="2566" width="13.7109375" style="53" bestFit="1" customWidth="1"/>
    <col min="2567" max="2567" width="15.7109375" style="53" bestFit="1" customWidth="1"/>
    <col min="2568" max="2568" width="13.140625" style="53" bestFit="1" customWidth="1"/>
    <col min="2569" max="2569" width="11.85546875" style="53" bestFit="1" customWidth="1"/>
    <col min="2570" max="2570" width="12.85546875" style="53" bestFit="1" customWidth="1"/>
    <col min="2571" max="2816" width="9.140625" style="53"/>
    <col min="2817" max="2817" width="9.28515625" style="53" customWidth="1"/>
    <col min="2818" max="2818" width="39.85546875" style="53" customWidth="1"/>
    <col min="2819" max="2819" width="18.28515625" style="53" customWidth="1"/>
    <col min="2820" max="2820" width="23.85546875" style="53" customWidth="1"/>
    <col min="2821" max="2821" width="16" style="53" bestFit="1" customWidth="1"/>
    <col min="2822" max="2822" width="13.7109375" style="53" bestFit="1" customWidth="1"/>
    <col min="2823" max="2823" width="15.7109375" style="53" bestFit="1" customWidth="1"/>
    <col min="2824" max="2824" width="13.140625" style="53" bestFit="1" customWidth="1"/>
    <col min="2825" max="2825" width="11.85546875" style="53" bestFit="1" customWidth="1"/>
    <col min="2826" max="2826" width="12.85546875" style="53" bestFit="1" customWidth="1"/>
    <col min="2827" max="3072" width="9.140625" style="53"/>
    <col min="3073" max="3073" width="9.28515625" style="53" customWidth="1"/>
    <col min="3074" max="3074" width="39.85546875" style="53" customWidth="1"/>
    <col min="3075" max="3075" width="18.28515625" style="53" customWidth="1"/>
    <col min="3076" max="3076" width="23.85546875" style="53" customWidth="1"/>
    <col min="3077" max="3077" width="16" style="53" bestFit="1" customWidth="1"/>
    <col min="3078" max="3078" width="13.7109375" style="53" bestFit="1" customWidth="1"/>
    <col min="3079" max="3079" width="15.7109375" style="53" bestFit="1" customWidth="1"/>
    <col min="3080" max="3080" width="13.140625" style="53" bestFit="1" customWidth="1"/>
    <col min="3081" max="3081" width="11.85546875" style="53" bestFit="1" customWidth="1"/>
    <col min="3082" max="3082" width="12.85546875" style="53" bestFit="1" customWidth="1"/>
    <col min="3083" max="3328" width="9.140625" style="53"/>
    <col min="3329" max="3329" width="9.28515625" style="53" customWidth="1"/>
    <col min="3330" max="3330" width="39.85546875" style="53" customWidth="1"/>
    <col min="3331" max="3331" width="18.28515625" style="53" customWidth="1"/>
    <col min="3332" max="3332" width="23.85546875" style="53" customWidth="1"/>
    <col min="3333" max="3333" width="16" style="53" bestFit="1" customWidth="1"/>
    <col min="3334" max="3334" width="13.7109375" style="53" bestFit="1" customWidth="1"/>
    <col min="3335" max="3335" width="15.7109375" style="53" bestFit="1" customWidth="1"/>
    <col min="3336" max="3336" width="13.140625" style="53" bestFit="1" customWidth="1"/>
    <col min="3337" max="3337" width="11.85546875" style="53" bestFit="1" customWidth="1"/>
    <col min="3338" max="3338" width="12.85546875" style="53" bestFit="1" customWidth="1"/>
    <col min="3339" max="3584" width="9.140625" style="53"/>
    <col min="3585" max="3585" width="9.28515625" style="53" customWidth="1"/>
    <col min="3586" max="3586" width="39.85546875" style="53" customWidth="1"/>
    <col min="3587" max="3587" width="18.28515625" style="53" customWidth="1"/>
    <col min="3588" max="3588" width="23.85546875" style="53" customWidth="1"/>
    <col min="3589" max="3589" width="16" style="53" bestFit="1" customWidth="1"/>
    <col min="3590" max="3590" width="13.7109375" style="53" bestFit="1" customWidth="1"/>
    <col min="3591" max="3591" width="15.7109375" style="53" bestFit="1" customWidth="1"/>
    <col min="3592" max="3592" width="13.140625" style="53" bestFit="1" customWidth="1"/>
    <col min="3593" max="3593" width="11.85546875" style="53" bestFit="1" customWidth="1"/>
    <col min="3594" max="3594" width="12.85546875" style="53" bestFit="1" customWidth="1"/>
    <col min="3595" max="3840" width="9.140625" style="53"/>
    <col min="3841" max="3841" width="9.28515625" style="53" customWidth="1"/>
    <col min="3842" max="3842" width="39.85546875" style="53" customWidth="1"/>
    <col min="3843" max="3843" width="18.28515625" style="53" customWidth="1"/>
    <col min="3844" max="3844" width="23.85546875" style="53" customWidth="1"/>
    <col min="3845" max="3845" width="16" style="53" bestFit="1" customWidth="1"/>
    <col min="3846" max="3846" width="13.7109375" style="53" bestFit="1" customWidth="1"/>
    <col min="3847" max="3847" width="15.7109375" style="53" bestFit="1" customWidth="1"/>
    <col min="3848" max="3848" width="13.140625" style="53" bestFit="1" customWidth="1"/>
    <col min="3849" max="3849" width="11.85546875" style="53" bestFit="1" customWidth="1"/>
    <col min="3850" max="3850" width="12.85546875" style="53" bestFit="1" customWidth="1"/>
    <col min="3851" max="4096" width="9.140625" style="53"/>
    <col min="4097" max="4097" width="9.28515625" style="53" customWidth="1"/>
    <col min="4098" max="4098" width="39.85546875" style="53" customWidth="1"/>
    <col min="4099" max="4099" width="18.28515625" style="53" customWidth="1"/>
    <col min="4100" max="4100" width="23.85546875" style="53" customWidth="1"/>
    <col min="4101" max="4101" width="16" style="53" bestFit="1" customWidth="1"/>
    <col min="4102" max="4102" width="13.7109375" style="53" bestFit="1" customWidth="1"/>
    <col min="4103" max="4103" width="15.7109375" style="53" bestFit="1" customWidth="1"/>
    <col min="4104" max="4104" width="13.140625" style="53" bestFit="1" customWidth="1"/>
    <col min="4105" max="4105" width="11.85546875" style="53" bestFit="1" customWidth="1"/>
    <col min="4106" max="4106" width="12.85546875" style="53" bestFit="1" customWidth="1"/>
    <col min="4107" max="4352" width="9.140625" style="53"/>
    <col min="4353" max="4353" width="9.28515625" style="53" customWidth="1"/>
    <col min="4354" max="4354" width="39.85546875" style="53" customWidth="1"/>
    <col min="4355" max="4355" width="18.28515625" style="53" customWidth="1"/>
    <col min="4356" max="4356" width="23.85546875" style="53" customWidth="1"/>
    <col min="4357" max="4357" width="16" style="53" bestFit="1" customWidth="1"/>
    <col min="4358" max="4358" width="13.7109375" style="53" bestFit="1" customWidth="1"/>
    <col min="4359" max="4359" width="15.7109375" style="53" bestFit="1" customWidth="1"/>
    <col min="4360" max="4360" width="13.140625" style="53" bestFit="1" customWidth="1"/>
    <col min="4361" max="4361" width="11.85546875" style="53" bestFit="1" customWidth="1"/>
    <col min="4362" max="4362" width="12.85546875" style="53" bestFit="1" customWidth="1"/>
    <col min="4363" max="4608" width="9.140625" style="53"/>
    <col min="4609" max="4609" width="9.28515625" style="53" customWidth="1"/>
    <col min="4610" max="4610" width="39.85546875" style="53" customWidth="1"/>
    <col min="4611" max="4611" width="18.28515625" style="53" customWidth="1"/>
    <col min="4612" max="4612" width="23.85546875" style="53" customWidth="1"/>
    <col min="4613" max="4613" width="16" style="53" bestFit="1" customWidth="1"/>
    <col min="4614" max="4614" width="13.7109375" style="53" bestFit="1" customWidth="1"/>
    <col min="4615" max="4615" width="15.7109375" style="53" bestFit="1" customWidth="1"/>
    <col min="4616" max="4616" width="13.140625" style="53" bestFit="1" customWidth="1"/>
    <col min="4617" max="4617" width="11.85546875" style="53" bestFit="1" customWidth="1"/>
    <col min="4618" max="4618" width="12.85546875" style="53" bestFit="1" customWidth="1"/>
    <col min="4619" max="4864" width="9.140625" style="53"/>
    <col min="4865" max="4865" width="9.28515625" style="53" customWidth="1"/>
    <col min="4866" max="4866" width="39.85546875" style="53" customWidth="1"/>
    <col min="4867" max="4867" width="18.28515625" style="53" customWidth="1"/>
    <col min="4868" max="4868" width="23.85546875" style="53" customWidth="1"/>
    <col min="4869" max="4869" width="16" style="53" bestFit="1" customWidth="1"/>
    <col min="4870" max="4870" width="13.7109375" style="53" bestFit="1" customWidth="1"/>
    <col min="4871" max="4871" width="15.7109375" style="53" bestFit="1" customWidth="1"/>
    <col min="4872" max="4872" width="13.140625" style="53" bestFit="1" customWidth="1"/>
    <col min="4873" max="4873" width="11.85546875" style="53" bestFit="1" customWidth="1"/>
    <col min="4874" max="4874" width="12.85546875" style="53" bestFit="1" customWidth="1"/>
    <col min="4875" max="5120" width="9.140625" style="53"/>
    <col min="5121" max="5121" width="9.28515625" style="53" customWidth="1"/>
    <col min="5122" max="5122" width="39.85546875" style="53" customWidth="1"/>
    <col min="5123" max="5123" width="18.28515625" style="53" customWidth="1"/>
    <col min="5124" max="5124" width="23.85546875" style="53" customWidth="1"/>
    <col min="5125" max="5125" width="16" style="53" bestFit="1" customWidth="1"/>
    <col min="5126" max="5126" width="13.7109375" style="53" bestFit="1" customWidth="1"/>
    <col min="5127" max="5127" width="15.7109375" style="53" bestFit="1" customWidth="1"/>
    <col min="5128" max="5128" width="13.140625" style="53" bestFit="1" customWidth="1"/>
    <col min="5129" max="5129" width="11.85546875" style="53" bestFit="1" customWidth="1"/>
    <col min="5130" max="5130" width="12.85546875" style="53" bestFit="1" customWidth="1"/>
    <col min="5131" max="5376" width="9.140625" style="53"/>
    <col min="5377" max="5377" width="9.28515625" style="53" customWidth="1"/>
    <col min="5378" max="5378" width="39.85546875" style="53" customWidth="1"/>
    <col min="5379" max="5379" width="18.28515625" style="53" customWidth="1"/>
    <col min="5380" max="5380" width="23.85546875" style="53" customWidth="1"/>
    <col min="5381" max="5381" width="16" style="53" bestFit="1" customWidth="1"/>
    <col min="5382" max="5382" width="13.7109375" style="53" bestFit="1" customWidth="1"/>
    <col min="5383" max="5383" width="15.7109375" style="53" bestFit="1" customWidth="1"/>
    <col min="5384" max="5384" width="13.140625" style="53" bestFit="1" customWidth="1"/>
    <col min="5385" max="5385" width="11.85546875" style="53" bestFit="1" customWidth="1"/>
    <col min="5386" max="5386" width="12.85546875" style="53" bestFit="1" customWidth="1"/>
    <col min="5387" max="5632" width="9.140625" style="53"/>
    <col min="5633" max="5633" width="9.28515625" style="53" customWidth="1"/>
    <col min="5634" max="5634" width="39.85546875" style="53" customWidth="1"/>
    <col min="5635" max="5635" width="18.28515625" style="53" customWidth="1"/>
    <col min="5636" max="5636" width="23.85546875" style="53" customWidth="1"/>
    <col min="5637" max="5637" width="16" style="53" bestFit="1" customWidth="1"/>
    <col min="5638" max="5638" width="13.7109375" style="53" bestFit="1" customWidth="1"/>
    <col min="5639" max="5639" width="15.7109375" style="53" bestFit="1" customWidth="1"/>
    <col min="5640" max="5640" width="13.140625" style="53" bestFit="1" customWidth="1"/>
    <col min="5641" max="5641" width="11.85546875" style="53" bestFit="1" customWidth="1"/>
    <col min="5642" max="5642" width="12.85546875" style="53" bestFit="1" customWidth="1"/>
    <col min="5643" max="5888" width="9.140625" style="53"/>
    <col min="5889" max="5889" width="9.28515625" style="53" customWidth="1"/>
    <col min="5890" max="5890" width="39.85546875" style="53" customWidth="1"/>
    <col min="5891" max="5891" width="18.28515625" style="53" customWidth="1"/>
    <col min="5892" max="5892" width="23.85546875" style="53" customWidth="1"/>
    <col min="5893" max="5893" width="16" style="53" bestFit="1" customWidth="1"/>
    <col min="5894" max="5894" width="13.7109375" style="53" bestFit="1" customWidth="1"/>
    <col min="5895" max="5895" width="15.7109375" style="53" bestFit="1" customWidth="1"/>
    <col min="5896" max="5896" width="13.140625" style="53" bestFit="1" customWidth="1"/>
    <col min="5897" max="5897" width="11.85546875" style="53" bestFit="1" customWidth="1"/>
    <col min="5898" max="5898" width="12.85546875" style="53" bestFit="1" customWidth="1"/>
    <col min="5899" max="6144" width="9.140625" style="53"/>
    <col min="6145" max="6145" width="9.28515625" style="53" customWidth="1"/>
    <col min="6146" max="6146" width="39.85546875" style="53" customWidth="1"/>
    <col min="6147" max="6147" width="18.28515625" style="53" customWidth="1"/>
    <col min="6148" max="6148" width="23.85546875" style="53" customWidth="1"/>
    <col min="6149" max="6149" width="16" style="53" bestFit="1" customWidth="1"/>
    <col min="6150" max="6150" width="13.7109375" style="53" bestFit="1" customWidth="1"/>
    <col min="6151" max="6151" width="15.7109375" style="53" bestFit="1" customWidth="1"/>
    <col min="6152" max="6152" width="13.140625" style="53" bestFit="1" customWidth="1"/>
    <col min="6153" max="6153" width="11.85546875" style="53" bestFit="1" customWidth="1"/>
    <col min="6154" max="6154" width="12.85546875" style="53" bestFit="1" customWidth="1"/>
    <col min="6155" max="6400" width="9.140625" style="53"/>
    <col min="6401" max="6401" width="9.28515625" style="53" customWidth="1"/>
    <col min="6402" max="6402" width="39.85546875" style="53" customWidth="1"/>
    <col min="6403" max="6403" width="18.28515625" style="53" customWidth="1"/>
    <col min="6404" max="6404" width="23.85546875" style="53" customWidth="1"/>
    <col min="6405" max="6405" width="16" style="53" bestFit="1" customWidth="1"/>
    <col min="6406" max="6406" width="13.7109375" style="53" bestFit="1" customWidth="1"/>
    <col min="6407" max="6407" width="15.7109375" style="53" bestFit="1" customWidth="1"/>
    <col min="6408" max="6408" width="13.140625" style="53" bestFit="1" customWidth="1"/>
    <col min="6409" max="6409" width="11.85546875" style="53" bestFit="1" customWidth="1"/>
    <col min="6410" max="6410" width="12.85546875" style="53" bestFit="1" customWidth="1"/>
    <col min="6411" max="6656" width="9.140625" style="53"/>
    <col min="6657" max="6657" width="9.28515625" style="53" customWidth="1"/>
    <col min="6658" max="6658" width="39.85546875" style="53" customWidth="1"/>
    <col min="6659" max="6659" width="18.28515625" style="53" customWidth="1"/>
    <col min="6660" max="6660" width="23.85546875" style="53" customWidth="1"/>
    <col min="6661" max="6661" width="16" style="53" bestFit="1" customWidth="1"/>
    <col min="6662" max="6662" width="13.7109375" style="53" bestFit="1" customWidth="1"/>
    <col min="6663" max="6663" width="15.7109375" style="53" bestFit="1" customWidth="1"/>
    <col min="6664" max="6664" width="13.140625" style="53" bestFit="1" customWidth="1"/>
    <col min="6665" max="6665" width="11.85546875" style="53" bestFit="1" customWidth="1"/>
    <col min="6666" max="6666" width="12.85546875" style="53" bestFit="1" customWidth="1"/>
    <col min="6667" max="6912" width="9.140625" style="53"/>
    <col min="6913" max="6913" width="9.28515625" style="53" customWidth="1"/>
    <col min="6914" max="6914" width="39.85546875" style="53" customWidth="1"/>
    <col min="6915" max="6915" width="18.28515625" style="53" customWidth="1"/>
    <col min="6916" max="6916" width="23.85546875" style="53" customWidth="1"/>
    <col min="6917" max="6917" width="16" style="53" bestFit="1" customWidth="1"/>
    <col min="6918" max="6918" width="13.7109375" style="53" bestFit="1" customWidth="1"/>
    <col min="6919" max="6919" width="15.7109375" style="53" bestFit="1" customWidth="1"/>
    <col min="6920" max="6920" width="13.140625" style="53" bestFit="1" customWidth="1"/>
    <col min="6921" max="6921" width="11.85546875" style="53" bestFit="1" customWidth="1"/>
    <col min="6922" max="6922" width="12.85546875" style="53" bestFit="1" customWidth="1"/>
    <col min="6923" max="7168" width="9.140625" style="53"/>
    <col min="7169" max="7169" width="9.28515625" style="53" customWidth="1"/>
    <col min="7170" max="7170" width="39.85546875" style="53" customWidth="1"/>
    <col min="7171" max="7171" width="18.28515625" style="53" customWidth="1"/>
    <col min="7172" max="7172" width="23.85546875" style="53" customWidth="1"/>
    <col min="7173" max="7173" width="16" style="53" bestFit="1" customWidth="1"/>
    <col min="7174" max="7174" width="13.7109375" style="53" bestFit="1" customWidth="1"/>
    <col min="7175" max="7175" width="15.7109375" style="53" bestFit="1" customWidth="1"/>
    <col min="7176" max="7176" width="13.140625" style="53" bestFit="1" customWidth="1"/>
    <col min="7177" max="7177" width="11.85546875" style="53" bestFit="1" customWidth="1"/>
    <col min="7178" max="7178" width="12.85546875" style="53" bestFit="1" customWidth="1"/>
    <col min="7179" max="7424" width="9.140625" style="53"/>
    <col min="7425" max="7425" width="9.28515625" style="53" customWidth="1"/>
    <col min="7426" max="7426" width="39.85546875" style="53" customWidth="1"/>
    <col min="7427" max="7427" width="18.28515625" style="53" customWidth="1"/>
    <col min="7428" max="7428" width="23.85546875" style="53" customWidth="1"/>
    <col min="7429" max="7429" width="16" style="53" bestFit="1" customWidth="1"/>
    <col min="7430" max="7430" width="13.7109375" style="53" bestFit="1" customWidth="1"/>
    <col min="7431" max="7431" width="15.7109375" style="53" bestFit="1" customWidth="1"/>
    <col min="7432" max="7432" width="13.140625" style="53" bestFit="1" customWidth="1"/>
    <col min="7433" max="7433" width="11.85546875" style="53" bestFit="1" customWidth="1"/>
    <col min="7434" max="7434" width="12.85546875" style="53" bestFit="1" customWidth="1"/>
    <col min="7435" max="7680" width="9.140625" style="53"/>
    <col min="7681" max="7681" width="9.28515625" style="53" customWidth="1"/>
    <col min="7682" max="7682" width="39.85546875" style="53" customWidth="1"/>
    <col min="7683" max="7683" width="18.28515625" style="53" customWidth="1"/>
    <col min="7684" max="7684" width="23.85546875" style="53" customWidth="1"/>
    <col min="7685" max="7685" width="16" style="53" bestFit="1" customWidth="1"/>
    <col min="7686" max="7686" width="13.7109375" style="53" bestFit="1" customWidth="1"/>
    <col min="7687" max="7687" width="15.7109375" style="53" bestFit="1" customWidth="1"/>
    <col min="7688" max="7688" width="13.140625" style="53" bestFit="1" customWidth="1"/>
    <col min="7689" max="7689" width="11.85546875" style="53" bestFit="1" customWidth="1"/>
    <col min="7690" max="7690" width="12.85546875" style="53" bestFit="1" customWidth="1"/>
    <col min="7691" max="7936" width="9.140625" style="53"/>
    <col min="7937" max="7937" width="9.28515625" style="53" customWidth="1"/>
    <col min="7938" max="7938" width="39.85546875" style="53" customWidth="1"/>
    <col min="7939" max="7939" width="18.28515625" style="53" customWidth="1"/>
    <col min="7940" max="7940" width="23.85546875" style="53" customWidth="1"/>
    <col min="7941" max="7941" width="16" style="53" bestFit="1" customWidth="1"/>
    <col min="7942" max="7942" width="13.7109375" style="53" bestFit="1" customWidth="1"/>
    <col min="7943" max="7943" width="15.7109375" style="53" bestFit="1" customWidth="1"/>
    <col min="7944" max="7944" width="13.140625" style="53" bestFit="1" customWidth="1"/>
    <col min="7945" max="7945" width="11.85546875" style="53" bestFit="1" customWidth="1"/>
    <col min="7946" max="7946" width="12.85546875" style="53" bestFit="1" customWidth="1"/>
    <col min="7947" max="8192" width="9.140625" style="53"/>
    <col min="8193" max="8193" width="9.28515625" style="53" customWidth="1"/>
    <col min="8194" max="8194" width="39.85546875" style="53" customWidth="1"/>
    <col min="8195" max="8195" width="18.28515625" style="53" customWidth="1"/>
    <col min="8196" max="8196" width="23.85546875" style="53" customWidth="1"/>
    <col min="8197" max="8197" width="16" style="53" bestFit="1" customWidth="1"/>
    <col min="8198" max="8198" width="13.7109375" style="53" bestFit="1" customWidth="1"/>
    <col min="8199" max="8199" width="15.7109375" style="53" bestFit="1" customWidth="1"/>
    <col min="8200" max="8200" width="13.140625" style="53" bestFit="1" customWidth="1"/>
    <col min="8201" max="8201" width="11.85546875" style="53" bestFit="1" customWidth="1"/>
    <col min="8202" max="8202" width="12.85546875" style="53" bestFit="1" customWidth="1"/>
    <col min="8203" max="8448" width="9.140625" style="53"/>
    <col min="8449" max="8449" width="9.28515625" style="53" customWidth="1"/>
    <col min="8450" max="8450" width="39.85546875" style="53" customWidth="1"/>
    <col min="8451" max="8451" width="18.28515625" style="53" customWidth="1"/>
    <col min="8452" max="8452" width="23.85546875" style="53" customWidth="1"/>
    <col min="8453" max="8453" width="16" style="53" bestFit="1" customWidth="1"/>
    <col min="8454" max="8454" width="13.7109375" style="53" bestFit="1" customWidth="1"/>
    <col min="8455" max="8455" width="15.7109375" style="53" bestFit="1" customWidth="1"/>
    <col min="8456" max="8456" width="13.140625" style="53" bestFit="1" customWidth="1"/>
    <col min="8457" max="8457" width="11.85546875" style="53" bestFit="1" customWidth="1"/>
    <col min="8458" max="8458" width="12.85546875" style="53" bestFit="1" customWidth="1"/>
    <col min="8459" max="8704" width="9.140625" style="53"/>
    <col min="8705" max="8705" width="9.28515625" style="53" customWidth="1"/>
    <col min="8706" max="8706" width="39.85546875" style="53" customWidth="1"/>
    <col min="8707" max="8707" width="18.28515625" style="53" customWidth="1"/>
    <col min="8708" max="8708" width="23.85546875" style="53" customWidth="1"/>
    <col min="8709" max="8709" width="16" style="53" bestFit="1" customWidth="1"/>
    <col min="8710" max="8710" width="13.7109375" style="53" bestFit="1" customWidth="1"/>
    <col min="8711" max="8711" width="15.7109375" style="53" bestFit="1" customWidth="1"/>
    <col min="8712" max="8712" width="13.140625" style="53" bestFit="1" customWidth="1"/>
    <col min="8713" max="8713" width="11.85546875" style="53" bestFit="1" customWidth="1"/>
    <col min="8714" max="8714" width="12.85546875" style="53" bestFit="1" customWidth="1"/>
    <col min="8715" max="8960" width="9.140625" style="53"/>
    <col min="8961" max="8961" width="9.28515625" style="53" customWidth="1"/>
    <col min="8962" max="8962" width="39.85546875" style="53" customWidth="1"/>
    <col min="8963" max="8963" width="18.28515625" style="53" customWidth="1"/>
    <col min="8964" max="8964" width="23.85546875" style="53" customWidth="1"/>
    <col min="8965" max="8965" width="16" style="53" bestFit="1" customWidth="1"/>
    <col min="8966" max="8966" width="13.7109375" style="53" bestFit="1" customWidth="1"/>
    <col min="8967" max="8967" width="15.7109375" style="53" bestFit="1" customWidth="1"/>
    <col min="8968" max="8968" width="13.140625" style="53" bestFit="1" customWidth="1"/>
    <col min="8969" max="8969" width="11.85546875" style="53" bestFit="1" customWidth="1"/>
    <col min="8970" max="8970" width="12.85546875" style="53" bestFit="1" customWidth="1"/>
    <col min="8971" max="9216" width="9.140625" style="53"/>
    <col min="9217" max="9217" width="9.28515625" style="53" customWidth="1"/>
    <col min="9218" max="9218" width="39.85546875" style="53" customWidth="1"/>
    <col min="9219" max="9219" width="18.28515625" style="53" customWidth="1"/>
    <col min="9220" max="9220" width="23.85546875" style="53" customWidth="1"/>
    <col min="9221" max="9221" width="16" style="53" bestFit="1" customWidth="1"/>
    <col min="9222" max="9222" width="13.7109375" style="53" bestFit="1" customWidth="1"/>
    <col min="9223" max="9223" width="15.7109375" style="53" bestFit="1" customWidth="1"/>
    <col min="9224" max="9224" width="13.140625" style="53" bestFit="1" customWidth="1"/>
    <col min="9225" max="9225" width="11.85546875" style="53" bestFit="1" customWidth="1"/>
    <col min="9226" max="9226" width="12.85546875" style="53" bestFit="1" customWidth="1"/>
    <col min="9227" max="9472" width="9.140625" style="53"/>
    <col min="9473" max="9473" width="9.28515625" style="53" customWidth="1"/>
    <col min="9474" max="9474" width="39.85546875" style="53" customWidth="1"/>
    <col min="9475" max="9475" width="18.28515625" style="53" customWidth="1"/>
    <col min="9476" max="9476" width="23.85546875" style="53" customWidth="1"/>
    <col min="9477" max="9477" width="16" style="53" bestFit="1" customWidth="1"/>
    <col min="9478" max="9478" width="13.7109375" style="53" bestFit="1" customWidth="1"/>
    <col min="9479" max="9479" width="15.7109375" style="53" bestFit="1" customWidth="1"/>
    <col min="9480" max="9480" width="13.140625" style="53" bestFit="1" customWidth="1"/>
    <col min="9481" max="9481" width="11.85546875" style="53" bestFit="1" customWidth="1"/>
    <col min="9482" max="9482" width="12.85546875" style="53" bestFit="1" customWidth="1"/>
    <col min="9483" max="9728" width="9.140625" style="53"/>
    <col min="9729" max="9729" width="9.28515625" style="53" customWidth="1"/>
    <col min="9730" max="9730" width="39.85546875" style="53" customWidth="1"/>
    <col min="9731" max="9731" width="18.28515625" style="53" customWidth="1"/>
    <col min="9732" max="9732" width="23.85546875" style="53" customWidth="1"/>
    <col min="9733" max="9733" width="16" style="53" bestFit="1" customWidth="1"/>
    <col min="9734" max="9734" width="13.7109375" style="53" bestFit="1" customWidth="1"/>
    <col min="9735" max="9735" width="15.7109375" style="53" bestFit="1" customWidth="1"/>
    <col min="9736" max="9736" width="13.140625" style="53" bestFit="1" customWidth="1"/>
    <col min="9737" max="9737" width="11.85546875" style="53" bestFit="1" customWidth="1"/>
    <col min="9738" max="9738" width="12.85546875" style="53" bestFit="1" customWidth="1"/>
    <col min="9739" max="9984" width="9.140625" style="53"/>
    <col min="9985" max="9985" width="9.28515625" style="53" customWidth="1"/>
    <col min="9986" max="9986" width="39.85546875" style="53" customWidth="1"/>
    <col min="9987" max="9987" width="18.28515625" style="53" customWidth="1"/>
    <col min="9988" max="9988" width="23.85546875" style="53" customWidth="1"/>
    <col min="9989" max="9989" width="16" style="53" bestFit="1" customWidth="1"/>
    <col min="9990" max="9990" width="13.7109375" style="53" bestFit="1" customWidth="1"/>
    <col min="9991" max="9991" width="15.7109375" style="53" bestFit="1" customWidth="1"/>
    <col min="9992" max="9992" width="13.140625" style="53" bestFit="1" customWidth="1"/>
    <col min="9993" max="9993" width="11.85546875" style="53" bestFit="1" customWidth="1"/>
    <col min="9994" max="9994" width="12.85546875" style="53" bestFit="1" customWidth="1"/>
    <col min="9995" max="10240" width="9.140625" style="53"/>
    <col min="10241" max="10241" width="9.28515625" style="53" customWidth="1"/>
    <col min="10242" max="10242" width="39.85546875" style="53" customWidth="1"/>
    <col min="10243" max="10243" width="18.28515625" style="53" customWidth="1"/>
    <col min="10244" max="10244" width="23.85546875" style="53" customWidth="1"/>
    <col min="10245" max="10245" width="16" style="53" bestFit="1" customWidth="1"/>
    <col min="10246" max="10246" width="13.7109375" style="53" bestFit="1" customWidth="1"/>
    <col min="10247" max="10247" width="15.7109375" style="53" bestFit="1" customWidth="1"/>
    <col min="10248" max="10248" width="13.140625" style="53" bestFit="1" customWidth="1"/>
    <col min="10249" max="10249" width="11.85546875" style="53" bestFit="1" customWidth="1"/>
    <col min="10250" max="10250" width="12.85546875" style="53" bestFit="1" customWidth="1"/>
    <col min="10251" max="10496" width="9.140625" style="53"/>
    <col min="10497" max="10497" width="9.28515625" style="53" customWidth="1"/>
    <col min="10498" max="10498" width="39.85546875" style="53" customWidth="1"/>
    <col min="10499" max="10499" width="18.28515625" style="53" customWidth="1"/>
    <col min="10500" max="10500" width="23.85546875" style="53" customWidth="1"/>
    <col min="10501" max="10501" width="16" style="53" bestFit="1" customWidth="1"/>
    <col min="10502" max="10502" width="13.7109375" style="53" bestFit="1" customWidth="1"/>
    <col min="10503" max="10503" width="15.7109375" style="53" bestFit="1" customWidth="1"/>
    <col min="10504" max="10504" width="13.140625" style="53" bestFit="1" customWidth="1"/>
    <col min="10505" max="10505" width="11.85546875" style="53" bestFit="1" customWidth="1"/>
    <col min="10506" max="10506" width="12.85546875" style="53" bestFit="1" customWidth="1"/>
    <col min="10507" max="10752" width="9.140625" style="53"/>
    <col min="10753" max="10753" width="9.28515625" style="53" customWidth="1"/>
    <col min="10754" max="10754" width="39.85546875" style="53" customWidth="1"/>
    <col min="10755" max="10755" width="18.28515625" style="53" customWidth="1"/>
    <col min="10756" max="10756" width="23.85546875" style="53" customWidth="1"/>
    <col min="10757" max="10757" width="16" style="53" bestFit="1" customWidth="1"/>
    <col min="10758" max="10758" width="13.7109375" style="53" bestFit="1" customWidth="1"/>
    <col min="10759" max="10759" width="15.7109375" style="53" bestFit="1" customWidth="1"/>
    <col min="10760" max="10760" width="13.140625" style="53" bestFit="1" customWidth="1"/>
    <col min="10761" max="10761" width="11.85546875" style="53" bestFit="1" customWidth="1"/>
    <col min="10762" max="10762" width="12.85546875" style="53" bestFit="1" customWidth="1"/>
    <col min="10763" max="11008" width="9.140625" style="53"/>
    <col min="11009" max="11009" width="9.28515625" style="53" customWidth="1"/>
    <col min="11010" max="11010" width="39.85546875" style="53" customWidth="1"/>
    <col min="11011" max="11011" width="18.28515625" style="53" customWidth="1"/>
    <col min="11012" max="11012" width="23.85546875" style="53" customWidth="1"/>
    <col min="11013" max="11013" width="16" style="53" bestFit="1" customWidth="1"/>
    <col min="11014" max="11014" width="13.7109375" style="53" bestFit="1" customWidth="1"/>
    <col min="11015" max="11015" width="15.7109375" style="53" bestFit="1" customWidth="1"/>
    <col min="11016" max="11016" width="13.140625" style="53" bestFit="1" customWidth="1"/>
    <col min="11017" max="11017" width="11.85546875" style="53" bestFit="1" customWidth="1"/>
    <col min="11018" max="11018" width="12.85546875" style="53" bestFit="1" customWidth="1"/>
    <col min="11019" max="11264" width="9.140625" style="53"/>
    <col min="11265" max="11265" width="9.28515625" style="53" customWidth="1"/>
    <col min="11266" max="11266" width="39.85546875" style="53" customWidth="1"/>
    <col min="11267" max="11267" width="18.28515625" style="53" customWidth="1"/>
    <col min="11268" max="11268" width="23.85546875" style="53" customWidth="1"/>
    <col min="11269" max="11269" width="16" style="53" bestFit="1" customWidth="1"/>
    <col min="11270" max="11270" width="13.7109375" style="53" bestFit="1" customWidth="1"/>
    <col min="11271" max="11271" width="15.7109375" style="53" bestFit="1" customWidth="1"/>
    <col min="11272" max="11272" width="13.140625" style="53" bestFit="1" customWidth="1"/>
    <col min="11273" max="11273" width="11.85546875" style="53" bestFit="1" customWidth="1"/>
    <col min="11274" max="11274" width="12.85546875" style="53" bestFit="1" customWidth="1"/>
    <col min="11275" max="11520" width="9.140625" style="53"/>
    <col min="11521" max="11521" width="9.28515625" style="53" customWidth="1"/>
    <col min="11522" max="11522" width="39.85546875" style="53" customWidth="1"/>
    <col min="11523" max="11523" width="18.28515625" style="53" customWidth="1"/>
    <col min="11524" max="11524" width="23.85546875" style="53" customWidth="1"/>
    <col min="11525" max="11525" width="16" style="53" bestFit="1" customWidth="1"/>
    <col min="11526" max="11526" width="13.7109375" style="53" bestFit="1" customWidth="1"/>
    <col min="11527" max="11527" width="15.7109375" style="53" bestFit="1" customWidth="1"/>
    <col min="11528" max="11528" width="13.140625" style="53" bestFit="1" customWidth="1"/>
    <col min="11529" max="11529" width="11.85546875" style="53" bestFit="1" customWidth="1"/>
    <col min="11530" max="11530" width="12.85546875" style="53" bestFit="1" customWidth="1"/>
    <col min="11531" max="11776" width="9.140625" style="53"/>
    <col min="11777" max="11777" width="9.28515625" style="53" customWidth="1"/>
    <col min="11778" max="11778" width="39.85546875" style="53" customWidth="1"/>
    <col min="11779" max="11779" width="18.28515625" style="53" customWidth="1"/>
    <col min="11780" max="11780" width="23.85546875" style="53" customWidth="1"/>
    <col min="11781" max="11781" width="16" style="53" bestFit="1" customWidth="1"/>
    <col min="11782" max="11782" width="13.7109375" style="53" bestFit="1" customWidth="1"/>
    <col min="11783" max="11783" width="15.7109375" style="53" bestFit="1" customWidth="1"/>
    <col min="11784" max="11784" width="13.140625" style="53" bestFit="1" customWidth="1"/>
    <col min="11785" max="11785" width="11.85546875" style="53" bestFit="1" customWidth="1"/>
    <col min="11786" max="11786" width="12.85546875" style="53" bestFit="1" customWidth="1"/>
    <col min="11787" max="12032" width="9.140625" style="53"/>
    <col min="12033" max="12033" width="9.28515625" style="53" customWidth="1"/>
    <col min="12034" max="12034" width="39.85546875" style="53" customWidth="1"/>
    <col min="12035" max="12035" width="18.28515625" style="53" customWidth="1"/>
    <col min="12036" max="12036" width="23.85546875" style="53" customWidth="1"/>
    <col min="12037" max="12037" width="16" style="53" bestFit="1" customWidth="1"/>
    <col min="12038" max="12038" width="13.7109375" style="53" bestFit="1" customWidth="1"/>
    <col min="12039" max="12039" width="15.7109375" style="53" bestFit="1" customWidth="1"/>
    <col min="12040" max="12040" width="13.140625" style="53" bestFit="1" customWidth="1"/>
    <col min="12041" max="12041" width="11.85546875" style="53" bestFit="1" customWidth="1"/>
    <col min="12042" max="12042" width="12.85546875" style="53" bestFit="1" customWidth="1"/>
    <col min="12043" max="12288" width="9.140625" style="53"/>
    <col min="12289" max="12289" width="9.28515625" style="53" customWidth="1"/>
    <col min="12290" max="12290" width="39.85546875" style="53" customWidth="1"/>
    <col min="12291" max="12291" width="18.28515625" style="53" customWidth="1"/>
    <col min="12292" max="12292" width="23.85546875" style="53" customWidth="1"/>
    <col min="12293" max="12293" width="16" style="53" bestFit="1" customWidth="1"/>
    <col min="12294" max="12294" width="13.7109375" style="53" bestFit="1" customWidth="1"/>
    <col min="12295" max="12295" width="15.7109375" style="53" bestFit="1" customWidth="1"/>
    <col min="12296" max="12296" width="13.140625" style="53" bestFit="1" customWidth="1"/>
    <col min="12297" max="12297" width="11.85546875" style="53" bestFit="1" customWidth="1"/>
    <col min="12298" max="12298" width="12.85546875" style="53" bestFit="1" customWidth="1"/>
    <col min="12299" max="12544" width="9.140625" style="53"/>
    <col min="12545" max="12545" width="9.28515625" style="53" customWidth="1"/>
    <col min="12546" max="12546" width="39.85546875" style="53" customWidth="1"/>
    <col min="12547" max="12547" width="18.28515625" style="53" customWidth="1"/>
    <col min="12548" max="12548" width="23.85546875" style="53" customWidth="1"/>
    <col min="12549" max="12549" width="16" style="53" bestFit="1" customWidth="1"/>
    <col min="12550" max="12550" width="13.7109375" style="53" bestFit="1" customWidth="1"/>
    <col min="12551" max="12551" width="15.7109375" style="53" bestFit="1" customWidth="1"/>
    <col min="12552" max="12552" width="13.140625" style="53" bestFit="1" customWidth="1"/>
    <col min="12553" max="12553" width="11.85546875" style="53" bestFit="1" customWidth="1"/>
    <col min="12554" max="12554" width="12.85546875" style="53" bestFit="1" customWidth="1"/>
    <col min="12555" max="12800" width="9.140625" style="53"/>
    <col min="12801" max="12801" width="9.28515625" style="53" customWidth="1"/>
    <col min="12802" max="12802" width="39.85546875" style="53" customWidth="1"/>
    <col min="12803" max="12803" width="18.28515625" style="53" customWidth="1"/>
    <col min="12804" max="12804" width="23.85546875" style="53" customWidth="1"/>
    <col min="12805" max="12805" width="16" style="53" bestFit="1" customWidth="1"/>
    <col min="12806" max="12806" width="13.7109375" style="53" bestFit="1" customWidth="1"/>
    <col min="12807" max="12807" width="15.7109375" style="53" bestFit="1" customWidth="1"/>
    <col min="12808" max="12808" width="13.140625" style="53" bestFit="1" customWidth="1"/>
    <col min="12809" max="12809" width="11.85546875" style="53" bestFit="1" customWidth="1"/>
    <col min="12810" max="12810" width="12.85546875" style="53" bestFit="1" customWidth="1"/>
    <col min="12811" max="13056" width="9.140625" style="53"/>
    <col min="13057" max="13057" width="9.28515625" style="53" customWidth="1"/>
    <col min="13058" max="13058" width="39.85546875" style="53" customWidth="1"/>
    <col min="13059" max="13059" width="18.28515625" style="53" customWidth="1"/>
    <col min="13060" max="13060" width="23.85546875" style="53" customWidth="1"/>
    <col min="13061" max="13061" width="16" style="53" bestFit="1" customWidth="1"/>
    <col min="13062" max="13062" width="13.7109375" style="53" bestFit="1" customWidth="1"/>
    <col min="13063" max="13063" width="15.7109375" style="53" bestFit="1" customWidth="1"/>
    <col min="13064" max="13064" width="13.140625" style="53" bestFit="1" customWidth="1"/>
    <col min="13065" max="13065" width="11.85546875" style="53" bestFit="1" customWidth="1"/>
    <col min="13066" max="13066" width="12.85546875" style="53" bestFit="1" customWidth="1"/>
    <col min="13067" max="13312" width="9.140625" style="53"/>
    <col min="13313" max="13313" width="9.28515625" style="53" customWidth="1"/>
    <col min="13314" max="13314" width="39.85546875" style="53" customWidth="1"/>
    <col min="13315" max="13315" width="18.28515625" style="53" customWidth="1"/>
    <col min="13316" max="13316" width="23.85546875" style="53" customWidth="1"/>
    <col min="13317" max="13317" width="16" style="53" bestFit="1" customWidth="1"/>
    <col min="13318" max="13318" width="13.7109375" style="53" bestFit="1" customWidth="1"/>
    <col min="13319" max="13319" width="15.7109375" style="53" bestFit="1" customWidth="1"/>
    <col min="13320" max="13320" width="13.140625" style="53" bestFit="1" customWidth="1"/>
    <col min="13321" max="13321" width="11.85546875" style="53" bestFit="1" customWidth="1"/>
    <col min="13322" max="13322" width="12.85546875" style="53" bestFit="1" customWidth="1"/>
    <col min="13323" max="13568" width="9.140625" style="53"/>
    <col min="13569" max="13569" width="9.28515625" style="53" customWidth="1"/>
    <col min="13570" max="13570" width="39.85546875" style="53" customWidth="1"/>
    <col min="13571" max="13571" width="18.28515625" style="53" customWidth="1"/>
    <col min="13572" max="13572" width="23.85546875" style="53" customWidth="1"/>
    <col min="13573" max="13573" width="16" style="53" bestFit="1" customWidth="1"/>
    <col min="13574" max="13574" width="13.7109375" style="53" bestFit="1" customWidth="1"/>
    <col min="13575" max="13575" width="15.7109375" style="53" bestFit="1" customWidth="1"/>
    <col min="13576" max="13576" width="13.140625" style="53" bestFit="1" customWidth="1"/>
    <col min="13577" max="13577" width="11.85546875" style="53" bestFit="1" customWidth="1"/>
    <col min="13578" max="13578" width="12.85546875" style="53" bestFit="1" customWidth="1"/>
    <col min="13579" max="13824" width="9.140625" style="53"/>
    <col min="13825" max="13825" width="9.28515625" style="53" customWidth="1"/>
    <col min="13826" max="13826" width="39.85546875" style="53" customWidth="1"/>
    <col min="13827" max="13827" width="18.28515625" style="53" customWidth="1"/>
    <col min="13828" max="13828" width="23.85546875" style="53" customWidth="1"/>
    <col min="13829" max="13829" width="16" style="53" bestFit="1" customWidth="1"/>
    <col min="13830" max="13830" width="13.7109375" style="53" bestFit="1" customWidth="1"/>
    <col min="13831" max="13831" width="15.7109375" style="53" bestFit="1" customWidth="1"/>
    <col min="13832" max="13832" width="13.140625" style="53" bestFit="1" customWidth="1"/>
    <col min="13833" max="13833" width="11.85546875" style="53" bestFit="1" customWidth="1"/>
    <col min="13834" max="13834" width="12.85546875" style="53" bestFit="1" customWidth="1"/>
    <col min="13835" max="14080" width="9.140625" style="53"/>
    <col min="14081" max="14081" width="9.28515625" style="53" customWidth="1"/>
    <col min="14082" max="14082" width="39.85546875" style="53" customWidth="1"/>
    <col min="14083" max="14083" width="18.28515625" style="53" customWidth="1"/>
    <col min="14084" max="14084" width="23.85546875" style="53" customWidth="1"/>
    <col min="14085" max="14085" width="16" style="53" bestFit="1" customWidth="1"/>
    <col min="14086" max="14086" width="13.7109375" style="53" bestFit="1" customWidth="1"/>
    <col min="14087" max="14087" width="15.7109375" style="53" bestFit="1" customWidth="1"/>
    <col min="14088" max="14088" width="13.140625" style="53" bestFit="1" customWidth="1"/>
    <col min="14089" max="14089" width="11.85546875" style="53" bestFit="1" customWidth="1"/>
    <col min="14090" max="14090" width="12.85546875" style="53" bestFit="1" customWidth="1"/>
    <col min="14091" max="14336" width="9.140625" style="53"/>
    <col min="14337" max="14337" width="9.28515625" style="53" customWidth="1"/>
    <col min="14338" max="14338" width="39.85546875" style="53" customWidth="1"/>
    <col min="14339" max="14339" width="18.28515625" style="53" customWidth="1"/>
    <col min="14340" max="14340" width="23.85546875" style="53" customWidth="1"/>
    <col min="14341" max="14341" width="16" style="53" bestFit="1" customWidth="1"/>
    <col min="14342" max="14342" width="13.7109375" style="53" bestFit="1" customWidth="1"/>
    <col min="14343" max="14343" width="15.7109375" style="53" bestFit="1" customWidth="1"/>
    <col min="14344" max="14344" width="13.140625" style="53" bestFit="1" customWidth="1"/>
    <col min="14345" max="14345" width="11.85546875" style="53" bestFit="1" customWidth="1"/>
    <col min="14346" max="14346" width="12.85546875" style="53" bestFit="1" customWidth="1"/>
    <col min="14347" max="14592" width="9.140625" style="53"/>
    <col min="14593" max="14593" width="9.28515625" style="53" customWidth="1"/>
    <col min="14594" max="14594" width="39.85546875" style="53" customWidth="1"/>
    <col min="14595" max="14595" width="18.28515625" style="53" customWidth="1"/>
    <col min="14596" max="14596" width="23.85546875" style="53" customWidth="1"/>
    <col min="14597" max="14597" width="16" style="53" bestFit="1" customWidth="1"/>
    <col min="14598" max="14598" width="13.7109375" style="53" bestFit="1" customWidth="1"/>
    <col min="14599" max="14599" width="15.7109375" style="53" bestFit="1" customWidth="1"/>
    <col min="14600" max="14600" width="13.140625" style="53" bestFit="1" customWidth="1"/>
    <col min="14601" max="14601" width="11.85546875" style="53" bestFit="1" customWidth="1"/>
    <col min="14602" max="14602" width="12.85546875" style="53" bestFit="1" customWidth="1"/>
    <col min="14603" max="14848" width="9.140625" style="53"/>
    <col min="14849" max="14849" width="9.28515625" style="53" customWidth="1"/>
    <col min="14850" max="14850" width="39.85546875" style="53" customWidth="1"/>
    <col min="14851" max="14851" width="18.28515625" style="53" customWidth="1"/>
    <col min="14852" max="14852" width="23.85546875" style="53" customWidth="1"/>
    <col min="14853" max="14853" width="16" style="53" bestFit="1" customWidth="1"/>
    <col min="14854" max="14854" width="13.7109375" style="53" bestFit="1" customWidth="1"/>
    <col min="14855" max="14855" width="15.7109375" style="53" bestFit="1" customWidth="1"/>
    <col min="14856" max="14856" width="13.140625" style="53" bestFit="1" customWidth="1"/>
    <col min="14857" max="14857" width="11.85546875" style="53" bestFit="1" customWidth="1"/>
    <col min="14858" max="14858" width="12.85546875" style="53" bestFit="1" customWidth="1"/>
    <col min="14859" max="15104" width="9.140625" style="53"/>
    <col min="15105" max="15105" width="9.28515625" style="53" customWidth="1"/>
    <col min="15106" max="15106" width="39.85546875" style="53" customWidth="1"/>
    <col min="15107" max="15107" width="18.28515625" style="53" customWidth="1"/>
    <col min="15108" max="15108" width="23.85546875" style="53" customWidth="1"/>
    <col min="15109" max="15109" width="16" style="53" bestFit="1" customWidth="1"/>
    <col min="15110" max="15110" width="13.7109375" style="53" bestFit="1" customWidth="1"/>
    <col min="15111" max="15111" width="15.7109375" style="53" bestFit="1" customWidth="1"/>
    <col min="15112" max="15112" width="13.140625" style="53" bestFit="1" customWidth="1"/>
    <col min="15113" max="15113" width="11.85546875" style="53" bestFit="1" customWidth="1"/>
    <col min="15114" max="15114" width="12.85546875" style="53" bestFit="1" customWidth="1"/>
    <col min="15115" max="15360" width="9.140625" style="53"/>
    <col min="15361" max="15361" width="9.28515625" style="53" customWidth="1"/>
    <col min="15362" max="15362" width="39.85546875" style="53" customWidth="1"/>
    <col min="15363" max="15363" width="18.28515625" style="53" customWidth="1"/>
    <col min="15364" max="15364" width="23.85546875" style="53" customWidth="1"/>
    <col min="15365" max="15365" width="16" style="53" bestFit="1" customWidth="1"/>
    <col min="15366" max="15366" width="13.7109375" style="53" bestFit="1" customWidth="1"/>
    <col min="15367" max="15367" width="15.7109375" style="53" bestFit="1" customWidth="1"/>
    <col min="15368" max="15368" width="13.140625" style="53" bestFit="1" customWidth="1"/>
    <col min="15369" max="15369" width="11.85546875" style="53" bestFit="1" customWidth="1"/>
    <col min="15370" max="15370" width="12.85546875" style="53" bestFit="1" customWidth="1"/>
    <col min="15371" max="15616" width="9.140625" style="53"/>
    <col min="15617" max="15617" width="9.28515625" style="53" customWidth="1"/>
    <col min="15618" max="15618" width="39.85546875" style="53" customWidth="1"/>
    <col min="15619" max="15619" width="18.28515625" style="53" customWidth="1"/>
    <col min="15620" max="15620" width="23.85546875" style="53" customWidth="1"/>
    <col min="15621" max="15621" width="16" style="53" bestFit="1" customWidth="1"/>
    <col min="15622" max="15622" width="13.7109375" style="53" bestFit="1" customWidth="1"/>
    <col min="15623" max="15623" width="15.7109375" style="53" bestFit="1" customWidth="1"/>
    <col min="15624" max="15624" width="13.140625" style="53" bestFit="1" customWidth="1"/>
    <col min="15625" max="15625" width="11.85546875" style="53" bestFit="1" customWidth="1"/>
    <col min="15626" max="15626" width="12.85546875" style="53" bestFit="1" customWidth="1"/>
    <col min="15627" max="15872" width="9.140625" style="53"/>
    <col min="15873" max="15873" width="9.28515625" style="53" customWidth="1"/>
    <col min="15874" max="15874" width="39.85546875" style="53" customWidth="1"/>
    <col min="15875" max="15875" width="18.28515625" style="53" customWidth="1"/>
    <col min="15876" max="15876" width="23.85546875" style="53" customWidth="1"/>
    <col min="15877" max="15877" width="16" style="53" bestFit="1" customWidth="1"/>
    <col min="15878" max="15878" width="13.7109375" style="53" bestFit="1" customWidth="1"/>
    <col min="15879" max="15879" width="15.7109375" style="53" bestFit="1" customWidth="1"/>
    <col min="15880" max="15880" width="13.140625" style="53" bestFit="1" customWidth="1"/>
    <col min="15881" max="15881" width="11.85546875" style="53" bestFit="1" customWidth="1"/>
    <col min="15882" max="15882" width="12.85546875" style="53" bestFit="1" customWidth="1"/>
    <col min="15883" max="16128" width="9.140625" style="53"/>
    <col min="16129" max="16129" width="9.28515625" style="53" customWidth="1"/>
    <col min="16130" max="16130" width="39.85546875" style="53" customWidth="1"/>
    <col min="16131" max="16131" width="18.28515625" style="53" customWidth="1"/>
    <col min="16132" max="16132" width="23.85546875" style="53" customWidth="1"/>
    <col min="16133" max="16133" width="16" style="53" bestFit="1" customWidth="1"/>
    <col min="16134" max="16134" width="13.7109375" style="53" bestFit="1" customWidth="1"/>
    <col min="16135" max="16135" width="15.7109375" style="53" bestFit="1" customWidth="1"/>
    <col min="16136" max="16136" width="13.140625" style="53" bestFit="1" customWidth="1"/>
    <col min="16137" max="16137" width="11.85546875" style="53" bestFit="1" customWidth="1"/>
    <col min="16138" max="16138" width="12.85546875" style="53" bestFit="1" customWidth="1"/>
    <col min="16139" max="16384" width="9.140625" style="53"/>
  </cols>
  <sheetData>
    <row r="3" spans="1:7" ht="15.75" customHeight="1">
      <c r="A3" s="543" t="s">
        <v>255</v>
      </c>
      <c r="B3" s="543"/>
      <c r="C3" s="543"/>
      <c r="D3" s="543"/>
      <c r="E3" s="52"/>
      <c r="F3" s="52"/>
      <c r="G3" s="52"/>
    </row>
    <row r="4" spans="1:7">
      <c r="A4" s="543"/>
      <c r="B4" s="543"/>
      <c r="C4" s="543"/>
      <c r="D4" s="543"/>
      <c r="E4" s="52"/>
      <c r="F4" s="52"/>
      <c r="G4" s="52"/>
    </row>
    <row r="5" spans="1:7">
      <c r="A5" s="54"/>
      <c r="B5" s="52"/>
      <c r="C5" s="52"/>
      <c r="D5" s="52"/>
      <c r="E5" s="52"/>
      <c r="F5" s="52"/>
      <c r="G5" s="52"/>
    </row>
    <row r="6" spans="1:7" ht="15.75" customHeight="1">
      <c r="A6" s="544" t="s">
        <v>550</v>
      </c>
      <c r="B6" s="544"/>
      <c r="C6" s="544"/>
      <c r="D6" s="544"/>
      <c r="E6" s="52"/>
      <c r="F6" s="52"/>
      <c r="G6" s="52"/>
    </row>
    <row r="7" spans="1:7">
      <c r="A7" s="522"/>
      <c r="B7" s="522"/>
      <c r="C7" s="522"/>
      <c r="D7" s="522"/>
    </row>
    <row r="8" spans="1:7">
      <c r="A8" s="237" t="s">
        <v>551</v>
      </c>
      <c r="B8" s="238"/>
      <c r="C8" s="187"/>
      <c r="D8" s="187"/>
    </row>
    <row r="9" spans="1:7">
      <c r="A9" s="522"/>
      <c r="B9" s="522"/>
      <c r="C9" s="522"/>
      <c r="D9" s="522"/>
    </row>
    <row r="10" spans="1:7">
      <c r="A10" s="57" t="s">
        <v>256</v>
      </c>
      <c r="B10" s="188"/>
      <c r="C10" s="187"/>
      <c r="D10" s="187"/>
    </row>
    <row r="11" spans="1:7">
      <c r="A11" s="59" t="s">
        <v>257</v>
      </c>
      <c r="B11" s="541" t="s">
        <v>258</v>
      </c>
      <c r="C11" s="542"/>
      <c r="D11" s="239">
        <v>42550</v>
      </c>
    </row>
    <row r="12" spans="1:7">
      <c r="A12" s="59" t="s">
        <v>259</v>
      </c>
      <c r="B12" s="62" t="s">
        <v>260</v>
      </c>
      <c r="C12" s="63"/>
      <c r="D12" s="240" t="s">
        <v>374</v>
      </c>
    </row>
    <row r="13" spans="1:7">
      <c r="A13" s="59" t="s">
        <v>261</v>
      </c>
      <c r="B13" s="541" t="s">
        <v>262</v>
      </c>
      <c r="C13" s="542"/>
      <c r="D13" s="240">
        <v>2016</v>
      </c>
    </row>
    <row r="14" spans="1:7">
      <c r="A14" s="64" t="s">
        <v>263</v>
      </c>
      <c r="B14" s="65" t="s">
        <v>555</v>
      </c>
      <c r="C14" s="66"/>
      <c r="D14" s="239">
        <v>42625</v>
      </c>
    </row>
    <row r="16" spans="1:7">
      <c r="A16" s="190"/>
    </row>
    <row r="17" spans="1:7">
      <c r="A17" s="523"/>
      <c r="B17" s="523"/>
      <c r="C17" s="523"/>
      <c r="D17" s="523"/>
      <c r="E17" s="523"/>
      <c r="F17" s="523"/>
      <c r="G17" s="523"/>
    </row>
    <row r="18" spans="1:7" ht="35.25" customHeight="1">
      <c r="A18" s="545" t="s">
        <v>264</v>
      </c>
      <c r="B18" s="545"/>
      <c r="C18" s="67" t="s">
        <v>265</v>
      </c>
      <c r="D18" s="67" t="s">
        <v>266</v>
      </c>
    </row>
    <row r="19" spans="1:7">
      <c r="A19" s="241">
        <v>1</v>
      </c>
      <c r="B19" s="242" t="s">
        <v>2</v>
      </c>
      <c r="C19" s="241" t="s">
        <v>267</v>
      </c>
      <c r="D19" s="243">
        <v>3</v>
      </c>
    </row>
    <row r="20" spans="1:7">
      <c r="A20" s="68"/>
      <c r="B20" s="69"/>
      <c r="C20" s="68"/>
      <c r="D20" s="70"/>
    </row>
    <row r="21" spans="1:7">
      <c r="A21" s="522" t="s">
        <v>268</v>
      </c>
      <c r="B21" s="522"/>
      <c r="C21" s="522"/>
      <c r="D21" s="522"/>
      <c r="E21" s="522"/>
      <c r="F21" s="522"/>
      <c r="G21" s="522"/>
    </row>
    <row r="22" spans="1:7">
      <c r="A22" s="71"/>
    </row>
    <row r="23" spans="1:7">
      <c r="A23" s="57" t="s">
        <v>269</v>
      </c>
    </row>
    <row r="24" spans="1:7">
      <c r="A24" s="57" t="s">
        <v>270</v>
      </c>
    </row>
    <row r="25" spans="1:7">
      <c r="A25" s="72" t="s">
        <v>271</v>
      </c>
      <c r="B25" s="60"/>
      <c r="C25" s="60"/>
      <c r="D25" s="61"/>
    </row>
    <row r="26" spans="1:7">
      <c r="A26" s="73">
        <v>1</v>
      </c>
      <c r="B26" s="74" t="s">
        <v>272</v>
      </c>
      <c r="C26" s="74"/>
      <c r="D26" s="244" t="str">
        <f>B19</f>
        <v>Porteiro</v>
      </c>
    </row>
    <row r="27" spans="1:7" ht="30.75" customHeight="1">
      <c r="A27" s="73">
        <v>2</v>
      </c>
      <c r="B27" s="539" t="s">
        <v>273</v>
      </c>
      <c r="C27" s="540"/>
      <c r="D27" s="175">
        <v>1475</v>
      </c>
    </row>
    <row r="28" spans="1:7" ht="31.5" customHeight="1">
      <c r="A28" s="73">
        <v>3</v>
      </c>
      <c r="B28" s="539" t="s">
        <v>274</v>
      </c>
      <c r="C28" s="540"/>
      <c r="D28" s="176" t="s">
        <v>375</v>
      </c>
    </row>
    <row r="29" spans="1:7">
      <c r="A29" s="75">
        <v>4</v>
      </c>
      <c r="B29" s="76" t="s">
        <v>275</v>
      </c>
      <c r="C29" s="76"/>
      <c r="D29" s="77">
        <v>42401</v>
      </c>
    </row>
    <row r="30" spans="1:7">
      <c r="A30" s="71"/>
    </row>
    <row r="31" spans="1:7">
      <c r="A31" s="71"/>
    </row>
    <row r="32" spans="1:7">
      <c r="A32" s="71"/>
    </row>
    <row r="33" spans="1:7" ht="16.5" customHeight="1" thickBot="1">
      <c r="A33" s="523" t="s">
        <v>276</v>
      </c>
      <c r="B33" s="523"/>
      <c r="C33" s="523"/>
      <c r="D33" s="523"/>
      <c r="E33" s="523"/>
      <c r="F33" s="52"/>
      <c r="G33" s="52"/>
    </row>
    <row r="34" spans="1:7" ht="16.5" thickBot="1">
      <c r="A34" s="78" t="s">
        <v>277</v>
      </c>
      <c r="B34" s="79" t="s">
        <v>278</v>
      </c>
      <c r="C34" s="80"/>
      <c r="D34" s="81" t="s">
        <v>279</v>
      </c>
    </row>
    <row r="35" spans="1:7">
      <c r="A35" s="82" t="s">
        <v>257</v>
      </c>
      <c r="B35" s="83" t="s">
        <v>280</v>
      </c>
      <c r="C35" s="84"/>
      <c r="D35" s="85">
        <f>D27</f>
        <v>1475</v>
      </c>
    </row>
    <row r="36" spans="1:7">
      <c r="A36" s="191" t="s">
        <v>259</v>
      </c>
      <c r="B36" s="87" t="s">
        <v>281</v>
      </c>
      <c r="C36" s="88"/>
      <c r="D36" s="89">
        <v>0</v>
      </c>
    </row>
    <row r="37" spans="1:7">
      <c r="A37" s="191" t="s">
        <v>261</v>
      </c>
      <c r="B37" s="87" t="s">
        <v>282</v>
      </c>
      <c r="C37" s="90"/>
      <c r="D37" s="89">
        <v>0</v>
      </c>
    </row>
    <row r="38" spans="1:7">
      <c r="A38" s="191" t="s">
        <v>263</v>
      </c>
      <c r="B38" s="91" t="s">
        <v>552</v>
      </c>
      <c r="C38" s="88"/>
      <c r="D38" s="89">
        <v>47</v>
      </c>
    </row>
    <row r="39" spans="1:7">
      <c r="A39" s="191" t="s">
        <v>284</v>
      </c>
      <c r="B39" s="91" t="s">
        <v>285</v>
      </c>
      <c r="C39" s="92"/>
      <c r="D39" s="89">
        <v>0</v>
      </c>
    </row>
    <row r="40" spans="1:7">
      <c r="A40" s="191" t="s">
        <v>286</v>
      </c>
      <c r="B40" s="93" t="s">
        <v>287</v>
      </c>
      <c r="C40" s="92"/>
      <c r="D40" s="89">
        <v>0</v>
      </c>
    </row>
    <row r="41" spans="1:7">
      <c r="A41" s="191" t="s">
        <v>288</v>
      </c>
      <c r="B41" s="93" t="s">
        <v>289</v>
      </c>
      <c r="C41" s="92"/>
      <c r="D41" s="89">
        <v>0</v>
      </c>
    </row>
    <row r="42" spans="1:7" ht="16.5" thickBot="1">
      <c r="A42" s="191" t="s">
        <v>290</v>
      </c>
      <c r="B42" s="94" t="s">
        <v>376</v>
      </c>
      <c r="C42" s="95"/>
      <c r="D42" s="89">
        <v>0</v>
      </c>
    </row>
    <row r="43" spans="1:7" ht="16.5" thickBot="1">
      <c r="A43" s="96"/>
      <c r="B43" s="97" t="s">
        <v>292</v>
      </c>
      <c r="C43" s="98"/>
      <c r="D43" s="99">
        <f>SUM(D35:D42)</f>
        <v>1522</v>
      </c>
    </row>
    <row r="44" spans="1:7">
      <c r="A44" s="190"/>
    </row>
    <row r="45" spans="1:7" ht="16.5" thickBot="1">
      <c r="A45" s="523" t="s">
        <v>293</v>
      </c>
      <c r="B45" s="523"/>
      <c r="C45" s="523"/>
      <c r="D45" s="523"/>
      <c r="E45" s="523"/>
      <c r="F45" s="523"/>
      <c r="G45" s="523"/>
    </row>
    <row r="46" spans="1:7" ht="16.5" thickBot="1">
      <c r="A46" s="100">
        <v>2</v>
      </c>
      <c r="B46" s="189" t="s">
        <v>294</v>
      </c>
      <c r="C46" s="102"/>
      <c r="D46" s="100" t="s">
        <v>279</v>
      </c>
    </row>
    <row r="47" spans="1:7">
      <c r="A47" s="82" t="s">
        <v>257</v>
      </c>
      <c r="B47" s="83" t="s">
        <v>295</v>
      </c>
      <c r="C47" s="103"/>
      <c r="D47" s="104">
        <f>(3.7*52)-(D35*6%)</f>
        <v>103.9</v>
      </c>
    </row>
    <row r="48" spans="1:7" ht="31.5">
      <c r="A48" s="105" t="s">
        <v>259</v>
      </c>
      <c r="B48" s="106" t="s">
        <v>296</v>
      </c>
      <c r="C48" s="90"/>
      <c r="D48" s="107">
        <f>330*(1-20%)</f>
        <v>264</v>
      </c>
    </row>
    <row r="49" spans="1:7">
      <c r="A49" s="191" t="s">
        <v>261</v>
      </c>
      <c r="B49" s="87" t="s">
        <v>389</v>
      </c>
      <c r="C49" s="90"/>
      <c r="D49" s="107">
        <v>50</v>
      </c>
    </row>
    <row r="50" spans="1:7">
      <c r="A50" s="191" t="s">
        <v>263</v>
      </c>
      <c r="B50" s="87" t="s">
        <v>297</v>
      </c>
      <c r="C50" s="88"/>
      <c r="D50" s="107">
        <v>0</v>
      </c>
    </row>
    <row r="51" spans="1:7">
      <c r="A51" s="191" t="s">
        <v>284</v>
      </c>
      <c r="B51" s="87" t="s">
        <v>390</v>
      </c>
      <c r="C51" s="92"/>
      <c r="D51" s="108">
        <v>16</v>
      </c>
    </row>
    <row r="52" spans="1:7" ht="16.5" customHeight="1">
      <c r="A52" s="191" t="s">
        <v>286</v>
      </c>
      <c r="B52" s="535" t="s">
        <v>377</v>
      </c>
      <c r="C52" s="536"/>
      <c r="D52" s="108">
        <v>16</v>
      </c>
    </row>
    <row r="53" spans="1:7" ht="16.5" thickBot="1">
      <c r="A53" s="109" t="s">
        <v>288</v>
      </c>
      <c r="B53" s="537" t="s">
        <v>291</v>
      </c>
      <c r="C53" s="538"/>
      <c r="D53" s="110">
        <v>0</v>
      </c>
    </row>
    <row r="54" spans="1:7" ht="16.5" thickBot="1">
      <c r="A54" s="111"/>
      <c r="B54" s="189" t="s">
        <v>298</v>
      </c>
      <c r="C54" s="112"/>
      <c r="D54" s="113">
        <f>SUM(D47:D53)</f>
        <v>449.9</v>
      </c>
    </row>
    <row r="55" spans="1:7" ht="33" customHeight="1">
      <c r="A55" s="522" t="s">
        <v>299</v>
      </c>
      <c r="B55" s="522"/>
      <c r="C55" s="522"/>
      <c r="D55" s="522"/>
    </row>
    <row r="56" spans="1:7">
      <c r="A56" s="190"/>
    </row>
    <row r="57" spans="1:7" ht="16.5" thickBot="1">
      <c r="A57" s="523" t="s">
        <v>300</v>
      </c>
      <c r="B57" s="523"/>
      <c r="C57" s="523"/>
      <c r="D57" s="523"/>
      <c r="E57" s="523"/>
      <c r="F57" s="523"/>
      <c r="G57" s="523"/>
    </row>
    <row r="58" spans="1:7" ht="16.5" thickBot="1">
      <c r="A58" s="114">
        <v>3</v>
      </c>
      <c r="B58" s="189" t="s">
        <v>301</v>
      </c>
      <c r="C58" s="102"/>
      <c r="D58" s="100" t="s">
        <v>279</v>
      </c>
    </row>
    <row r="59" spans="1:7">
      <c r="A59" s="82" t="s">
        <v>257</v>
      </c>
      <c r="B59" s="83" t="s">
        <v>302</v>
      </c>
      <c r="C59" s="115"/>
      <c r="D59" s="116">
        <f>'ANEXO IV'!D19</f>
        <v>41.166666666666664</v>
      </c>
    </row>
    <row r="60" spans="1:7">
      <c r="A60" s="105" t="s">
        <v>259</v>
      </c>
      <c r="B60" s="106" t="s">
        <v>15</v>
      </c>
      <c r="C60" s="90"/>
      <c r="D60" s="107">
        <v>0</v>
      </c>
    </row>
    <row r="61" spans="1:7">
      <c r="A61" s="191" t="s">
        <v>261</v>
      </c>
      <c r="B61" s="87" t="s">
        <v>21</v>
      </c>
      <c r="C61" s="90"/>
      <c r="D61" s="107">
        <v>0</v>
      </c>
    </row>
    <row r="62" spans="1:7">
      <c r="A62" s="191" t="s">
        <v>263</v>
      </c>
      <c r="B62" s="535" t="s">
        <v>18</v>
      </c>
      <c r="C62" s="536"/>
      <c r="D62" s="108">
        <v>0</v>
      </c>
    </row>
    <row r="63" spans="1:7" ht="16.5" thickBot="1">
      <c r="A63" s="109" t="s">
        <v>284</v>
      </c>
      <c r="B63" s="537" t="s">
        <v>291</v>
      </c>
      <c r="C63" s="538"/>
      <c r="D63" s="110">
        <v>0</v>
      </c>
    </row>
    <row r="64" spans="1:7" ht="16.5" thickBot="1">
      <c r="A64" s="111"/>
      <c r="B64" s="189" t="s">
        <v>303</v>
      </c>
      <c r="C64" s="112"/>
      <c r="D64" s="113">
        <f>SUM(D59:D63)</f>
        <v>41.166666666666664</v>
      </c>
    </row>
    <row r="65" spans="1:7">
      <c r="A65" s="522" t="s">
        <v>304</v>
      </c>
      <c r="B65" s="522"/>
      <c r="C65" s="522"/>
      <c r="D65" s="522"/>
      <c r="E65" s="522"/>
      <c r="F65" s="522"/>
      <c r="G65" s="522"/>
    </row>
    <row r="66" spans="1:7">
      <c r="A66" s="190"/>
    </row>
    <row r="67" spans="1:7">
      <c r="A67" s="523" t="s">
        <v>305</v>
      </c>
      <c r="B67" s="523"/>
      <c r="C67" s="523"/>
      <c r="D67" s="523"/>
      <c r="E67" s="523"/>
      <c r="F67" s="523"/>
      <c r="G67" s="523"/>
    </row>
    <row r="68" spans="1:7" ht="16.5" thickBot="1">
      <c r="A68" s="523" t="s">
        <v>306</v>
      </c>
      <c r="B68" s="523"/>
      <c r="C68" s="523"/>
      <c r="D68" s="523"/>
      <c r="E68" s="523"/>
      <c r="F68" s="523"/>
      <c r="G68" s="523"/>
    </row>
    <row r="69" spans="1:7" ht="16.5" thickBot="1">
      <c r="A69" s="117" t="s">
        <v>307</v>
      </c>
      <c r="B69" s="118" t="s">
        <v>308</v>
      </c>
      <c r="C69" s="117" t="s">
        <v>4</v>
      </c>
      <c r="D69" s="117" t="s">
        <v>279</v>
      </c>
    </row>
    <row r="70" spans="1:7">
      <c r="A70" s="82" t="s">
        <v>257</v>
      </c>
      <c r="B70" s="119" t="s">
        <v>8</v>
      </c>
      <c r="C70" s="120">
        <v>0.2</v>
      </c>
      <c r="D70" s="104">
        <f t="shared" ref="D70:D77" si="0">ROUND($D$43*C70,2)</f>
        <v>304.39999999999998</v>
      </c>
    </row>
    <row r="71" spans="1:7">
      <c r="A71" s="105" t="s">
        <v>259</v>
      </c>
      <c r="B71" s="121" t="s">
        <v>309</v>
      </c>
      <c r="C71" s="122">
        <v>1.4999999999999999E-2</v>
      </c>
      <c r="D71" s="107">
        <f t="shared" si="0"/>
        <v>22.83</v>
      </c>
    </row>
    <row r="72" spans="1:7">
      <c r="A72" s="191" t="s">
        <v>261</v>
      </c>
      <c r="B72" s="123" t="s">
        <v>310</v>
      </c>
      <c r="C72" s="122">
        <v>0.01</v>
      </c>
      <c r="D72" s="107">
        <f t="shared" si="0"/>
        <v>15.22</v>
      </c>
    </row>
    <row r="73" spans="1:7">
      <c r="A73" s="105" t="s">
        <v>263</v>
      </c>
      <c r="B73" s="121" t="s">
        <v>9</v>
      </c>
      <c r="C73" s="122">
        <v>2E-3</v>
      </c>
      <c r="D73" s="107">
        <f t="shared" si="0"/>
        <v>3.04</v>
      </c>
    </row>
    <row r="74" spans="1:7">
      <c r="A74" s="191" t="s">
        <v>284</v>
      </c>
      <c r="B74" s="123" t="s">
        <v>10</v>
      </c>
      <c r="C74" s="122">
        <v>2.5000000000000001E-2</v>
      </c>
      <c r="D74" s="107">
        <f t="shared" si="0"/>
        <v>38.049999999999997</v>
      </c>
    </row>
    <row r="75" spans="1:7">
      <c r="A75" s="105" t="s">
        <v>286</v>
      </c>
      <c r="B75" s="121" t="s">
        <v>11</v>
      </c>
      <c r="C75" s="122">
        <v>0.08</v>
      </c>
      <c r="D75" s="107">
        <f t="shared" si="0"/>
        <v>121.76</v>
      </c>
    </row>
    <row r="76" spans="1:7" ht="31.5">
      <c r="A76" s="191" t="s">
        <v>288</v>
      </c>
      <c r="B76" s="123" t="s">
        <v>378</v>
      </c>
      <c r="C76" s="141">
        <v>3.0499999999999999E-2</v>
      </c>
      <c r="D76" s="245">
        <f t="shared" si="0"/>
        <v>46.42</v>
      </c>
    </row>
    <row r="77" spans="1:7" ht="16.5" thickBot="1">
      <c r="A77" s="124" t="s">
        <v>290</v>
      </c>
      <c r="B77" s="125" t="s">
        <v>12</v>
      </c>
      <c r="C77" s="126">
        <v>6.0000000000000001E-3</v>
      </c>
      <c r="D77" s="110">
        <f t="shared" si="0"/>
        <v>9.1300000000000008</v>
      </c>
    </row>
    <row r="78" spans="1:7" ht="16.5" thickBot="1">
      <c r="A78" s="530" t="s">
        <v>7</v>
      </c>
      <c r="B78" s="531"/>
      <c r="C78" s="127">
        <f>SUM(C70:C77)</f>
        <v>0.36850000000000005</v>
      </c>
      <c r="D78" s="113">
        <f>SUM(D70:D77)</f>
        <v>560.85</v>
      </c>
    </row>
    <row r="79" spans="1:7">
      <c r="A79" s="534" t="s">
        <v>311</v>
      </c>
      <c r="B79" s="534"/>
      <c r="C79" s="534"/>
      <c r="D79" s="534"/>
    </row>
    <row r="80" spans="1:7" ht="16.5" customHeight="1">
      <c r="A80" s="534" t="s">
        <v>312</v>
      </c>
      <c r="B80" s="534"/>
      <c r="C80" s="534"/>
      <c r="D80" s="534"/>
    </row>
    <row r="81" spans="1:7">
      <c r="A81" s="190"/>
    </row>
    <row r="82" spans="1:7" ht="16.5" thickBot="1">
      <c r="A82" s="523" t="s">
        <v>313</v>
      </c>
      <c r="B82" s="523"/>
      <c r="C82" s="523"/>
      <c r="D82" s="523"/>
      <c r="E82" s="523"/>
      <c r="F82" s="523"/>
      <c r="G82" s="523"/>
    </row>
    <row r="83" spans="1:7" ht="16.5" thickBot="1">
      <c r="A83" s="117" t="s">
        <v>314</v>
      </c>
      <c r="B83" s="118" t="s">
        <v>315</v>
      </c>
      <c r="C83" s="117" t="s">
        <v>4</v>
      </c>
      <c r="D83" s="117" t="s">
        <v>279</v>
      </c>
    </row>
    <row r="84" spans="1:7">
      <c r="A84" s="82" t="s">
        <v>257</v>
      </c>
      <c r="B84" s="119" t="s">
        <v>316</v>
      </c>
      <c r="C84" s="120">
        <f>((5/56)*100)/100</f>
        <v>8.9285714285714288E-2</v>
      </c>
      <c r="D84" s="104">
        <f>ROUND($D$43*C84,2)</f>
        <v>135.88999999999999</v>
      </c>
    </row>
    <row r="85" spans="1:7">
      <c r="A85" s="105" t="s">
        <v>259</v>
      </c>
      <c r="B85" s="121" t="s">
        <v>317</v>
      </c>
      <c r="C85" s="128">
        <f>(1/3)*(5/56)</f>
        <v>2.976190476190476E-2</v>
      </c>
      <c r="D85" s="129">
        <f>ROUND($D$43*C85,2)</f>
        <v>45.3</v>
      </c>
    </row>
    <row r="86" spans="1:7">
      <c r="A86" s="130" t="s">
        <v>318</v>
      </c>
      <c r="B86" s="121"/>
      <c r="C86" s="131">
        <f>SUM(C84:C85)</f>
        <v>0.11904761904761904</v>
      </c>
      <c r="D86" s="132">
        <f>SUM(D84:D85)</f>
        <v>181.19</v>
      </c>
    </row>
    <row r="87" spans="1:7" ht="32.25" thickBot="1">
      <c r="A87" s="105" t="s">
        <v>261</v>
      </c>
      <c r="B87" s="121" t="s">
        <v>319</v>
      </c>
      <c r="C87" s="122">
        <f>D87/D43</f>
        <v>4.3869908015768726E-2</v>
      </c>
      <c r="D87" s="107">
        <f>ROUND(D78*C86,2)</f>
        <v>66.77</v>
      </c>
    </row>
    <row r="88" spans="1:7" ht="16.5" thickBot="1">
      <c r="A88" s="530" t="s">
        <v>7</v>
      </c>
      <c r="B88" s="531"/>
      <c r="C88" s="127">
        <f>C87+C86</f>
        <v>0.16291752706338777</v>
      </c>
      <c r="D88" s="113">
        <f>D86+D87</f>
        <v>247.95999999999998</v>
      </c>
    </row>
    <row r="89" spans="1:7">
      <c r="A89" s="190"/>
    </row>
    <row r="90" spans="1:7" ht="16.5" thickBot="1">
      <c r="A90" s="523" t="s">
        <v>320</v>
      </c>
      <c r="B90" s="523"/>
      <c r="C90" s="523"/>
      <c r="D90" s="523"/>
      <c r="E90" s="523"/>
      <c r="F90" s="523"/>
      <c r="G90" s="523"/>
    </row>
    <row r="91" spans="1:7" ht="16.5" thickBot="1">
      <c r="A91" s="117" t="s">
        <v>321</v>
      </c>
      <c r="B91" s="118" t="s">
        <v>322</v>
      </c>
      <c r="C91" s="117" t="s">
        <v>4</v>
      </c>
      <c r="D91" s="117" t="s">
        <v>279</v>
      </c>
    </row>
    <row r="92" spans="1:7">
      <c r="A92" s="82" t="s">
        <v>257</v>
      </c>
      <c r="B92" s="133" t="s">
        <v>323</v>
      </c>
      <c r="C92" s="120">
        <f>0.1111*0.02*0.3333</f>
        <v>7.4059259999999997E-4</v>
      </c>
      <c r="D92" s="104">
        <f>ROUND($D$43*C92,2)</f>
        <v>1.1299999999999999</v>
      </c>
    </row>
    <row r="93" spans="1:7" ht="32.25" thickBot="1">
      <c r="A93" s="109" t="s">
        <v>259</v>
      </c>
      <c r="B93" s="134" t="s">
        <v>324</v>
      </c>
      <c r="C93" s="126">
        <f>D93/D43</f>
        <v>2.759526938239159E-4</v>
      </c>
      <c r="D93" s="110">
        <f>ROUND(D78*C92,2)</f>
        <v>0.42</v>
      </c>
    </row>
    <row r="94" spans="1:7" ht="16.5" thickBot="1">
      <c r="A94" s="530" t="s">
        <v>7</v>
      </c>
      <c r="B94" s="531"/>
      <c r="C94" s="127">
        <f>SUM(C92:C93)</f>
        <v>1.0165452938239159E-3</v>
      </c>
      <c r="D94" s="113">
        <f>SUM(D92:D93)</f>
        <v>1.5499999999999998</v>
      </c>
    </row>
    <row r="95" spans="1:7">
      <c r="A95" s="190"/>
    </row>
    <row r="96" spans="1:7">
      <c r="A96" s="190"/>
    </row>
    <row r="97" spans="1:7" ht="16.5" thickBot="1">
      <c r="A97" s="523" t="s">
        <v>325</v>
      </c>
      <c r="B97" s="523"/>
      <c r="C97" s="523"/>
      <c r="D97" s="523"/>
      <c r="E97" s="523"/>
      <c r="F97" s="523"/>
      <c r="G97" s="523"/>
    </row>
    <row r="98" spans="1:7" ht="16.5" thickBot="1">
      <c r="A98" s="117" t="s">
        <v>326</v>
      </c>
      <c r="B98" s="118" t="s">
        <v>327</v>
      </c>
      <c r="C98" s="117" t="s">
        <v>4</v>
      </c>
      <c r="D98" s="117" t="s">
        <v>279</v>
      </c>
    </row>
    <row r="99" spans="1:7">
      <c r="A99" s="82" t="s">
        <v>257</v>
      </c>
      <c r="B99" s="133" t="s">
        <v>328</v>
      </c>
      <c r="C99" s="135">
        <f>((1/12)*0.05)</f>
        <v>4.1666666666666666E-3</v>
      </c>
      <c r="D99" s="104">
        <f>ROUND($D$43*C99,2)</f>
        <v>6.34</v>
      </c>
    </row>
    <row r="100" spans="1:7" ht="31.5">
      <c r="A100" s="191" t="s">
        <v>259</v>
      </c>
      <c r="B100" s="91" t="s">
        <v>329</v>
      </c>
      <c r="C100" s="136">
        <f>D100/D43</f>
        <v>3.3508541392904072E-4</v>
      </c>
      <c r="D100" s="137">
        <f>ROUND(D75*C99,2)</f>
        <v>0.51</v>
      </c>
    </row>
    <row r="101" spans="1:7">
      <c r="A101" s="191" t="s">
        <v>261</v>
      </c>
      <c r="B101" s="138" t="s">
        <v>330</v>
      </c>
      <c r="C101" s="139">
        <f>0.08*0.5*0.9*(1+(5/56)+(5/56)+(1/3)*(5/56))</f>
        <v>4.3499999999999997E-2</v>
      </c>
      <c r="D101" s="107">
        <f>ROUND($D$43*C101,2)</f>
        <v>66.209999999999994</v>
      </c>
    </row>
    <row r="102" spans="1:7">
      <c r="A102" s="191" t="s">
        <v>263</v>
      </c>
      <c r="B102" s="138" t="s">
        <v>331</v>
      </c>
      <c r="C102" s="140">
        <f>(((7/30)/12))</f>
        <v>1.9444444444444445E-2</v>
      </c>
      <c r="D102" s="107">
        <f>ROUND($D$43*C102,2)</f>
        <v>29.59</v>
      </c>
    </row>
    <row r="103" spans="1:7" ht="31.5">
      <c r="A103" s="191" t="s">
        <v>284</v>
      </c>
      <c r="B103" s="138" t="s">
        <v>332</v>
      </c>
      <c r="C103" s="141">
        <f>D103/D43</f>
        <v>7.1681997371879106E-3</v>
      </c>
      <c r="D103" s="107">
        <f>ROUND(D78*C102,2)</f>
        <v>10.91</v>
      </c>
    </row>
    <row r="104" spans="1:7" ht="16.5" thickBot="1">
      <c r="A104" s="109" t="s">
        <v>286</v>
      </c>
      <c r="B104" s="134" t="s">
        <v>333</v>
      </c>
      <c r="C104" s="142">
        <f>(40%+10%)*C75*C102</f>
        <v>7.7777777777777784E-4</v>
      </c>
      <c r="D104" s="107">
        <f>ROUND($D$43*C104,2)</f>
        <v>1.18</v>
      </c>
    </row>
    <row r="105" spans="1:7" ht="16.5" thickBot="1">
      <c r="A105" s="525" t="s">
        <v>7</v>
      </c>
      <c r="B105" s="526"/>
      <c r="C105" s="127">
        <f>SUM(C99:C104)</f>
        <v>7.5392174040005838E-2</v>
      </c>
      <c r="D105" s="143">
        <f>SUM(D99:D104)</f>
        <v>114.74</v>
      </c>
    </row>
    <row r="106" spans="1:7">
      <c r="A106" s="71"/>
    </row>
    <row r="107" spans="1:7" ht="16.5" thickBot="1">
      <c r="A107" s="523" t="s">
        <v>334</v>
      </c>
      <c r="B107" s="523"/>
      <c r="C107" s="523"/>
      <c r="D107" s="523"/>
      <c r="E107" s="523"/>
      <c r="F107" s="523"/>
      <c r="G107" s="523"/>
    </row>
    <row r="108" spans="1:7" ht="32.25" thickBot="1">
      <c r="A108" s="117" t="s">
        <v>335</v>
      </c>
      <c r="B108" s="118" t="s">
        <v>336</v>
      </c>
      <c r="C108" s="117" t="s">
        <v>4</v>
      </c>
      <c r="D108" s="117" t="s">
        <v>279</v>
      </c>
    </row>
    <row r="109" spans="1:7">
      <c r="A109" s="82" t="s">
        <v>257</v>
      </c>
      <c r="B109" s="133" t="s">
        <v>13</v>
      </c>
      <c r="C109" s="144">
        <f>(5/56)</f>
        <v>8.9285714285714288E-2</v>
      </c>
      <c r="D109" s="107">
        <f t="shared" ref="D109:D114" si="1">ROUND($D$43*C109,2)</f>
        <v>135.88999999999999</v>
      </c>
    </row>
    <row r="110" spans="1:7">
      <c r="A110" s="191" t="s">
        <v>259</v>
      </c>
      <c r="B110" s="138" t="s">
        <v>379</v>
      </c>
      <c r="C110" s="122">
        <f>(10.96/30)/12</f>
        <v>3.0444444444444444E-2</v>
      </c>
      <c r="D110" s="107">
        <f t="shared" si="1"/>
        <v>46.34</v>
      </c>
      <c r="E110" s="184"/>
    </row>
    <row r="111" spans="1:7">
      <c r="A111" s="191" t="s">
        <v>261</v>
      </c>
      <c r="B111" s="138" t="s">
        <v>337</v>
      </c>
      <c r="C111" s="122">
        <f>((5/30)/12)*0.015</f>
        <v>2.0833333333333332E-4</v>
      </c>
      <c r="D111" s="107">
        <f t="shared" si="1"/>
        <v>0.32</v>
      </c>
    </row>
    <row r="112" spans="1:7">
      <c r="A112" s="191" t="s">
        <v>263</v>
      </c>
      <c r="B112" s="138" t="s">
        <v>338</v>
      </c>
      <c r="C112" s="122">
        <f>((1/30)/12)</f>
        <v>2.7777777777777779E-3</v>
      </c>
      <c r="D112" s="107">
        <f t="shared" si="1"/>
        <v>4.2300000000000004</v>
      </c>
    </row>
    <row r="113" spans="1:7">
      <c r="A113" s="191" t="s">
        <v>284</v>
      </c>
      <c r="B113" s="138" t="s">
        <v>339</v>
      </c>
      <c r="C113" s="122">
        <f>((15/30)/12)*0.0078</f>
        <v>3.2499999999999999E-4</v>
      </c>
      <c r="D113" s="107">
        <f t="shared" si="1"/>
        <v>0.49</v>
      </c>
    </row>
    <row r="114" spans="1:7">
      <c r="A114" s="191" t="s">
        <v>286</v>
      </c>
      <c r="B114" s="138" t="s">
        <v>291</v>
      </c>
      <c r="C114" s="145"/>
      <c r="D114" s="107">
        <f t="shared" si="1"/>
        <v>0</v>
      </c>
    </row>
    <row r="115" spans="1:7">
      <c r="A115" s="532" t="s">
        <v>318</v>
      </c>
      <c r="B115" s="533"/>
      <c r="C115" s="122">
        <f>SUM(C109:C114)</f>
        <v>0.12304126984126985</v>
      </c>
      <c r="D115" s="107">
        <f>SUM(D109:D114)</f>
        <v>187.26999999999998</v>
      </c>
    </row>
    <row r="116" spans="1:7" ht="32.25" thickBot="1">
      <c r="A116" s="109" t="s">
        <v>288</v>
      </c>
      <c r="B116" s="134" t="s">
        <v>340</v>
      </c>
      <c r="C116" s="142">
        <f>D116/$D$43</f>
        <v>4.534165571616295E-2</v>
      </c>
      <c r="D116" s="107">
        <f>ROUND(D78*C115,2)</f>
        <v>69.010000000000005</v>
      </c>
    </row>
    <row r="117" spans="1:7" ht="16.5" thickBot="1">
      <c r="A117" s="525" t="s">
        <v>7</v>
      </c>
      <c r="B117" s="526"/>
      <c r="C117" s="127">
        <f>C116+C115</f>
        <v>0.16838292555743281</v>
      </c>
      <c r="D117" s="146">
        <f>D116+D115</f>
        <v>256.27999999999997</v>
      </c>
    </row>
    <row r="118" spans="1:7">
      <c r="A118" s="190" t="s">
        <v>341</v>
      </c>
    </row>
    <row r="119" spans="1:7" ht="16.5" thickBot="1">
      <c r="A119" s="522" t="s">
        <v>342</v>
      </c>
      <c r="B119" s="522"/>
      <c r="C119" s="522"/>
      <c r="D119" s="522"/>
      <c r="E119" s="522"/>
      <c r="F119" s="522"/>
      <c r="G119" s="522"/>
    </row>
    <row r="120" spans="1:7" ht="32.25" customHeight="1" thickBot="1">
      <c r="A120" s="147">
        <v>4</v>
      </c>
      <c r="B120" s="148" t="s">
        <v>343</v>
      </c>
      <c r="C120" s="149" t="s">
        <v>4</v>
      </c>
      <c r="D120" s="150" t="s">
        <v>279</v>
      </c>
    </row>
    <row r="121" spans="1:7">
      <c r="A121" s="82" t="s">
        <v>307</v>
      </c>
      <c r="B121" s="133" t="s">
        <v>344</v>
      </c>
      <c r="C121" s="142">
        <f t="shared" ref="C121:C126" si="2">D121/$D$43</f>
        <v>0.16291721419185282</v>
      </c>
      <c r="D121" s="107">
        <f>D88</f>
        <v>247.95999999999998</v>
      </c>
    </row>
    <row r="122" spans="1:7">
      <c r="A122" s="191" t="s">
        <v>314</v>
      </c>
      <c r="B122" s="138" t="s">
        <v>308</v>
      </c>
      <c r="C122" s="142">
        <f t="shared" si="2"/>
        <v>0.36849540078843629</v>
      </c>
      <c r="D122" s="107">
        <f>D78</f>
        <v>560.85</v>
      </c>
    </row>
    <row r="123" spans="1:7">
      <c r="A123" s="191" t="s">
        <v>321</v>
      </c>
      <c r="B123" s="138" t="s">
        <v>323</v>
      </c>
      <c r="C123" s="142">
        <f t="shared" si="2"/>
        <v>1.0183968462549276E-3</v>
      </c>
      <c r="D123" s="107">
        <f>D94</f>
        <v>1.5499999999999998</v>
      </c>
    </row>
    <row r="124" spans="1:7">
      <c r="A124" s="151" t="s">
        <v>326</v>
      </c>
      <c r="B124" s="152" t="s">
        <v>345</v>
      </c>
      <c r="C124" s="142">
        <f t="shared" si="2"/>
        <v>7.5387647831800256E-2</v>
      </c>
      <c r="D124" s="107">
        <f>D105</f>
        <v>114.74</v>
      </c>
    </row>
    <row r="125" spans="1:7">
      <c r="A125" s="153" t="s">
        <v>335</v>
      </c>
      <c r="B125" s="154" t="s">
        <v>346</v>
      </c>
      <c r="C125" s="142">
        <f t="shared" si="2"/>
        <v>0.1683837056504599</v>
      </c>
      <c r="D125" s="107">
        <f>D117</f>
        <v>256.27999999999997</v>
      </c>
    </row>
    <row r="126" spans="1:7" ht="16.5" thickBot="1">
      <c r="A126" s="191" t="s">
        <v>347</v>
      </c>
      <c r="B126" s="138" t="s">
        <v>291</v>
      </c>
      <c r="C126" s="142">
        <f t="shared" si="2"/>
        <v>0</v>
      </c>
      <c r="D126" s="107">
        <v>0</v>
      </c>
    </row>
    <row r="127" spans="1:7" ht="37.5" customHeight="1" thickBot="1">
      <c r="A127" s="530" t="s">
        <v>348</v>
      </c>
      <c r="B127" s="531"/>
      <c r="C127" s="127">
        <f>SUM(C121:C126)</f>
        <v>0.77620236530880427</v>
      </c>
      <c r="D127" s="113">
        <f>SUM(D121:D126)</f>
        <v>1181.3799999999999</v>
      </c>
    </row>
    <row r="128" spans="1:7">
      <c r="A128" s="155"/>
      <c r="B128" s="155"/>
      <c r="C128" s="156"/>
      <c r="D128" s="157"/>
      <c r="E128" s="158"/>
      <c r="F128" s="159"/>
      <c r="G128" s="159"/>
    </row>
    <row r="129" spans="1:8" ht="16.5" thickBot="1">
      <c r="A129" s="522" t="s">
        <v>349</v>
      </c>
      <c r="B129" s="522"/>
      <c r="C129" s="522"/>
      <c r="D129" s="522"/>
      <c r="E129" s="522"/>
      <c r="F129" s="522"/>
      <c r="G129" s="522"/>
      <c r="H129" s="160"/>
    </row>
    <row r="130" spans="1:8" ht="16.5" thickBot="1">
      <c r="A130" s="147" t="s">
        <v>350</v>
      </c>
      <c r="B130" s="148" t="s">
        <v>351</v>
      </c>
      <c r="C130" s="149" t="s">
        <v>4</v>
      </c>
      <c r="D130" s="114" t="s">
        <v>279</v>
      </c>
      <c r="E130" s="161">
        <f>D43+D54+D64+D78+D88+D94+D105+D117</f>
        <v>3194.4466666666667</v>
      </c>
      <c r="G130" s="160"/>
    </row>
    <row r="131" spans="1:8">
      <c r="A131" s="82" t="s">
        <v>257</v>
      </c>
      <c r="B131" s="133" t="s">
        <v>352</v>
      </c>
      <c r="C131" s="162">
        <v>7.0248000000000005E-2</v>
      </c>
      <c r="D131" s="163">
        <f>E130*C131</f>
        <v>224.40348944000002</v>
      </c>
      <c r="G131" s="160"/>
    </row>
    <row r="132" spans="1:8">
      <c r="A132" s="191" t="s">
        <v>259</v>
      </c>
      <c r="B132" s="138" t="s">
        <v>353</v>
      </c>
      <c r="C132" s="142"/>
      <c r="D132" s="164"/>
      <c r="F132" s="165"/>
    </row>
    <row r="133" spans="1:8">
      <c r="A133" s="191"/>
      <c r="B133" s="138" t="s">
        <v>354</v>
      </c>
      <c r="C133" s="142"/>
      <c r="D133" s="129"/>
      <c r="F133" s="182"/>
      <c r="G133" s="160"/>
    </row>
    <row r="134" spans="1:8">
      <c r="A134" s="191"/>
      <c r="B134" s="138" t="s">
        <v>355</v>
      </c>
      <c r="C134" s="142">
        <v>7.5999999999999998E-2</v>
      </c>
      <c r="D134" s="107">
        <f>$D$152*C134</f>
        <v>309.07229371907482</v>
      </c>
      <c r="E134" s="165">
        <f>D152</f>
        <v>4066.7407068299322</v>
      </c>
      <c r="G134" s="160"/>
    </row>
    <row r="135" spans="1:8">
      <c r="A135" s="191"/>
      <c r="B135" s="138" t="s">
        <v>356</v>
      </c>
      <c r="C135" s="142">
        <v>1.6500000000000001E-2</v>
      </c>
      <c r="D135" s="107">
        <f>$D$152*C135</f>
        <v>67.101221662693888</v>
      </c>
      <c r="E135" s="246"/>
      <c r="G135" s="160"/>
    </row>
    <row r="136" spans="1:8">
      <c r="A136" s="191"/>
      <c r="B136" s="138" t="s">
        <v>357</v>
      </c>
      <c r="C136" s="142"/>
      <c r="D136" s="107"/>
    </row>
    <row r="137" spans="1:8">
      <c r="A137" s="191"/>
      <c r="B137" s="138" t="s">
        <v>358</v>
      </c>
      <c r="C137" s="142">
        <v>0.05</v>
      </c>
      <c r="D137" s="107">
        <f>$D$152*C137</f>
        <v>203.33703534149663</v>
      </c>
      <c r="G137" s="160"/>
    </row>
    <row r="138" spans="1:8">
      <c r="A138" s="191"/>
      <c r="B138" s="138" t="s">
        <v>359</v>
      </c>
      <c r="C138" s="142"/>
      <c r="D138" s="107"/>
    </row>
    <row r="139" spans="1:8" ht="16.5" thickBot="1">
      <c r="A139" s="191" t="s">
        <v>261</v>
      </c>
      <c r="B139" s="138" t="s">
        <v>360</v>
      </c>
      <c r="C139" s="142">
        <v>0.02</v>
      </c>
      <c r="D139" s="107">
        <f>ROUND(E139*C139,2)</f>
        <v>68.38</v>
      </c>
      <c r="E139" s="132">
        <f>E130+D131</f>
        <v>3418.8501561066669</v>
      </c>
    </row>
    <row r="140" spans="1:8" ht="33" customHeight="1" thickBot="1">
      <c r="A140" s="527" t="s">
        <v>361</v>
      </c>
      <c r="B140" s="528"/>
      <c r="C140" s="529"/>
      <c r="D140" s="166">
        <f>D131+D134+D135+D137+D139</f>
        <v>872.29404016326532</v>
      </c>
    </row>
    <row r="141" spans="1:8">
      <c r="A141" s="522" t="s">
        <v>362</v>
      </c>
      <c r="B141" s="522"/>
      <c r="C141" s="522"/>
      <c r="D141" s="522"/>
      <c r="E141" s="522"/>
      <c r="F141" s="522"/>
      <c r="G141" s="522"/>
    </row>
    <row r="142" spans="1:8">
      <c r="A142" s="522" t="s">
        <v>363</v>
      </c>
      <c r="B142" s="522"/>
      <c r="C142" s="522"/>
      <c r="D142" s="522"/>
      <c r="E142" s="522"/>
      <c r="F142" s="522"/>
      <c r="G142" s="522"/>
    </row>
    <row r="143" spans="1:8">
      <c r="A143" s="190"/>
    </row>
    <row r="144" spans="1:8" ht="16.5" thickBot="1">
      <c r="A144" s="523" t="s">
        <v>364</v>
      </c>
      <c r="B144" s="523"/>
      <c r="C144" s="523"/>
      <c r="D144" s="523"/>
      <c r="E144" s="523"/>
      <c r="F144" s="523"/>
      <c r="G144" s="523"/>
    </row>
    <row r="145" spans="1:8" ht="32.25" customHeight="1" thickBot="1">
      <c r="A145" s="147"/>
      <c r="B145" s="524" t="s">
        <v>365</v>
      </c>
      <c r="C145" s="524"/>
      <c r="D145" s="167" t="s">
        <v>366</v>
      </c>
    </row>
    <row r="146" spans="1:8">
      <c r="A146" s="191" t="s">
        <v>257</v>
      </c>
      <c r="B146" s="138" t="s">
        <v>367</v>
      </c>
      <c r="C146" s="122">
        <f t="shared" ref="C146:C151" si="3">D146/$D$152</f>
        <v>0.37425548116305041</v>
      </c>
      <c r="D146" s="129">
        <f>D43</f>
        <v>1522</v>
      </c>
    </row>
    <row r="147" spans="1:8">
      <c r="A147" s="191" t="s">
        <v>259</v>
      </c>
      <c r="B147" s="138" t="s">
        <v>368</v>
      </c>
      <c r="C147" s="122">
        <f t="shared" si="3"/>
        <v>0.11062913336087804</v>
      </c>
      <c r="D147" s="129">
        <f>D54</f>
        <v>449.9</v>
      </c>
    </row>
    <row r="148" spans="1:8" ht="31.5">
      <c r="A148" s="191" t="s">
        <v>261</v>
      </c>
      <c r="B148" s="138" t="s">
        <v>369</v>
      </c>
      <c r="C148" s="122">
        <f t="shared" si="3"/>
        <v>1.0122766518536296E-2</v>
      </c>
      <c r="D148" s="129">
        <f>D64</f>
        <v>41.166666666666664</v>
      </c>
      <c r="E148" s="165">
        <f>D150+D131+D139</f>
        <v>3487.230156106667</v>
      </c>
    </row>
    <row r="149" spans="1:8" ht="31.5">
      <c r="A149" s="191" t="s">
        <v>263</v>
      </c>
      <c r="B149" s="138" t="s">
        <v>370</v>
      </c>
      <c r="C149" s="122">
        <f t="shared" si="3"/>
        <v>0.29049798970854435</v>
      </c>
      <c r="D149" s="129">
        <f>D127</f>
        <v>1181.3799999999999</v>
      </c>
      <c r="E149" s="174">
        <f>C137+C135+C134</f>
        <v>0.14250000000000002</v>
      </c>
    </row>
    <row r="150" spans="1:8" ht="16.5" customHeight="1">
      <c r="A150" s="168" t="s">
        <v>371</v>
      </c>
      <c r="B150" s="169"/>
      <c r="C150" s="131">
        <f t="shared" si="3"/>
        <v>0.78550537075100912</v>
      </c>
      <c r="D150" s="170">
        <f>SUM(D146:D149)</f>
        <v>3194.4466666666667</v>
      </c>
      <c r="E150" s="174">
        <f>100%-E149</f>
        <v>0.85749999999999993</v>
      </c>
    </row>
    <row r="151" spans="1:8" ht="32.25" thickBot="1">
      <c r="A151" s="191" t="s">
        <v>284</v>
      </c>
      <c r="B151" s="138" t="s">
        <v>372</v>
      </c>
      <c r="C151" s="122">
        <f t="shared" si="3"/>
        <v>0.21449462924899085</v>
      </c>
      <c r="D151" s="129">
        <f>D140</f>
        <v>872.29404016326532</v>
      </c>
      <c r="G151" s="171"/>
    </row>
    <row r="152" spans="1:8" ht="16.5" customHeight="1" thickBot="1">
      <c r="A152" s="525" t="s">
        <v>373</v>
      </c>
      <c r="B152" s="526"/>
      <c r="C152" s="127">
        <f>C151+C150</f>
        <v>1</v>
      </c>
      <c r="D152" s="166">
        <f>(D150+D139+D131)/0.8575</f>
        <v>4066.7407068299322</v>
      </c>
      <c r="E152" s="171"/>
      <c r="F152" s="165">
        <f>D150+D151</f>
        <v>4066.7407068299322</v>
      </c>
      <c r="H152" s="172"/>
    </row>
    <row r="153" spans="1:8">
      <c r="E153" s="171"/>
    </row>
    <row r="154" spans="1:8">
      <c r="A154" s="186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1.299212598425197" right="0.51181102362204722" top="2.1653543307086616" bottom="0.98425196850393704" header="0.31496062992125984" footer="0.31496062992125984"/>
  <pageSetup paperSize="9" scale="79" fitToHeight="4" orientation="portrait" r:id="rId1"/>
  <headerFooter alignWithMargins="0"/>
  <rowBreaks count="3" manualBreakCount="3">
    <brk id="43" max="3" man="1"/>
    <brk id="88" max="3" man="1"/>
    <brk id="128" max="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154"/>
  <sheetViews>
    <sheetView showGridLines="0" view="pageBreakPreview" topLeftCell="A19" zoomScale="90" zoomScaleSheetLayoutView="90" workbookViewId="0">
      <selection activeCell="I34" sqref="I34"/>
    </sheetView>
  </sheetViews>
  <sheetFormatPr defaultRowHeight="15.75"/>
  <cols>
    <col min="1" max="1" width="9.28515625" style="53" customWidth="1"/>
    <col min="2" max="2" width="39.85546875" style="53" customWidth="1"/>
    <col min="3" max="3" width="18.28515625" style="53" customWidth="1"/>
    <col min="4" max="4" width="23.85546875" style="53" customWidth="1"/>
    <col min="5" max="5" width="16" style="53" bestFit="1" customWidth="1"/>
    <col min="6" max="6" width="13.7109375" style="53" bestFit="1" customWidth="1"/>
    <col min="7" max="7" width="15.7109375" style="53" bestFit="1" customWidth="1"/>
    <col min="8" max="8" width="13.140625" style="53" bestFit="1" customWidth="1"/>
    <col min="9" max="9" width="11.85546875" style="53" bestFit="1" customWidth="1"/>
    <col min="10" max="10" width="12.85546875" style="53" bestFit="1" customWidth="1"/>
    <col min="11" max="256" width="9.140625" style="53"/>
    <col min="257" max="257" width="9.28515625" style="53" customWidth="1"/>
    <col min="258" max="258" width="39.85546875" style="53" customWidth="1"/>
    <col min="259" max="259" width="18.28515625" style="53" customWidth="1"/>
    <col min="260" max="260" width="23.85546875" style="53" customWidth="1"/>
    <col min="261" max="261" width="16" style="53" bestFit="1" customWidth="1"/>
    <col min="262" max="262" width="13.7109375" style="53" bestFit="1" customWidth="1"/>
    <col min="263" max="263" width="15.7109375" style="53" bestFit="1" customWidth="1"/>
    <col min="264" max="264" width="13.140625" style="53" bestFit="1" customWidth="1"/>
    <col min="265" max="265" width="11.85546875" style="53" bestFit="1" customWidth="1"/>
    <col min="266" max="266" width="12.85546875" style="53" bestFit="1" customWidth="1"/>
    <col min="267" max="512" width="9.140625" style="53"/>
    <col min="513" max="513" width="9.28515625" style="53" customWidth="1"/>
    <col min="514" max="514" width="39.85546875" style="53" customWidth="1"/>
    <col min="515" max="515" width="18.28515625" style="53" customWidth="1"/>
    <col min="516" max="516" width="23.85546875" style="53" customWidth="1"/>
    <col min="517" max="517" width="16" style="53" bestFit="1" customWidth="1"/>
    <col min="518" max="518" width="13.7109375" style="53" bestFit="1" customWidth="1"/>
    <col min="519" max="519" width="15.7109375" style="53" bestFit="1" customWidth="1"/>
    <col min="520" max="520" width="13.140625" style="53" bestFit="1" customWidth="1"/>
    <col min="521" max="521" width="11.85546875" style="53" bestFit="1" customWidth="1"/>
    <col min="522" max="522" width="12.85546875" style="53" bestFit="1" customWidth="1"/>
    <col min="523" max="768" width="9.140625" style="53"/>
    <col min="769" max="769" width="9.28515625" style="53" customWidth="1"/>
    <col min="770" max="770" width="39.85546875" style="53" customWidth="1"/>
    <col min="771" max="771" width="18.28515625" style="53" customWidth="1"/>
    <col min="772" max="772" width="23.85546875" style="53" customWidth="1"/>
    <col min="773" max="773" width="16" style="53" bestFit="1" customWidth="1"/>
    <col min="774" max="774" width="13.7109375" style="53" bestFit="1" customWidth="1"/>
    <col min="775" max="775" width="15.7109375" style="53" bestFit="1" customWidth="1"/>
    <col min="776" max="776" width="13.140625" style="53" bestFit="1" customWidth="1"/>
    <col min="777" max="777" width="11.85546875" style="53" bestFit="1" customWidth="1"/>
    <col min="778" max="778" width="12.85546875" style="53" bestFit="1" customWidth="1"/>
    <col min="779" max="1024" width="9.140625" style="53"/>
    <col min="1025" max="1025" width="9.28515625" style="53" customWidth="1"/>
    <col min="1026" max="1026" width="39.85546875" style="53" customWidth="1"/>
    <col min="1027" max="1027" width="18.28515625" style="53" customWidth="1"/>
    <col min="1028" max="1028" width="23.85546875" style="53" customWidth="1"/>
    <col min="1029" max="1029" width="16" style="53" bestFit="1" customWidth="1"/>
    <col min="1030" max="1030" width="13.7109375" style="53" bestFit="1" customWidth="1"/>
    <col min="1031" max="1031" width="15.7109375" style="53" bestFit="1" customWidth="1"/>
    <col min="1032" max="1032" width="13.140625" style="53" bestFit="1" customWidth="1"/>
    <col min="1033" max="1033" width="11.85546875" style="53" bestFit="1" customWidth="1"/>
    <col min="1034" max="1034" width="12.85546875" style="53" bestFit="1" customWidth="1"/>
    <col min="1035" max="1280" width="9.140625" style="53"/>
    <col min="1281" max="1281" width="9.28515625" style="53" customWidth="1"/>
    <col min="1282" max="1282" width="39.85546875" style="53" customWidth="1"/>
    <col min="1283" max="1283" width="18.28515625" style="53" customWidth="1"/>
    <col min="1284" max="1284" width="23.85546875" style="53" customWidth="1"/>
    <col min="1285" max="1285" width="16" style="53" bestFit="1" customWidth="1"/>
    <col min="1286" max="1286" width="13.7109375" style="53" bestFit="1" customWidth="1"/>
    <col min="1287" max="1287" width="15.7109375" style="53" bestFit="1" customWidth="1"/>
    <col min="1288" max="1288" width="13.140625" style="53" bestFit="1" customWidth="1"/>
    <col min="1289" max="1289" width="11.85546875" style="53" bestFit="1" customWidth="1"/>
    <col min="1290" max="1290" width="12.85546875" style="53" bestFit="1" customWidth="1"/>
    <col min="1291" max="1536" width="9.140625" style="53"/>
    <col min="1537" max="1537" width="9.28515625" style="53" customWidth="1"/>
    <col min="1538" max="1538" width="39.85546875" style="53" customWidth="1"/>
    <col min="1539" max="1539" width="18.28515625" style="53" customWidth="1"/>
    <col min="1540" max="1540" width="23.85546875" style="53" customWidth="1"/>
    <col min="1541" max="1541" width="16" style="53" bestFit="1" customWidth="1"/>
    <col min="1542" max="1542" width="13.7109375" style="53" bestFit="1" customWidth="1"/>
    <col min="1543" max="1543" width="15.7109375" style="53" bestFit="1" customWidth="1"/>
    <col min="1544" max="1544" width="13.140625" style="53" bestFit="1" customWidth="1"/>
    <col min="1545" max="1545" width="11.85546875" style="53" bestFit="1" customWidth="1"/>
    <col min="1546" max="1546" width="12.85546875" style="53" bestFit="1" customWidth="1"/>
    <col min="1547" max="1792" width="9.140625" style="53"/>
    <col min="1793" max="1793" width="9.28515625" style="53" customWidth="1"/>
    <col min="1794" max="1794" width="39.85546875" style="53" customWidth="1"/>
    <col min="1795" max="1795" width="18.28515625" style="53" customWidth="1"/>
    <col min="1796" max="1796" width="23.85546875" style="53" customWidth="1"/>
    <col min="1797" max="1797" width="16" style="53" bestFit="1" customWidth="1"/>
    <col min="1798" max="1798" width="13.7109375" style="53" bestFit="1" customWidth="1"/>
    <col min="1799" max="1799" width="15.7109375" style="53" bestFit="1" customWidth="1"/>
    <col min="1800" max="1800" width="13.140625" style="53" bestFit="1" customWidth="1"/>
    <col min="1801" max="1801" width="11.85546875" style="53" bestFit="1" customWidth="1"/>
    <col min="1802" max="1802" width="12.85546875" style="53" bestFit="1" customWidth="1"/>
    <col min="1803" max="2048" width="9.140625" style="53"/>
    <col min="2049" max="2049" width="9.28515625" style="53" customWidth="1"/>
    <col min="2050" max="2050" width="39.85546875" style="53" customWidth="1"/>
    <col min="2051" max="2051" width="18.28515625" style="53" customWidth="1"/>
    <col min="2052" max="2052" width="23.85546875" style="53" customWidth="1"/>
    <col min="2053" max="2053" width="16" style="53" bestFit="1" customWidth="1"/>
    <col min="2054" max="2054" width="13.7109375" style="53" bestFit="1" customWidth="1"/>
    <col min="2055" max="2055" width="15.7109375" style="53" bestFit="1" customWidth="1"/>
    <col min="2056" max="2056" width="13.140625" style="53" bestFit="1" customWidth="1"/>
    <col min="2057" max="2057" width="11.85546875" style="53" bestFit="1" customWidth="1"/>
    <col min="2058" max="2058" width="12.85546875" style="53" bestFit="1" customWidth="1"/>
    <col min="2059" max="2304" width="9.140625" style="53"/>
    <col min="2305" max="2305" width="9.28515625" style="53" customWidth="1"/>
    <col min="2306" max="2306" width="39.85546875" style="53" customWidth="1"/>
    <col min="2307" max="2307" width="18.28515625" style="53" customWidth="1"/>
    <col min="2308" max="2308" width="23.85546875" style="53" customWidth="1"/>
    <col min="2309" max="2309" width="16" style="53" bestFit="1" customWidth="1"/>
    <col min="2310" max="2310" width="13.7109375" style="53" bestFit="1" customWidth="1"/>
    <col min="2311" max="2311" width="15.7109375" style="53" bestFit="1" customWidth="1"/>
    <col min="2312" max="2312" width="13.140625" style="53" bestFit="1" customWidth="1"/>
    <col min="2313" max="2313" width="11.85546875" style="53" bestFit="1" customWidth="1"/>
    <col min="2314" max="2314" width="12.85546875" style="53" bestFit="1" customWidth="1"/>
    <col min="2315" max="2560" width="9.140625" style="53"/>
    <col min="2561" max="2561" width="9.28515625" style="53" customWidth="1"/>
    <col min="2562" max="2562" width="39.85546875" style="53" customWidth="1"/>
    <col min="2563" max="2563" width="18.28515625" style="53" customWidth="1"/>
    <col min="2564" max="2564" width="23.85546875" style="53" customWidth="1"/>
    <col min="2565" max="2565" width="16" style="53" bestFit="1" customWidth="1"/>
    <col min="2566" max="2566" width="13.7109375" style="53" bestFit="1" customWidth="1"/>
    <col min="2567" max="2567" width="15.7109375" style="53" bestFit="1" customWidth="1"/>
    <col min="2568" max="2568" width="13.140625" style="53" bestFit="1" customWidth="1"/>
    <col min="2569" max="2569" width="11.85546875" style="53" bestFit="1" customWidth="1"/>
    <col min="2570" max="2570" width="12.85546875" style="53" bestFit="1" customWidth="1"/>
    <col min="2571" max="2816" width="9.140625" style="53"/>
    <col min="2817" max="2817" width="9.28515625" style="53" customWidth="1"/>
    <col min="2818" max="2818" width="39.85546875" style="53" customWidth="1"/>
    <col min="2819" max="2819" width="18.28515625" style="53" customWidth="1"/>
    <col min="2820" max="2820" width="23.85546875" style="53" customWidth="1"/>
    <col min="2821" max="2821" width="16" style="53" bestFit="1" customWidth="1"/>
    <col min="2822" max="2822" width="13.7109375" style="53" bestFit="1" customWidth="1"/>
    <col min="2823" max="2823" width="15.7109375" style="53" bestFit="1" customWidth="1"/>
    <col min="2824" max="2824" width="13.140625" style="53" bestFit="1" customWidth="1"/>
    <col min="2825" max="2825" width="11.85546875" style="53" bestFit="1" customWidth="1"/>
    <col min="2826" max="2826" width="12.85546875" style="53" bestFit="1" customWidth="1"/>
    <col min="2827" max="3072" width="9.140625" style="53"/>
    <col min="3073" max="3073" width="9.28515625" style="53" customWidth="1"/>
    <col min="3074" max="3074" width="39.85546875" style="53" customWidth="1"/>
    <col min="3075" max="3075" width="18.28515625" style="53" customWidth="1"/>
    <col min="3076" max="3076" width="23.85546875" style="53" customWidth="1"/>
    <col min="3077" max="3077" width="16" style="53" bestFit="1" customWidth="1"/>
    <col min="3078" max="3078" width="13.7109375" style="53" bestFit="1" customWidth="1"/>
    <col min="3079" max="3079" width="15.7109375" style="53" bestFit="1" customWidth="1"/>
    <col min="3080" max="3080" width="13.140625" style="53" bestFit="1" customWidth="1"/>
    <col min="3081" max="3081" width="11.85546875" style="53" bestFit="1" customWidth="1"/>
    <col min="3082" max="3082" width="12.85546875" style="53" bestFit="1" customWidth="1"/>
    <col min="3083" max="3328" width="9.140625" style="53"/>
    <col min="3329" max="3329" width="9.28515625" style="53" customWidth="1"/>
    <col min="3330" max="3330" width="39.85546875" style="53" customWidth="1"/>
    <col min="3331" max="3331" width="18.28515625" style="53" customWidth="1"/>
    <col min="3332" max="3332" width="23.85546875" style="53" customWidth="1"/>
    <col min="3333" max="3333" width="16" style="53" bestFit="1" customWidth="1"/>
    <col min="3334" max="3334" width="13.7109375" style="53" bestFit="1" customWidth="1"/>
    <col min="3335" max="3335" width="15.7109375" style="53" bestFit="1" customWidth="1"/>
    <col min="3336" max="3336" width="13.140625" style="53" bestFit="1" customWidth="1"/>
    <col min="3337" max="3337" width="11.85546875" style="53" bestFit="1" customWidth="1"/>
    <col min="3338" max="3338" width="12.85546875" style="53" bestFit="1" customWidth="1"/>
    <col min="3339" max="3584" width="9.140625" style="53"/>
    <col min="3585" max="3585" width="9.28515625" style="53" customWidth="1"/>
    <col min="3586" max="3586" width="39.85546875" style="53" customWidth="1"/>
    <col min="3587" max="3587" width="18.28515625" style="53" customWidth="1"/>
    <col min="3588" max="3588" width="23.85546875" style="53" customWidth="1"/>
    <col min="3589" max="3589" width="16" style="53" bestFit="1" customWidth="1"/>
    <col min="3590" max="3590" width="13.7109375" style="53" bestFit="1" customWidth="1"/>
    <col min="3591" max="3591" width="15.7109375" style="53" bestFit="1" customWidth="1"/>
    <col min="3592" max="3592" width="13.140625" style="53" bestFit="1" customWidth="1"/>
    <col min="3593" max="3593" width="11.85546875" style="53" bestFit="1" customWidth="1"/>
    <col min="3594" max="3594" width="12.85546875" style="53" bestFit="1" customWidth="1"/>
    <col min="3595" max="3840" width="9.140625" style="53"/>
    <col min="3841" max="3841" width="9.28515625" style="53" customWidth="1"/>
    <col min="3842" max="3842" width="39.85546875" style="53" customWidth="1"/>
    <col min="3843" max="3843" width="18.28515625" style="53" customWidth="1"/>
    <col min="3844" max="3844" width="23.85546875" style="53" customWidth="1"/>
    <col min="3845" max="3845" width="16" style="53" bestFit="1" customWidth="1"/>
    <col min="3846" max="3846" width="13.7109375" style="53" bestFit="1" customWidth="1"/>
    <col min="3847" max="3847" width="15.7109375" style="53" bestFit="1" customWidth="1"/>
    <col min="3848" max="3848" width="13.140625" style="53" bestFit="1" customWidth="1"/>
    <col min="3849" max="3849" width="11.85546875" style="53" bestFit="1" customWidth="1"/>
    <col min="3850" max="3850" width="12.85546875" style="53" bestFit="1" customWidth="1"/>
    <col min="3851" max="4096" width="9.140625" style="53"/>
    <col min="4097" max="4097" width="9.28515625" style="53" customWidth="1"/>
    <col min="4098" max="4098" width="39.85546875" style="53" customWidth="1"/>
    <col min="4099" max="4099" width="18.28515625" style="53" customWidth="1"/>
    <col min="4100" max="4100" width="23.85546875" style="53" customWidth="1"/>
    <col min="4101" max="4101" width="16" style="53" bestFit="1" customWidth="1"/>
    <col min="4102" max="4102" width="13.7109375" style="53" bestFit="1" customWidth="1"/>
    <col min="4103" max="4103" width="15.7109375" style="53" bestFit="1" customWidth="1"/>
    <col min="4104" max="4104" width="13.140625" style="53" bestFit="1" customWidth="1"/>
    <col min="4105" max="4105" width="11.85546875" style="53" bestFit="1" customWidth="1"/>
    <col min="4106" max="4106" width="12.85546875" style="53" bestFit="1" customWidth="1"/>
    <col min="4107" max="4352" width="9.140625" style="53"/>
    <col min="4353" max="4353" width="9.28515625" style="53" customWidth="1"/>
    <col min="4354" max="4354" width="39.85546875" style="53" customWidth="1"/>
    <col min="4355" max="4355" width="18.28515625" style="53" customWidth="1"/>
    <col min="4356" max="4356" width="23.85546875" style="53" customWidth="1"/>
    <col min="4357" max="4357" width="16" style="53" bestFit="1" customWidth="1"/>
    <col min="4358" max="4358" width="13.7109375" style="53" bestFit="1" customWidth="1"/>
    <col min="4359" max="4359" width="15.7109375" style="53" bestFit="1" customWidth="1"/>
    <col min="4360" max="4360" width="13.140625" style="53" bestFit="1" customWidth="1"/>
    <col min="4361" max="4361" width="11.85546875" style="53" bestFit="1" customWidth="1"/>
    <col min="4362" max="4362" width="12.85546875" style="53" bestFit="1" customWidth="1"/>
    <col min="4363" max="4608" width="9.140625" style="53"/>
    <col min="4609" max="4609" width="9.28515625" style="53" customWidth="1"/>
    <col min="4610" max="4610" width="39.85546875" style="53" customWidth="1"/>
    <col min="4611" max="4611" width="18.28515625" style="53" customWidth="1"/>
    <col min="4612" max="4612" width="23.85546875" style="53" customWidth="1"/>
    <col min="4613" max="4613" width="16" style="53" bestFit="1" customWidth="1"/>
    <col min="4614" max="4614" width="13.7109375" style="53" bestFit="1" customWidth="1"/>
    <col min="4615" max="4615" width="15.7109375" style="53" bestFit="1" customWidth="1"/>
    <col min="4616" max="4616" width="13.140625" style="53" bestFit="1" customWidth="1"/>
    <col min="4617" max="4617" width="11.85546875" style="53" bestFit="1" customWidth="1"/>
    <col min="4618" max="4618" width="12.85546875" style="53" bestFit="1" customWidth="1"/>
    <col min="4619" max="4864" width="9.140625" style="53"/>
    <col min="4865" max="4865" width="9.28515625" style="53" customWidth="1"/>
    <col min="4866" max="4866" width="39.85546875" style="53" customWidth="1"/>
    <col min="4867" max="4867" width="18.28515625" style="53" customWidth="1"/>
    <col min="4868" max="4868" width="23.85546875" style="53" customWidth="1"/>
    <col min="4869" max="4869" width="16" style="53" bestFit="1" customWidth="1"/>
    <col min="4870" max="4870" width="13.7109375" style="53" bestFit="1" customWidth="1"/>
    <col min="4871" max="4871" width="15.7109375" style="53" bestFit="1" customWidth="1"/>
    <col min="4872" max="4872" width="13.140625" style="53" bestFit="1" customWidth="1"/>
    <col min="4873" max="4873" width="11.85546875" style="53" bestFit="1" customWidth="1"/>
    <col min="4874" max="4874" width="12.85546875" style="53" bestFit="1" customWidth="1"/>
    <col min="4875" max="5120" width="9.140625" style="53"/>
    <col min="5121" max="5121" width="9.28515625" style="53" customWidth="1"/>
    <col min="5122" max="5122" width="39.85546875" style="53" customWidth="1"/>
    <col min="5123" max="5123" width="18.28515625" style="53" customWidth="1"/>
    <col min="5124" max="5124" width="23.85546875" style="53" customWidth="1"/>
    <col min="5125" max="5125" width="16" style="53" bestFit="1" customWidth="1"/>
    <col min="5126" max="5126" width="13.7109375" style="53" bestFit="1" customWidth="1"/>
    <col min="5127" max="5127" width="15.7109375" style="53" bestFit="1" customWidth="1"/>
    <col min="5128" max="5128" width="13.140625" style="53" bestFit="1" customWidth="1"/>
    <col min="5129" max="5129" width="11.85546875" style="53" bestFit="1" customWidth="1"/>
    <col min="5130" max="5130" width="12.85546875" style="53" bestFit="1" customWidth="1"/>
    <col min="5131" max="5376" width="9.140625" style="53"/>
    <col min="5377" max="5377" width="9.28515625" style="53" customWidth="1"/>
    <col min="5378" max="5378" width="39.85546875" style="53" customWidth="1"/>
    <col min="5379" max="5379" width="18.28515625" style="53" customWidth="1"/>
    <col min="5380" max="5380" width="23.85546875" style="53" customWidth="1"/>
    <col min="5381" max="5381" width="16" style="53" bestFit="1" customWidth="1"/>
    <col min="5382" max="5382" width="13.7109375" style="53" bestFit="1" customWidth="1"/>
    <col min="5383" max="5383" width="15.7109375" style="53" bestFit="1" customWidth="1"/>
    <col min="5384" max="5384" width="13.140625" style="53" bestFit="1" customWidth="1"/>
    <col min="5385" max="5385" width="11.85546875" style="53" bestFit="1" customWidth="1"/>
    <col min="5386" max="5386" width="12.85546875" style="53" bestFit="1" customWidth="1"/>
    <col min="5387" max="5632" width="9.140625" style="53"/>
    <col min="5633" max="5633" width="9.28515625" style="53" customWidth="1"/>
    <col min="5634" max="5634" width="39.85546875" style="53" customWidth="1"/>
    <col min="5635" max="5635" width="18.28515625" style="53" customWidth="1"/>
    <col min="5636" max="5636" width="23.85546875" style="53" customWidth="1"/>
    <col min="5637" max="5637" width="16" style="53" bestFit="1" customWidth="1"/>
    <col min="5638" max="5638" width="13.7109375" style="53" bestFit="1" customWidth="1"/>
    <col min="5639" max="5639" width="15.7109375" style="53" bestFit="1" customWidth="1"/>
    <col min="5640" max="5640" width="13.140625" style="53" bestFit="1" customWidth="1"/>
    <col min="5641" max="5641" width="11.85546875" style="53" bestFit="1" customWidth="1"/>
    <col min="5642" max="5642" width="12.85546875" style="53" bestFit="1" customWidth="1"/>
    <col min="5643" max="5888" width="9.140625" style="53"/>
    <col min="5889" max="5889" width="9.28515625" style="53" customWidth="1"/>
    <col min="5890" max="5890" width="39.85546875" style="53" customWidth="1"/>
    <col min="5891" max="5891" width="18.28515625" style="53" customWidth="1"/>
    <col min="5892" max="5892" width="23.85546875" style="53" customWidth="1"/>
    <col min="5893" max="5893" width="16" style="53" bestFit="1" customWidth="1"/>
    <col min="5894" max="5894" width="13.7109375" style="53" bestFit="1" customWidth="1"/>
    <col min="5895" max="5895" width="15.7109375" style="53" bestFit="1" customWidth="1"/>
    <col min="5896" max="5896" width="13.140625" style="53" bestFit="1" customWidth="1"/>
    <col min="5897" max="5897" width="11.85546875" style="53" bestFit="1" customWidth="1"/>
    <col min="5898" max="5898" width="12.85546875" style="53" bestFit="1" customWidth="1"/>
    <col min="5899" max="6144" width="9.140625" style="53"/>
    <col min="6145" max="6145" width="9.28515625" style="53" customWidth="1"/>
    <col min="6146" max="6146" width="39.85546875" style="53" customWidth="1"/>
    <col min="6147" max="6147" width="18.28515625" style="53" customWidth="1"/>
    <col min="6148" max="6148" width="23.85546875" style="53" customWidth="1"/>
    <col min="6149" max="6149" width="16" style="53" bestFit="1" customWidth="1"/>
    <col min="6150" max="6150" width="13.7109375" style="53" bestFit="1" customWidth="1"/>
    <col min="6151" max="6151" width="15.7109375" style="53" bestFit="1" customWidth="1"/>
    <col min="6152" max="6152" width="13.140625" style="53" bestFit="1" customWidth="1"/>
    <col min="6153" max="6153" width="11.85546875" style="53" bestFit="1" customWidth="1"/>
    <col min="6154" max="6154" width="12.85546875" style="53" bestFit="1" customWidth="1"/>
    <col min="6155" max="6400" width="9.140625" style="53"/>
    <col min="6401" max="6401" width="9.28515625" style="53" customWidth="1"/>
    <col min="6402" max="6402" width="39.85546875" style="53" customWidth="1"/>
    <col min="6403" max="6403" width="18.28515625" style="53" customWidth="1"/>
    <col min="6404" max="6404" width="23.85546875" style="53" customWidth="1"/>
    <col min="6405" max="6405" width="16" style="53" bestFit="1" customWidth="1"/>
    <col min="6406" max="6406" width="13.7109375" style="53" bestFit="1" customWidth="1"/>
    <col min="6407" max="6407" width="15.7109375" style="53" bestFit="1" customWidth="1"/>
    <col min="6408" max="6408" width="13.140625" style="53" bestFit="1" customWidth="1"/>
    <col min="6409" max="6409" width="11.85546875" style="53" bestFit="1" customWidth="1"/>
    <col min="6410" max="6410" width="12.85546875" style="53" bestFit="1" customWidth="1"/>
    <col min="6411" max="6656" width="9.140625" style="53"/>
    <col min="6657" max="6657" width="9.28515625" style="53" customWidth="1"/>
    <col min="6658" max="6658" width="39.85546875" style="53" customWidth="1"/>
    <col min="6659" max="6659" width="18.28515625" style="53" customWidth="1"/>
    <col min="6660" max="6660" width="23.85546875" style="53" customWidth="1"/>
    <col min="6661" max="6661" width="16" style="53" bestFit="1" customWidth="1"/>
    <col min="6662" max="6662" width="13.7109375" style="53" bestFit="1" customWidth="1"/>
    <col min="6663" max="6663" width="15.7109375" style="53" bestFit="1" customWidth="1"/>
    <col min="6664" max="6664" width="13.140625" style="53" bestFit="1" customWidth="1"/>
    <col min="6665" max="6665" width="11.85546875" style="53" bestFit="1" customWidth="1"/>
    <col min="6666" max="6666" width="12.85546875" style="53" bestFit="1" customWidth="1"/>
    <col min="6667" max="6912" width="9.140625" style="53"/>
    <col min="6913" max="6913" width="9.28515625" style="53" customWidth="1"/>
    <col min="6914" max="6914" width="39.85546875" style="53" customWidth="1"/>
    <col min="6915" max="6915" width="18.28515625" style="53" customWidth="1"/>
    <col min="6916" max="6916" width="23.85546875" style="53" customWidth="1"/>
    <col min="6917" max="6917" width="16" style="53" bestFit="1" customWidth="1"/>
    <col min="6918" max="6918" width="13.7109375" style="53" bestFit="1" customWidth="1"/>
    <col min="6919" max="6919" width="15.7109375" style="53" bestFit="1" customWidth="1"/>
    <col min="6920" max="6920" width="13.140625" style="53" bestFit="1" customWidth="1"/>
    <col min="6921" max="6921" width="11.85546875" style="53" bestFit="1" customWidth="1"/>
    <col min="6922" max="6922" width="12.85546875" style="53" bestFit="1" customWidth="1"/>
    <col min="6923" max="7168" width="9.140625" style="53"/>
    <col min="7169" max="7169" width="9.28515625" style="53" customWidth="1"/>
    <col min="7170" max="7170" width="39.85546875" style="53" customWidth="1"/>
    <col min="7171" max="7171" width="18.28515625" style="53" customWidth="1"/>
    <col min="7172" max="7172" width="23.85546875" style="53" customWidth="1"/>
    <col min="7173" max="7173" width="16" style="53" bestFit="1" customWidth="1"/>
    <col min="7174" max="7174" width="13.7109375" style="53" bestFit="1" customWidth="1"/>
    <col min="7175" max="7175" width="15.7109375" style="53" bestFit="1" customWidth="1"/>
    <col min="7176" max="7176" width="13.140625" style="53" bestFit="1" customWidth="1"/>
    <col min="7177" max="7177" width="11.85546875" style="53" bestFit="1" customWidth="1"/>
    <col min="7178" max="7178" width="12.85546875" style="53" bestFit="1" customWidth="1"/>
    <col min="7179" max="7424" width="9.140625" style="53"/>
    <col min="7425" max="7425" width="9.28515625" style="53" customWidth="1"/>
    <col min="7426" max="7426" width="39.85546875" style="53" customWidth="1"/>
    <col min="7427" max="7427" width="18.28515625" style="53" customWidth="1"/>
    <col min="7428" max="7428" width="23.85546875" style="53" customWidth="1"/>
    <col min="7429" max="7429" width="16" style="53" bestFit="1" customWidth="1"/>
    <col min="7430" max="7430" width="13.7109375" style="53" bestFit="1" customWidth="1"/>
    <col min="7431" max="7431" width="15.7109375" style="53" bestFit="1" customWidth="1"/>
    <col min="7432" max="7432" width="13.140625" style="53" bestFit="1" customWidth="1"/>
    <col min="7433" max="7433" width="11.85546875" style="53" bestFit="1" customWidth="1"/>
    <col min="7434" max="7434" width="12.85546875" style="53" bestFit="1" customWidth="1"/>
    <col min="7435" max="7680" width="9.140625" style="53"/>
    <col min="7681" max="7681" width="9.28515625" style="53" customWidth="1"/>
    <col min="7682" max="7682" width="39.85546875" style="53" customWidth="1"/>
    <col min="7683" max="7683" width="18.28515625" style="53" customWidth="1"/>
    <col min="7684" max="7684" width="23.85546875" style="53" customWidth="1"/>
    <col min="7685" max="7685" width="16" style="53" bestFit="1" customWidth="1"/>
    <col min="7686" max="7686" width="13.7109375" style="53" bestFit="1" customWidth="1"/>
    <col min="7687" max="7687" width="15.7109375" style="53" bestFit="1" customWidth="1"/>
    <col min="7688" max="7688" width="13.140625" style="53" bestFit="1" customWidth="1"/>
    <col min="7689" max="7689" width="11.85546875" style="53" bestFit="1" customWidth="1"/>
    <col min="7690" max="7690" width="12.85546875" style="53" bestFit="1" customWidth="1"/>
    <col min="7691" max="7936" width="9.140625" style="53"/>
    <col min="7937" max="7937" width="9.28515625" style="53" customWidth="1"/>
    <col min="7938" max="7938" width="39.85546875" style="53" customWidth="1"/>
    <col min="7939" max="7939" width="18.28515625" style="53" customWidth="1"/>
    <col min="7940" max="7940" width="23.85546875" style="53" customWidth="1"/>
    <col min="7941" max="7941" width="16" style="53" bestFit="1" customWidth="1"/>
    <col min="7942" max="7942" width="13.7109375" style="53" bestFit="1" customWidth="1"/>
    <col min="7943" max="7943" width="15.7109375" style="53" bestFit="1" customWidth="1"/>
    <col min="7944" max="7944" width="13.140625" style="53" bestFit="1" customWidth="1"/>
    <col min="7945" max="7945" width="11.85546875" style="53" bestFit="1" customWidth="1"/>
    <col min="7946" max="7946" width="12.85546875" style="53" bestFit="1" customWidth="1"/>
    <col min="7947" max="8192" width="9.140625" style="53"/>
    <col min="8193" max="8193" width="9.28515625" style="53" customWidth="1"/>
    <col min="8194" max="8194" width="39.85546875" style="53" customWidth="1"/>
    <col min="8195" max="8195" width="18.28515625" style="53" customWidth="1"/>
    <col min="8196" max="8196" width="23.85546875" style="53" customWidth="1"/>
    <col min="8197" max="8197" width="16" style="53" bestFit="1" customWidth="1"/>
    <col min="8198" max="8198" width="13.7109375" style="53" bestFit="1" customWidth="1"/>
    <col min="8199" max="8199" width="15.7109375" style="53" bestFit="1" customWidth="1"/>
    <col min="8200" max="8200" width="13.140625" style="53" bestFit="1" customWidth="1"/>
    <col min="8201" max="8201" width="11.85546875" style="53" bestFit="1" customWidth="1"/>
    <col min="8202" max="8202" width="12.85546875" style="53" bestFit="1" customWidth="1"/>
    <col min="8203" max="8448" width="9.140625" style="53"/>
    <col min="8449" max="8449" width="9.28515625" style="53" customWidth="1"/>
    <col min="8450" max="8450" width="39.85546875" style="53" customWidth="1"/>
    <col min="8451" max="8451" width="18.28515625" style="53" customWidth="1"/>
    <col min="8452" max="8452" width="23.85546875" style="53" customWidth="1"/>
    <col min="8453" max="8453" width="16" style="53" bestFit="1" customWidth="1"/>
    <col min="8454" max="8454" width="13.7109375" style="53" bestFit="1" customWidth="1"/>
    <col min="8455" max="8455" width="15.7109375" style="53" bestFit="1" customWidth="1"/>
    <col min="8456" max="8456" width="13.140625" style="53" bestFit="1" customWidth="1"/>
    <col min="8457" max="8457" width="11.85546875" style="53" bestFit="1" customWidth="1"/>
    <col min="8458" max="8458" width="12.85546875" style="53" bestFit="1" customWidth="1"/>
    <col min="8459" max="8704" width="9.140625" style="53"/>
    <col min="8705" max="8705" width="9.28515625" style="53" customWidth="1"/>
    <col min="8706" max="8706" width="39.85546875" style="53" customWidth="1"/>
    <col min="8707" max="8707" width="18.28515625" style="53" customWidth="1"/>
    <col min="8708" max="8708" width="23.85546875" style="53" customWidth="1"/>
    <col min="8709" max="8709" width="16" style="53" bestFit="1" customWidth="1"/>
    <col min="8710" max="8710" width="13.7109375" style="53" bestFit="1" customWidth="1"/>
    <col min="8711" max="8711" width="15.7109375" style="53" bestFit="1" customWidth="1"/>
    <col min="8712" max="8712" width="13.140625" style="53" bestFit="1" customWidth="1"/>
    <col min="8713" max="8713" width="11.85546875" style="53" bestFit="1" customWidth="1"/>
    <col min="8714" max="8714" width="12.85546875" style="53" bestFit="1" customWidth="1"/>
    <col min="8715" max="8960" width="9.140625" style="53"/>
    <col min="8961" max="8961" width="9.28515625" style="53" customWidth="1"/>
    <col min="8962" max="8962" width="39.85546875" style="53" customWidth="1"/>
    <col min="8963" max="8963" width="18.28515625" style="53" customWidth="1"/>
    <col min="8964" max="8964" width="23.85546875" style="53" customWidth="1"/>
    <col min="8965" max="8965" width="16" style="53" bestFit="1" customWidth="1"/>
    <col min="8966" max="8966" width="13.7109375" style="53" bestFit="1" customWidth="1"/>
    <col min="8967" max="8967" width="15.7109375" style="53" bestFit="1" customWidth="1"/>
    <col min="8968" max="8968" width="13.140625" style="53" bestFit="1" customWidth="1"/>
    <col min="8969" max="8969" width="11.85546875" style="53" bestFit="1" customWidth="1"/>
    <col min="8970" max="8970" width="12.85546875" style="53" bestFit="1" customWidth="1"/>
    <col min="8971" max="9216" width="9.140625" style="53"/>
    <col min="9217" max="9217" width="9.28515625" style="53" customWidth="1"/>
    <col min="9218" max="9218" width="39.85546875" style="53" customWidth="1"/>
    <col min="9219" max="9219" width="18.28515625" style="53" customWidth="1"/>
    <col min="9220" max="9220" width="23.85546875" style="53" customWidth="1"/>
    <col min="9221" max="9221" width="16" style="53" bestFit="1" customWidth="1"/>
    <col min="9222" max="9222" width="13.7109375" style="53" bestFit="1" customWidth="1"/>
    <col min="9223" max="9223" width="15.7109375" style="53" bestFit="1" customWidth="1"/>
    <col min="9224" max="9224" width="13.140625" style="53" bestFit="1" customWidth="1"/>
    <col min="9225" max="9225" width="11.85546875" style="53" bestFit="1" customWidth="1"/>
    <col min="9226" max="9226" width="12.85546875" style="53" bestFit="1" customWidth="1"/>
    <col min="9227" max="9472" width="9.140625" style="53"/>
    <col min="9473" max="9473" width="9.28515625" style="53" customWidth="1"/>
    <col min="9474" max="9474" width="39.85546875" style="53" customWidth="1"/>
    <col min="9475" max="9475" width="18.28515625" style="53" customWidth="1"/>
    <col min="9476" max="9476" width="23.85546875" style="53" customWidth="1"/>
    <col min="9477" max="9477" width="16" style="53" bestFit="1" customWidth="1"/>
    <col min="9478" max="9478" width="13.7109375" style="53" bestFit="1" customWidth="1"/>
    <col min="9479" max="9479" width="15.7109375" style="53" bestFit="1" customWidth="1"/>
    <col min="9480" max="9480" width="13.140625" style="53" bestFit="1" customWidth="1"/>
    <col min="9481" max="9481" width="11.85546875" style="53" bestFit="1" customWidth="1"/>
    <col min="9482" max="9482" width="12.85546875" style="53" bestFit="1" customWidth="1"/>
    <col min="9483" max="9728" width="9.140625" style="53"/>
    <col min="9729" max="9729" width="9.28515625" style="53" customWidth="1"/>
    <col min="9730" max="9730" width="39.85546875" style="53" customWidth="1"/>
    <col min="9731" max="9731" width="18.28515625" style="53" customWidth="1"/>
    <col min="9732" max="9732" width="23.85546875" style="53" customWidth="1"/>
    <col min="9733" max="9733" width="16" style="53" bestFit="1" customWidth="1"/>
    <col min="9734" max="9734" width="13.7109375" style="53" bestFit="1" customWidth="1"/>
    <col min="9735" max="9735" width="15.7109375" style="53" bestFit="1" customWidth="1"/>
    <col min="9736" max="9736" width="13.140625" style="53" bestFit="1" customWidth="1"/>
    <col min="9737" max="9737" width="11.85546875" style="53" bestFit="1" customWidth="1"/>
    <col min="9738" max="9738" width="12.85546875" style="53" bestFit="1" customWidth="1"/>
    <col min="9739" max="9984" width="9.140625" style="53"/>
    <col min="9985" max="9985" width="9.28515625" style="53" customWidth="1"/>
    <col min="9986" max="9986" width="39.85546875" style="53" customWidth="1"/>
    <col min="9987" max="9987" width="18.28515625" style="53" customWidth="1"/>
    <col min="9988" max="9988" width="23.85546875" style="53" customWidth="1"/>
    <col min="9989" max="9989" width="16" style="53" bestFit="1" customWidth="1"/>
    <col min="9990" max="9990" width="13.7109375" style="53" bestFit="1" customWidth="1"/>
    <col min="9991" max="9991" width="15.7109375" style="53" bestFit="1" customWidth="1"/>
    <col min="9992" max="9992" width="13.140625" style="53" bestFit="1" customWidth="1"/>
    <col min="9993" max="9993" width="11.85546875" style="53" bestFit="1" customWidth="1"/>
    <col min="9994" max="9994" width="12.85546875" style="53" bestFit="1" customWidth="1"/>
    <col min="9995" max="10240" width="9.140625" style="53"/>
    <col min="10241" max="10241" width="9.28515625" style="53" customWidth="1"/>
    <col min="10242" max="10242" width="39.85546875" style="53" customWidth="1"/>
    <col min="10243" max="10243" width="18.28515625" style="53" customWidth="1"/>
    <col min="10244" max="10244" width="23.85546875" style="53" customWidth="1"/>
    <col min="10245" max="10245" width="16" style="53" bestFit="1" customWidth="1"/>
    <col min="10246" max="10246" width="13.7109375" style="53" bestFit="1" customWidth="1"/>
    <col min="10247" max="10247" width="15.7109375" style="53" bestFit="1" customWidth="1"/>
    <col min="10248" max="10248" width="13.140625" style="53" bestFit="1" customWidth="1"/>
    <col min="10249" max="10249" width="11.85546875" style="53" bestFit="1" customWidth="1"/>
    <col min="10250" max="10250" width="12.85546875" style="53" bestFit="1" customWidth="1"/>
    <col min="10251" max="10496" width="9.140625" style="53"/>
    <col min="10497" max="10497" width="9.28515625" style="53" customWidth="1"/>
    <col min="10498" max="10498" width="39.85546875" style="53" customWidth="1"/>
    <col min="10499" max="10499" width="18.28515625" style="53" customWidth="1"/>
    <col min="10500" max="10500" width="23.85546875" style="53" customWidth="1"/>
    <col min="10501" max="10501" width="16" style="53" bestFit="1" customWidth="1"/>
    <col min="10502" max="10502" width="13.7109375" style="53" bestFit="1" customWidth="1"/>
    <col min="10503" max="10503" width="15.7109375" style="53" bestFit="1" customWidth="1"/>
    <col min="10504" max="10504" width="13.140625" style="53" bestFit="1" customWidth="1"/>
    <col min="10505" max="10505" width="11.85546875" style="53" bestFit="1" customWidth="1"/>
    <col min="10506" max="10506" width="12.85546875" style="53" bestFit="1" customWidth="1"/>
    <col min="10507" max="10752" width="9.140625" style="53"/>
    <col min="10753" max="10753" width="9.28515625" style="53" customWidth="1"/>
    <col min="10754" max="10754" width="39.85546875" style="53" customWidth="1"/>
    <col min="10755" max="10755" width="18.28515625" style="53" customWidth="1"/>
    <col min="10756" max="10756" width="23.85546875" style="53" customWidth="1"/>
    <col min="10757" max="10757" width="16" style="53" bestFit="1" customWidth="1"/>
    <col min="10758" max="10758" width="13.7109375" style="53" bestFit="1" customWidth="1"/>
    <col min="10759" max="10759" width="15.7109375" style="53" bestFit="1" customWidth="1"/>
    <col min="10760" max="10760" width="13.140625" style="53" bestFit="1" customWidth="1"/>
    <col min="10761" max="10761" width="11.85546875" style="53" bestFit="1" customWidth="1"/>
    <col min="10762" max="10762" width="12.85546875" style="53" bestFit="1" customWidth="1"/>
    <col min="10763" max="11008" width="9.140625" style="53"/>
    <col min="11009" max="11009" width="9.28515625" style="53" customWidth="1"/>
    <col min="11010" max="11010" width="39.85546875" style="53" customWidth="1"/>
    <col min="11011" max="11011" width="18.28515625" style="53" customWidth="1"/>
    <col min="11012" max="11012" width="23.85546875" style="53" customWidth="1"/>
    <col min="11013" max="11013" width="16" style="53" bestFit="1" customWidth="1"/>
    <col min="11014" max="11014" width="13.7109375" style="53" bestFit="1" customWidth="1"/>
    <col min="11015" max="11015" width="15.7109375" style="53" bestFit="1" customWidth="1"/>
    <col min="11016" max="11016" width="13.140625" style="53" bestFit="1" customWidth="1"/>
    <col min="11017" max="11017" width="11.85546875" style="53" bestFit="1" customWidth="1"/>
    <col min="11018" max="11018" width="12.85546875" style="53" bestFit="1" customWidth="1"/>
    <col min="11019" max="11264" width="9.140625" style="53"/>
    <col min="11265" max="11265" width="9.28515625" style="53" customWidth="1"/>
    <col min="11266" max="11266" width="39.85546875" style="53" customWidth="1"/>
    <col min="11267" max="11267" width="18.28515625" style="53" customWidth="1"/>
    <col min="11268" max="11268" width="23.85546875" style="53" customWidth="1"/>
    <col min="11269" max="11269" width="16" style="53" bestFit="1" customWidth="1"/>
    <col min="11270" max="11270" width="13.7109375" style="53" bestFit="1" customWidth="1"/>
    <col min="11271" max="11271" width="15.7109375" style="53" bestFit="1" customWidth="1"/>
    <col min="11272" max="11272" width="13.140625" style="53" bestFit="1" customWidth="1"/>
    <col min="11273" max="11273" width="11.85546875" style="53" bestFit="1" customWidth="1"/>
    <col min="11274" max="11274" width="12.85546875" style="53" bestFit="1" customWidth="1"/>
    <col min="11275" max="11520" width="9.140625" style="53"/>
    <col min="11521" max="11521" width="9.28515625" style="53" customWidth="1"/>
    <col min="11522" max="11522" width="39.85546875" style="53" customWidth="1"/>
    <col min="11523" max="11523" width="18.28515625" style="53" customWidth="1"/>
    <col min="11524" max="11524" width="23.85546875" style="53" customWidth="1"/>
    <col min="11525" max="11525" width="16" style="53" bestFit="1" customWidth="1"/>
    <col min="11526" max="11526" width="13.7109375" style="53" bestFit="1" customWidth="1"/>
    <col min="11527" max="11527" width="15.7109375" style="53" bestFit="1" customWidth="1"/>
    <col min="11528" max="11528" width="13.140625" style="53" bestFit="1" customWidth="1"/>
    <col min="11529" max="11529" width="11.85546875" style="53" bestFit="1" customWidth="1"/>
    <col min="11530" max="11530" width="12.85546875" style="53" bestFit="1" customWidth="1"/>
    <col min="11531" max="11776" width="9.140625" style="53"/>
    <col min="11777" max="11777" width="9.28515625" style="53" customWidth="1"/>
    <col min="11778" max="11778" width="39.85546875" style="53" customWidth="1"/>
    <col min="11779" max="11779" width="18.28515625" style="53" customWidth="1"/>
    <col min="11780" max="11780" width="23.85546875" style="53" customWidth="1"/>
    <col min="11781" max="11781" width="16" style="53" bestFit="1" customWidth="1"/>
    <col min="11782" max="11782" width="13.7109375" style="53" bestFit="1" customWidth="1"/>
    <col min="11783" max="11783" width="15.7109375" style="53" bestFit="1" customWidth="1"/>
    <col min="11784" max="11784" width="13.140625" style="53" bestFit="1" customWidth="1"/>
    <col min="11785" max="11785" width="11.85546875" style="53" bestFit="1" customWidth="1"/>
    <col min="11786" max="11786" width="12.85546875" style="53" bestFit="1" customWidth="1"/>
    <col min="11787" max="12032" width="9.140625" style="53"/>
    <col min="12033" max="12033" width="9.28515625" style="53" customWidth="1"/>
    <col min="12034" max="12034" width="39.85546875" style="53" customWidth="1"/>
    <col min="12035" max="12035" width="18.28515625" style="53" customWidth="1"/>
    <col min="12036" max="12036" width="23.85546875" style="53" customWidth="1"/>
    <col min="12037" max="12037" width="16" style="53" bestFit="1" customWidth="1"/>
    <col min="12038" max="12038" width="13.7109375" style="53" bestFit="1" customWidth="1"/>
    <col min="12039" max="12039" width="15.7109375" style="53" bestFit="1" customWidth="1"/>
    <col min="12040" max="12040" width="13.140625" style="53" bestFit="1" customWidth="1"/>
    <col min="12041" max="12041" width="11.85546875" style="53" bestFit="1" customWidth="1"/>
    <col min="12042" max="12042" width="12.85546875" style="53" bestFit="1" customWidth="1"/>
    <col min="12043" max="12288" width="9.140625" style="53"/>
    <col min="12289" max="12289" width="9.28515625" style="53" customWidth="1"/>
    <col min="12290" max="12290" width="39.85546875" style="53" customWidth="1"/>
    <col min="12291" max="12291" width="18.28515625" style="53" customWidth="1"/>
    <col min="12292" max="12292" width="23.85546875" style="53" customWidth="1"/>
    <col min="12293" max="12293" width="16" style="53" bestFit="1" customWidth="1"/>
    <col min="12294" max="12294" width="13.7109375" style="53" bestFit="1" customWidth="1"/>
    <col min="12295" max="12295" width="15.7109375" style="53" bestFit="1" customWidth="1"/>
    <col min="12296" max="12296" width="13.140625" style="53" bestFit="1" customWidth="1"/>
    <col min="12297" max="12297" width="11.85546875" style="53" bestFit="1" customWidth="1"/>
    <col min="12298" max="12298" width="12.85546875" style="53" bestFit="1" customWidth="1"/>
    <col min="12299" max="12544" width="9.140625" style="53"/>
    <col min="12545" max="12545" width="9.28515625" style="53" customWidth="1"/>
    <col min="12546" max="12546" width="39.85546875" style="53" customWidth="1"/>
    <col min="12547" max="12547" width="18.28515625" style="53" customWidth="1"/>
    <col min="12548" max="12548" width="23.85546875" style="53" customWidth="1"/>
    <col min="12549" max="12549" width="16" style="53" bestFit="1" customWidth="1"/>
    <col min="12550" max="12550" width="13.7109375" style="53" bestFit="1" customWidth="1"/>
    <col min="12551" max="12551" width="15.7109375" style="53" bestFit="1" customWidth="1"/>
    <col min="12552" max="12552" width="13.140625" style="53" bestFit="1" customWidth="1"/>
    <col min="12553" max="12553" width="11.85546875" style="53" bestFit="1" customWidth="1"/>
    <col min="12554" max="12554" width="12.85546875" style="53" bestFit="1" customWidth="1"/>
    <col min="12555" max="12800" width="9.140625" style="53"/>
    <col min="12801" max="12801" width="9.28515625" style="53" customWidth="1"/>
    <col min="12802" max="12802" width="39.85546875" style="53" customWidth="1"/>
    <col min="12803" max="12803" width="18.28515625" style="53" customWidth="1"/>
    <col min="12804" max="12804" width="23.85546875" style="53" customWidth="1"/>
    <col min="12805" max="12805" width="16" style="53" bestFit="1" customWidth="1"/>
    <col min="12806" max="12806" width="13.7109375" style="53" bestFit="1" customWidth="1"/>
    <col min="12807" max="12807" width="15.7109375" style="53" bestFit="1" customWidth="1"/>
    <col min="12808" max="12808" width="13.140625" style="53" bestFit="1" customWidth="1"/>
    <col min="12809" max="12809" width="11.85546875" style="53" bestFit="1" customWidth="1"/>
    <col min="12810" max="12810" width="12.85546875" style="53" bestFit="1" customWidth="1"/>
    <col min="12811" max="13056" width="9.140625" style="53"/>
    <col min="13057" max="13057" width="9.28515625" style="53" customWidth="1"/>
    <col min="13058" max="13058" width="39.85546875" style="53" customWidth="1"/>
    <col min="13059" max="13059" width="18.28515625" style="53" customWidth="1"/>
    <col min="13060" max="13060" width="23.85546875" style="53" customWidth="1"/>
    <col min="13061" max="13061" width="16" style="53" bestFit="1" customWidth="1"/>
    <col min="13062" max="13062" width="13.7109375" style="53" bestFit="1" customWidth="1"/>
    <col min="13063" max="13063" width="15.7109375" style="53" bestFit="1" customWidth="1"/>
    <col min="13064" max="13064" width="13.140625" style="53" bestFit="1" customWidth="1"/>
    <col min="13065" max="13065" width="11.85546875" style="53" bestFit="1" customWidth="1"/>
    <col min="13066" max="13066" width="12.85546875" style="53" bestFit="1" customWidth="1"/>
    <col min="13067" max="13312" width="9.140625" style="53"/>
    <col min="13313" max="13313" width="9.28515625" style="53" customWidth="1"/>
    <col min="13314" max="13314" width="39.85546875" style="53" customWidth="1"/>
    <col min="13315" max="13315" width="18.28515625" style="53" customWidth="1"/>
    <col min="13316" max="13316" width="23.85546875" style="53" customWidth="1"/>
    <col min="13317" max="13317" width="16" style="53" bestFit="1" customWidth="1"/>
    <col min="13318" max="13318" width="13.7109375" style="53" bestFit="1" customWidth="1"/>
    <col min="13319" max="13319" width="15.7109375" style="53" bestFit="1" customWidth="1"/>
    <col min="13320" max="13320" width="13.140625" style="53" bestFit="1" customWidth="1"/>
    <col min="13321" max="13321" width="11.85546875" style="53" bestFit="1" customWidth="1"/>
    <col min="13322" max="13322" width="12.85546875" style="53" bestFit="1" customWidth="1"/>
    <col min="13323" max="13568" width="9.140625" style="53"/>
    <col min="13569" max="13569" width="9.28515625" style="53" customWidth="1"/>
    <col min="13570" max="13570" width="39.85546875" style="53" customWidth="1"/>
    <col min="13571" max="13571" width="18.28515625" style="53" customWidth="1"/>
    <col min="13572" max="13572" width="23.85546875" style="53" customWidth="1"/>
    <col min="13573" max="13573" width="16" style="53" bestFit="1" customWidth="1"/>
    <col min="13574" max="13574" width="13.7109375" style="53" bestFit="1" customWidth="1"/>
    <col min="13575" max="13575" width="15.7109375" style="53" bestFit="1" customWidth="1"/>
    <col min="13576" max="13576" width="13.140625" style="53" bestFit="1" customWidth="1"/>
    <col min="13577" max="13577" width="11.85546875" style="53" bestFit="1" customWidth="1"/>
    <col min="13578" max="13578" width="12.85546875" style="53" bestFit="1" customWidth="1"/>
    <col min="13579" max="13824" width="9.140625" style="53"/>
    <col min="13825" max="13825" width="9.28515625" style="53" customWidth="1"/>
    <col min="13826" max="13826" width="39.85546875" style="53" customWidth="1"/>
    <col min="13827" max="13827" width="18.28515625" style="53" customWidth="1"/>
    <col min="13828" max="13828" width="23.85546875" style="53" customWidth="1"/>
    <col min="13829" max="13829" width="16" style="53" bestFit="1" customWidth="1"/>
    <col min="13830" max="13830" width="13.7109375" style="53" bestFit="1" customWidth="1"/>
    <col min="13831" max="13831" width="15.7109375" style="53" bestFit="1" customWidth="1"/>
    <col min="13832" max="13832" width="13.140625" style="53" bestFit="1" customWidth="1"/>
    <col min="13833" max="13833" width="11.85546875" style="53" bestFit="1" customWidth="1"/>
    <col min="13834" max="13834" width="12.85546875" style="53" bestFit="1" customWidth="1"/>
    <col min="13835" max="14080" width="9.140625" style="53"/>
    <col min="14081" max="14081" width="9.28515625" style="53" customWidth="1"/>
    <col min="14082" max="14082" width="39.85546875" style="53" customWidth="1"/>
    <col min="14083" max="14083" width="18.28515625" style="53" customWidth="1"/>
    <col min="14084" max="14084" width="23.85546875" style="53" customWidth="1"/>
    <col min="14085" max="14085" width="16" style="53" bestFit="1" customWidth="1"/>
    <col min="14086" max="14086" width="13.7109375" style="53" bestFit="1" customWidth="1"/>
    <col min="14087" max="14087" width="15.7109375" style="53" bestFit="1" customWidth="1"/>
    <col min="14088" max="14088" width="13.140625" style="53" bestFit="1" customWidth="1"/>
    <col min="14089" max="14089" width="11.85546875" style="53" bestFit="1" customWidth="1"/>
    <col min="14090" max="14090" width="12.85546875" style="53" bestFit="1" customWidth="1"/>
    <col min="14091" max="14336" width="9.140625" style="53"/>
    <col min="14337" max="14337" width="9.28515625" style="53" customWidth="1"/>
    <col min="14338" max="14338" width="39.85546875" style="53" customWidth="1"/>
    <col min="14339" max="14339" width="18.28515625" style="53" customWidth="1"/>
    <col min="14340" max="14340" width="23.85546875" style="53" customWidth="1"/>
    <col min="14341" max="14341" width="16" style="53" bestFit="1" customWidth="1"/>
    <col min="14342" max="14342" width="13.7109375" style="53" bestFit="1" customWidth="1"/>
    <col min="14343" max="14343" width="15.7109375" style="53" bestFit="1" customWidth="1"/>
    <col min="14344" max="14344" width="13.140625" style="53" bestFit="1" customWidth="1"/>
    <col min="14345" max="14345" width="11.85546875" style="53" bestFit="1" customWidth="1"/>
    <col min="14346" max="14346" width="12.85546875" style="53" bestFit="1" customWidth="1"/>
    <col min="14347" max="14592" width="9.140625" style="53"/>
    <col min="14593" max="14593" width="9.28515625" style="53" customWidth="1"/>
    <col min="14594" max="14594" width="39.85546875" style="53" customWidth="1"/>
    <col min="14595" max="14595" width="18.28515625" style="53" customWidth="1"/>
    <col min="14596" max="14596" width="23.85546875" style="53" customWidth="1"/>
    <col min="14597" max="14597" width="16" style="53" bestFit="1" customWidth="1"/>
    <col min="14598" max="14598" width="13.7109375" style="53" bestFit="1" customWidth="1"/>
    <col min="14599" max="14599" width="15.7109375" style="53" bestFit="1" customWidth="1"/>
    <col min="14600" max="14600" width="13.140625" style="53" bestFit="1" customWidth="1"/>
    <col min="14601" max="14601" width="11.85546875" style="53" bestFit="1" customWidth="1"/>
    <col min="14602" max="14602" width="12.85546875" style="53" bestFit="1" customWidth="1"/>
    <col min="14603" max="14848" width="9.140625" style="53"/>
    <col min="14849" max="14849" width="9.28515625" style="53" customWidth="1"/>
    <col min="14850" max="14850" width="39.85546875" style="53" customWidth="1"/>
    <col min="14851" max="14851" width="18.28515625" style="53" customWidth="1"/>
    <col min="14852" max="14852" width="23.85546875" style="53" customWidth="1"/>
    <col min="14853" max="14853" width="16" style="53" bestFit="1" customWidth="1"/>
    <col min="14854" max="14854" width="13.7109375" style="53" bestFit="1" customWidth="1"/>
    <col min="14855" max="14855" width="15.7109375" style="53" bestFit="1" customWidth="1"/>
    <col min="14856" max="14856" width="13.140625" style="53" bestFit="1" customWidth="1"/>
    <col min="14857" max="14857" width="11.85546875" style="53" bestFit="1" customWidth="1"/>
    <col min="14858" max="14858" width="12.85546875" style="53" bestFit="1" customWidth="1"/>
    <col min="14859" max="15104" width="9.140625" style="53"/>
    <col min="15105" max="15105" width="9.28515625" style="53" customWidth="1"/>
    <col min="15106" max="15106" width="39.85546875" style="53" customWidth="1"/>
    <col min="15107" max="15107" width="18.28515625" style="53" customWidth="1"/>
    <col min="15108" max="15108" width="23.85546875" style="53" customWidth="1"/>
    <col min="15109" max="15109" width="16" style="53" bestFit="1" customWidth="1"/>
    <col min="15110" max="15110" width="13.7109375" style="53" bestFit="1" customWidth="1"/>
    <col min="15111" max="15111" width="15.7109375" style="53" bestFit="1" customWidth="1"/>
    <col min="15112" max="15112" width="13.140625" style="53" bestFit="1" customWidth="1"/>
    <col min="15113" max="15113" width="11.85546875" style="53" bestFit="1" customWidth="1"/>
    <col min="15114" max="15114" width="12.85546875" style="53" bestFit="1" customWidth="1"/>
    <col min="15115" max="15360" width="9.140625" style="53"/>
    <col min="15361" max="15361" width="9.28515625" style="53" customWidth="1"/>
    <col min="15362" max="15362" width="39.85546875" style="53" customWidth="1"/>
    <col min="15363" max="15363" width="18.28515625" style="53" customWidth="1"/>
    <col min="15364" max="15364" width="23.85546875" style="53" customWidth="1"/>
    <col min="15365" max="15365" width="16" style="53" bestFit="1" customWidth="1"/>
    <col min="15366" max="15366" width="13.7109375" style="53" bestFit="1" customWidth="1"/>
    <col min="15367" max="15367" width="15.7109375" style="53" bestFit="1" customWidth="1"/>
    <col min="15368" max="15368" width="13.140625" style="53" bestFit="1" customWidth="1"/>
    <col min="15369" max="15369" width="11.85546875" style="53" bestFit="1" customWidth="1"/>
    <col min="15370" max="15370" width="12.85546875" style="53" bestFit="1" customWidth="1"/>
    <col min="15371" max="15616" width="9.140625" style="53"/>
    <col min="15617" max="15617" width="9.28515625" style="53" customWidth="1"/>
    <col min="15618" max="15618" width="39.85546875" style="53" customWidth="1"/>
    <col min="15619" max="15619" width="18.28515625" style="53" customWidth="1"/>
    <col min="15620" max="15620" width="23.85546875" style="53" customWidth="1"/>
    <col min="15621" max="15621" width="16" style="53" bestFit="1" customWidth="1"/>
    <col min="15622" max="15622" width="13.7109375" style="53" bestFit="1" customWidth="1"/>
    <col min="15623" max="15623" width="15.7109375" style="53" bestFit="1" customWidth="1"/>
    <col min="15624" max="15624" width="13.140625" style="53" bestFit="1" customWidth="1"/>
    <col min="15625" max="15625" width="11.85546875" style="53" bestFit="1" customWidth="1"/>
    <col min="15626" max="15626" width="12.85546875" style="53" bestFit="1" customWidth="1"/>
    <col min="15627" max="15872" width="9.140625" style="53"/>
    <col min="15873" max="15873" width="9.28515625" style="53" customWidth="1"/>
    <col min="15874" max="15874" width="39.85546875" style="53" customWidth="1"/>
    <col min="15875" max="15875" width="18.28515625" style="53" customWidth="1"/>
    <col min="15876" max="15876" width="23.85546875" style="53" customWidth="1"/>
    <col min="15877" max="15877" width="16" style="53" bestFit="1" customWidth="1"/>
    <col min="15878" max="15878" width="13.7109375" style="53" bestFit="1" customWidth="1"/>
    <col min="15879" max="15879" width="15.7109375" style="53" bestFit="1" customWidth="1"/>
    <col min="15880" max="15880" width="13.140625" style="53" bestFit="1" customWidth="1"/>
    <col min="15881" max="15881" width="11.85546875" style="53" bestFit="1" customWidth="1"/>
    <col min="15882" max="15882" width="12.85546875" style="53" bestFit="1" customWidth="1"/>
    <col min="15883" max="16128" width="9.140625" style="53"/>
    <col min="16129" max="16129" width="9.28515625" style="53" customWidth="1"/>
    <col min="16130" max="16130" width="39.85546875" style="53" customWidth="1"/>
    <col min="16131" max="16131" width="18.28515625" style="53" customWidth="1"/>
    <col min="16132" max="16132" width="23.85546875" style="53" customWidth="1"/>
    <col min="16133" max="16133" width="16" style="53" bestFit="1" customWidth="1"/>
    <col min="16134" max="16134" width="13.7109375" style="53" bestFit="1" customWidth="1"/>
    <col min="16135" max="16135" width="15.7109375" style="53" bestFit="1" customWidth="1"/>
    <col min="16136" max="16136" width="13.140625" style="53" bestFit="1" customWidth="1"/>
    <col min="16137" max="16137" width="11.85546875" style="53" bestFit="1" customWidth="1"/>
    <col min="16138" max="16138" width="12.85546875" style="53" bestFit="1" customWidth="1"/>
    <col min="16139" max="16384" width="9.140625" style="53"/>
  </cols>
  <sheetData>
    <row r="3" spans="1:7" ht="15.75" customHeight="1">
      <c r="A3" s="543" t="s">
        <v>255</v>
      </c>
      <c r="B3" s="543"/>
      <c r="C3" s="543"/>
      <c r="D3" s="543"/>
      <c r="E3" s="52"/>
      <c r="F3" s="52"/>
      <c r="G3" s="52"/>
    </row>
    <row r="4" spans="1:7">
      <c r="A4" s="543"/>
      <c r="B4" s="543"/>
      <c r="C4" s="543"/>
      <c r="D4" s="543"/>
      <c r="E4" s="52"/>
      <c r="F4" s="52"/>
      <c r="G4" s="52"/>
    </row>
    <row r="5" spans="1:7">
      <c r="A5" s="54"/>
      <c r="B5" s="52"/>
      <c r="C5" s="52"/>
      <c r="D5" s="52"/>
      <c r="E5" s="52"/>
      <c r="F5" s="52"/>
      <c r="G5" s="52"/>
    </row>
    <row r="6" spans="1:7" ht="15.75" customHeight="1">
      <c r="A6" s="544" t="s">
        <v>550</v>
      </c>
      <c r="B6" s="544"/>
      <c r="C6" s="544"/>
      <c r="D6" s="544"/>
      <c r="E6" s="52"/>
      <c r="F6" s="52"/>
      <c r="G6" s="52"/>
    </row>
    <row r="7" spans="1:7">
      <c r="A7" s="522"/>
      <c r="B7" s="522"/>
      <c r="C7" s="522"/>
      <c r="D7" s="522"/>
    </row>
    <row r="8" spans="1:7">
      <c r="A8" s="237" t="s">
        <v>551</v>
      </c>
      <c r="B8" s="238"/>
      <c r="C8" s="187"/>
      <c r="D8" s="187"/>
    </row>
    <row r="9" spans="1:7">
      <c r="A9" s="522"/>
      <c r="B9" s="522"/>
      <c r="C9" s="522"/>
      <c r="D9" s="522"/>
    </row>
    <row r="10" spans="1:7">
      <c r="A10" s="57" t="s">
        <v>256</v>
      </c>
      <c r="B10" s="188"/>
      <c r="C10" s="187"/>
      <c r="D10" s="187"/>
    </row>
    <row r="11" spans="1:7">
      <c r="A11" s="59" t="s">
        <v>257</v>
      </c>
      <c r="B11" s="541" t="s">
        <v>258</v>
      </c>
      <c r="C11" s="542"/>
      <c r="D11" s="239">
        <v>42550</v>
      </c>
    </row>
    <row r="12" spans="1:7">
      <c r="A12" s="59" t="s">
        <v>259</v>
      </c>
      <c r="B12" s="62" t="s">
        <v>260</v>
      </c>
      <c r="C12" s="63"/>
      <c r="D12" s="240" t="s">
        <v>374</v>
      </c>
    </row>
    <row r="13" spans="1:7">
      <c r="A13" s="59" t="s">
        <v>261</v>
      </c>
      <c r="B13" s="541" t="s">
        <v>262</v>
      </c>
      <c r="C13" s="542"/>
      <c r="D13" s="240">
        <v>2016</v>
      </c>
    </row>
    <row r="14" spans="1:7">
      <c r="A14" s="64" t="s">
        <v>263</v>
      </c>
      <c r="B14" s="65" t="s">
        <v>555</v>
      </c>
      <c r="C14" s="66"/>
      <c r="D14" s="239">
        <v>42625</v>
      </c>
    </row>
    <row r="16" spans="1:7">
      <c r="A16" s="190"/>
    </row>
    <row r="17" spans="1:7">
      <c r="A17" s="523"/>
      <c r="B17" s="523"/>
      <c r="C17" s="523"/>
      <c r="D17" s="523"/>
      <c r="E17" s="523"/>
      <c r="F17" s="523"/>
      <c r="G17" s="523"/>
    </row>
    <row r="18" spans="1:7" ht="35.25" customHeight="1">
      <c r="A18" s="545" t="s">
        <v>264</v>
      </c>
      <c r="B18" s="545"/>
      <c r="C18" s="67" t="s">
        <v>265</v>
      </c>
      <c r="D18" s="67" t="s">
        <v>266</v>
      </c>
    </row>
    <row r="19" spans="1:7">
      <c r="A19" s="241">
        <v>1</v>
      </c>
      <c r="B19" s="242" t="s">
        <v>553</v>
      </c>
      <c r="C19" s="241" t="s">
        <v>267</v>
      </c>
      <c r="D19" s="243">
        <v>7</v>
      </c>
    </row>
    <row r="20" spans="1:7">
      <c r="A20" s="68"/>
      <c r="B20" s="69"/>
      <c r="C20" s="68"/>
      <c r="D20" s="70"/>
    </row>
    <row r="21" spans="1:7">
      <c r="A21" s="522" t="s">
        <v>268</v>
      </c>
      <c r="B21" s="522"/>
      <c r="C21" s="522"/>
      <c r="D21" s="522"/>
      <c r="E21" s="522"/>
      <c r="F21" s="522"/>
      <c r="G21" s="522"/>
    </row>
    <row r="22" spans="1:7">
      <c r="A22" s="71"/>
    </row>
    <row r="23" spans="1:7">
      <c r="A23" s="57" t="s">
        <v>269</v>
      </c>
    </row>
    <row r="24" spans="1:7">
      <c r="A24" s="57" t="s">
        <v>270</v>
      </c>
    </row>
    <row r="25" spans="1:7">
      <c r="A25" s="72" t="s">
        <v>271</v>
      </c>
      <c r="B25" s="60"/>
      <c r="C25" s="60"/>
      <c r="D25" s="61"/>
    </row>
    <row r="26" spans="1:7" ht="31.5">
      <c r="A26" s="73">
        <v>1</v>
      </c>
      <c r="B26" s="74" t="s">
        <v>272</v>
      </c>
      <c r="C26" s="74"/>
      <c r="D26" s="244" t="str">
        <f>B19</f>
        <v xml:space="preserve">AUXILIAR SERVIÇOS GERAIS </v>
      </c>
    </row>
    <row r="27" spans="1:7" ht="30.75" customHeight="1">
      <c r="A27" s="73">
        <v>2</v>
      </c>
      <c r="B27" s="539" t="s">
        <v>273</v>
      </c>
      <c r="C27" s="540"/>
      <c r="D27" s="175">
        <v>1070</v>
      </c>
    </row>
    <row r="28" spans="1:7" ht="31.5" customHeight="1">
      <c r="A28" s="73">
        <v>3</v>
      </c>
      <c r="B28" s="539" t="s">
        <v>274</v>
      </c>
      <c r="C28" s="540"/>
      <c r="D28" s="176" t="s">
        <v>375</v>
      </c>
    </row>
    <row r="29" spans="1:7">
      <c r="A29" s="75">
        <v>4</v>
      </c>
      <c r="B29" s="76" t="s">
        <v>275</v>
      </c>
      <c r="C29" s="76"/>
      <c r="D29" s="77">
        <v>42401</v>
      </c>
    </row>
    <row r="30" spans="1:7">
      <c r="A30" s="71"/>
    </row>
    <row r="31" spans="1:7">
      <c r="A31" s="71"/>
    </row>
    <row r="32" spans="1:7">
      <c r="A32" s="71"/>
    </row>
    <row r="33" spans="1:7" ht="16.5" customHeight="1" thickBot="1">
      <c r="A33" s="523" t="s">
        <v>276</v>
      </c>
      <c r="B33" s="523"/>
      <c r="C33" s="523"/>
      <c r="D33" s="523"/>
      <c r="E33" s="523"/>
      <c r="F33" s="52"/>
      <c r="G33" s="52"/>
    </row>
    <row r="34" spans="1:7" ht="16.5" thickBot="1">
      <c r="A34" s="78" t="s">
        <v>277</v>
      </c>
      <c r="B34" s="79" t="s">
        <v>278</v>
      </c>
      <c r="C34" s="80"/>
      <c r="D34" s="81" t="s">
        <v>279</v>
      </c>
    </row>
    <row r="35" spans="1:7">
      <c r="A35" s="82" t="s">
        <v>257</v>
      </c>
      <c r="B35" s="83" t="s">
        <v>280</v>
      </c>
      <c r="C35" s="84"/>
      <c r="D35" s="85">
        <f>ROUND(((D27/220)*(365.25/12)*(40/6)-1.57),2)</f>
        <v>985.34</v>
      </c>
    </row>
    <row r="36" spans="1:7">
      <c r="A36" s="191" t="s">
        <v>259</v>
      </c>
      <c r="B36" s="87" t="s">
        <v>281</v>
      </c>
      <c r="C36" s="88"/>
      <c r="D36" s="89">
        <v>0</v>
      </c>
    </row>
    <row r="37" spans="1:7">
      <c r="A37" s="191" t="s">
        <v>261</v>
      </c>
      <c r="B37" s="87" t="s">
        <v>282</v>
      </c>
      <c r="C37" s="90"/>
      <c r="D37" s="89">
        <v>0</v>
      </c>
    </row>
    <row r="38" spans="1:7">
      <c r="A38" s="191" t="s">
        <v>263</v>
      </c>
      <c r="B38" s="91" t="s">
        <v>552</v>
      </c>
      <c r="C38" s="88"/>
      <c r="D38" s="89">
        <v>0</v>
      </c>
    </row>
    <row r="39" spans="1:7">
      <c r="A39" s="191" t="s">
        <v>284</v>
      </c>
      <c r="B39" s="91" t="s">
        <v>285</v>
      </c>
      <c r="C39" s="92"/>
      <c r="D39" s="89">
        <v>0</v>
      </c>
    </row>
    <row r="40" spans="1:7">
      <c r="A40" s="191" t="s">
        <v>286</v>
      </c>
      <c r="B40" s="93" t="s">
        <v>287</v>
      </c>
      <c r="C40" s="92"/>
      <c r="D40" s="89">
        <v>0</v>
      </c>
    </row>
    <row r="41" spans="1:7">
      <c r="A41" s="191" t="s">
        <v>288</v>
      </c>
      <c r="B41" s="93" t="s">
        <v>289</v>
      </c>
      <c r="C41" s="92"/>
      <c r="D41" s="89">
        <v>0</v>
      </c>
    </row>
    <row r="42" spans="1:7" ht="16.5" thickBot="1">
      <c r="A42" s="191" t="s">
        <v>290</v>
      </c>
      <c r="B42" s="94" t="s">
        <v>376</v>
      </c>
      <c r="C42" s="95"/>
      <c r="D42" s="89">
        <v>0</v>
      </c>
    </row>
    <row r="43" spans="1:7" ht="16.5" thickBot="1">
      <c r="A43" s="96"/>
      <c r="B43" s="97" t="s">
        <v>292</v>
      </c>
      <c r="C43" s="98"/>
      <c r="D43" s="99">
        <f>SUM(D35:D42)</f>
        <v>985.34</v>
      </c>
    </row>
    <row r="44" spans="1:7">
      <c r="A44" s="190"/>
    </row>
    <row r="45" spans="1:7" ht="16.5" thickBot="1">
      <c r="A45" s="523" t="s">
        <v>293</v>
      </c>
      <c r="B45" s="523"/>
      <c r="C45" s="523"/>
      <c r="D45" s="523"/>
      <c r="E45" s="523"/>
      <c r="F45" s="523"/>
      <c r="G45" s="523"/>
    </row>
    <row r="46" spans="1:7" ht="16.5" thickBot="1">
      <c r="A46" s="100">
        <v>2</v>
      </c>
      <c r="B46" s="189" t="s">
        <v>294</v>
      </c>
      <c r="C46" s="102"/>
      <c r="D46" s="100" t="s">
        <v>279</v>
      </c>
    </row>
    <row r="47" spans="1:7">
      <c r="A47" s="82" t="s">
        <v>257</v>
      </c>
      <c r="B47" s="83" t="s">
        <v>295</v>
      </c>
      <c r="C47" s="103"/>
      <c r="D47" s="104">
        <f>(3.7*44)-(D35*6%)</f>
        <v>103.67960000000002</v>
      </c>
    </row>
    <row r="48" spans="1:7" ht="31.5">
      <c r="A48" s="105" t="s">
        <v>259</v>
      </c>
      <c r="B48" s="106" t="s">
        <v>296</v>
      </c>
      <c r="C48" s="90"/>
      <c r="D48" s="107">
        <f>330*(1-20%)</f>
        <v>264</v>
      </c>
    </row>
    <row r="49" spans="1:7">
      <c r="A49" s="191" t="s">
        <v>261</v>
      </c>
      <c r="B49" s="87" t="s">
        <v>389</v>
      </c>
      <c r="C49" s="90"/>
      <c r="D49" s="107">
        <v>50</v>
      </c>
    </row>
    <row r="50" spans="1:7">
      <c r="A50" s="191" t="s">
        <v>263</v>
      </c>
      <c r="B50" s="87" t="s">
        <v>297</v>
      </c>
      <c r="C50" s="88"/>
      <c r="D50" s="107">
        <v>0</v>
      </c>
    </row>
    <row r="51" spans="1:7">
      <c r="A51" s="191" t="s">
        <v>284</v>
      </c>
      <c r="B51" s="87" t="s">
        <v>390</v>
      </c>
      <c r="C51" s="92"/>
      <c r="D51" s="108">
        <v>16</v>
      </c>
    </row>
    <row r="52" spans="1:7" ht="16.5" customHeight="1">
      <c r="A52" s="191" t="s">
        <v>286</v>
      </c>
      <c r="B52" s="535" t="s">
        <v>377</v>
      </c>
      <c r="C52" s="536"/>
      <c r="D52" s="108">
        <v>16</v>
      </c>
    </row>
    <row r="53" spans="1:7" ht="16.5" thickBot="1">
      <c r="A53" s="109" t="s">
        <v>288</v>
      </c>
      <c r="B53" s="537" t="s">
        <v>291</v>
      </c>
      <c r="C53" s="538"/>
      <c r="D53" s="110">
        <v>0</v>
      </c>
    </row>
    <row r="54" spans="1:7" ht="16.5" thickBot="1">
      <c r="A54" s="111"/>
      <c r="B54" s="189" t="s">
        <v>298</v>
      </c>
      <c r="C54" s="112"/>
      <c r="D54" s="113">
        <f>SUM(D47:D53)</f>
        <v>449.67960000000005</v>
      </c>
    </row>
    <row r="55" spans="1:7" ht="33" customHeight="1">
      <c r="A55" s="522" t="s">
        <v>299</v>
      </c>
      <c r="B55" s="522"/>
      <c r="C55" s="522"/>
      <c r="D55" s="522"/>
    </row>
    <row r="56" spans="1:7">
      <c r="A56" s="190"/>
    </row>
    <row r="57" spans="1:7" ht="16.5" thickBot="1">
      <c r="A57" s="523" t="s">
        <v>300</v>
      </c>
      <c r="B57" s="523"/>
      <c r="C57" s="523"/>
      <c r="D57" s="523"/>
      <c r="E57" s="523"/>
      <c r="F57" s="523"/>
      <c r="G57" s="523"/>
    </row>
    <row r="58" spans="1:7" ht="16.5" thickBot="1">
      <c r="A58" s="114">
        <v>3</v>
      </c>
      <c r="B58" s="189" t="s">
        <v>301</v>
      </c>
      <c r="C58" s="102"/>
      <c r="D58" s="100" t="s">
        <v>279</v>
      </c>
    </row>
    <row r="59" spans="1:7">
      <c r="A59" s="82" t="s">
        <v>257</v>
      </c>
      <c r="B59" s="83" t="s">
        <v>302</v>
      </c>
      <c r="C59" s="115"/>
      <c r="D59" s="116">
        <f>'ANEXO IV'!D55</f>
        <v>33.333333333333336</v>
      </c>
    </row>
    <row r="60" spans="1:7">
      <c r="A60" s="105" t="s">
        <v>259</v>
      </c>
      <c r="B60" s="106" t="s">
        <v>15</v>
      </c>
      <c r="C60" s="90"/>
      <c r="D60" s="107">
        <v>0</v>
      </c>
    </row>
    <row r="61" spans="1:7">
      <c r="A61" s="191" t="s">
        <v>261</v>
      </c>
      <c r="B61" s="87" t="s">
        <v>21</v>
      </c>
      <c r="C61" s="90"/>
      <c r="D61" s="107">
        <v>0</v>
      </c>
    </row>
    <row r="62" spans="1:7">
      <c r="A62" s="191" t="s">
        <v>263</v>
      </c>
      <c r="B62" s="535" t="s">
        <v>18</v>
      </c>
      <c r="C62" s="536"/>
      <c r="D62" s="108">
        <v>0</v>
      </c>
    </row>
    <row r="63" spans="1:7" ht="16.5" thickBot="1">
      <c r="A63" s="109" t="s">
        <v>284</v>
      </c>
      <c r="B63" s="537" t="s">
        <v>291</v>
      </c>
      <c r="C63" s="538"/>
      <c r="D63" s="110">
        <v>0</v>
      </c>
    </row>
    <row r="64" spans="1:7" ht="16.5" thickBot="1">
      <c r="A64" s="111"/>
      <c r="B64" s="189" t="s">
        <v>303</v>
      </c>
      <c r="C64" s="112"/>
      <c r="D64" s="113">
        <f>SUM(D59:D63)</f>
        <v>33.333333333333336</v>
      </c>
    </row>
    <row r="65" spans="1:7">
      <c r="A65" s="522" t="s">
        <v>304</v>
      </c>
      <c r="B65" s="522"/>
      <c r="C65" s="522"/>
      <c r="D65" s="522"/>
      <c r="E65" s="522"/>
      <c r="F65" s="522"/>
      <c r="G65" s="522"/>
    </row>
    <row r="66" spans="1:7">
      <c r="A66" s="190"/>
    </row>
    <row r="67" spans="1:7">
      <c r="A67" s="523" t="s">
        <v>305</v>
      </c>
      <c r="B67" s="523"/>
      <c r="C67" s="523"/>
      <c r="D67" s="523"/>
      <c r="E67" s="523"/>
      <c r="F67" s="523"/>
      <c r="G67" s="523"/>
    </row>
    <row r="68" spans="1:7" ht="16.5" thickBot="1">
      <c r="A68" s="523" t="s">
        <v>306</v>
      </c>
      <c r="B68" s="523"/>
      <c r="C68" s="523"/>
      <c r="D68" s="523"/>
      <c r="E68" s="523"/>
      <c r="F68" s="523"/>
      <c r="G68" s="523"/>
    </row>
    <row r="69" spans="1:7" ht="16.5" thickBot="1">
      <c r="A69" s="117" t="s">
        <v>307</v>
      </c>
      <c r="B69" s="118" t="s">
        <v>308</v>
      </c>
      <c r="C69" s="117" t="s">
        <v>4</v>
      </c>
      <c r="D69" s="117" t="s">
        <v>279</v>
      </c>
    </row>
    <row r="70" spans="1:7">
      <c r="A70" s="82" t="s">
        <v>257</v>
      </c>
      <c r="B70" s="119" t="s">
        <v>8</v>
      </c>
      <c r="C70" s="120">
        <v>0.2</v>
      </c>
      <c r="D70" s="104">
        <f t="shared" ref="D70:D77" si="0">ROUND($D$43*C70,2)</f>
        <v>197.07</v>
      </c>
    </row>
    <row r="71" spans="1:7">
      <c r="A71" s="105" t="s">
        <v>259</v>
      </c>
      <c r="B71" s="121" t="s">
        <v>309</v>
      </c>
      <c r="C71" s="122">
        <v>1.4999999999999999E-2</v>
      </c>
      <c r="D71" s="107">
        <f t="shared" si="0"/>
        <v>14.78</v>
      </c>
    </row>
    <row r="72" spans="1:7">
      <c r="A72" s="191" t="s">
        <v>261</v>
      </c>
      <c r="B72" s="123" t="s">
        <v>310</v>
      </c>
      <c r="C72" s="122">
        <v>0.01</v>
      </c>
      <c r="D72" s="107">
        <f t="shared" si="0"/>
        <v>9.85</v>
      </c>
    </row>
    <row r="73" spans="1:7">
      <c r="A73" s="105" t="s">
        <v>263</v>
      </c>
      <c r="B73" s="121" t="s">
        <v>9</v>
      </c>
      <c r="C73" s="122">
        <v>2E-3</v>
      </c>
      <c r="D73" s="107">
        <f t="shared" si="0"/>
        <v>1.97</v>
      </c>
    </row>
    <row r="74" spans="1:7">
      <c r="A74" s="191" t="s">
        <v>284</v>
      </c>
      <c r="B74" s="123" t="s">
        <v>10</v>
      </c>
      <c r="C74" s="122">
        <v>2.5000000000000001E-2</v>
      </c>
      <c r="D74" s="107">
        <f t="shared" si="0"/>
        <v>24.63</v>
      </c>
    </row>
    <row r="75" spans="1:7">
      <c r="A75" s="105" t="s">
        <v>286</v>
      </c>
      <c r="B75" s="121" t="s">
        <v>11</v>
      </c>
      <c r="C75" s="122">
        <v>0.08</v>
      </c>
      <c r="D75" s="107">
        <f t="shared" si="0"/>
        <v>78.83</v>
      </c>
    </row>
    <row r="76" spans="1:7" ht="31.5">
      <c r="A76" s="191" t="s">
        <v>288</v>
      </c>
      <c r="B76" s="123" t="s">
        <v>378</v>
      </c>
      <c r="C76" s="141">
        <v>3.0499999999999999E-2</v>
      </c>
      <c r="D76" s="245">
        <f t="shared" si="0"/>
        <v>30.05</v>
      </c>
    </row>
    <row r="77" spans="1:7" ht="16.5" thickBot="1">
      <c r="A77" s="124" t="s">
        <v>290</v>
      </c>
      <c r="B77" s="125" t="s">
        <v>12</v>
      </c>
      <c r="C77" s="126">
        <v>6.0000000000000001E-3</v>
      </c>
      <c r="D77" s="110">
        <f t="shared" si="0"/>
        <v>5.91</v>
      </c>
    </row>
    <row r="78" spans="1:7" ht="16.5" thickBot="1">
      <c r="A78" s="530" t="s">
        <v>7</v>
      </c>
      <c r="B78" s="531"/>
      <c r="C78" s="127">
        <f>SUM(C70:C77)</f>
        <v>0.36850000000000005</v>
      </c>
      <c r="D78" s="113">
        <f>SUM(D70:D77)</f>
        <v>363.09000000000003</v>
      </c>
    </row>
    <row r="79" spans="1:7">
      <c r="A79" s="534" t="s">
        <v>311</v>
      </c>
      <c r="B79" s="534"/>
      <c r="C79" s="534"/>
      <c r="D79" s="534"/>
    </row>
    <row r="80" spans="1:7" ht="16.5" customHeight="1">
      <c r="A80" s="534" t="s">
        <v>312</v>
      </c>
      <c r="B80" s="534"/>
      <c r="C80" s="534"/>
      <c r="D80" s="534"/>
    </row>
    <row r="81" spans="1:7">
      <c r="A81" s="190"/>
    </row>
    <row r="82" spans="1:7" ht="16.5" thickBot="1">
      <c r="A82" s="523" t="s">
        <v>313</v>
      </c>
      <c r="B82" s="523"/>
      <c r="C82" s="523"/>
      <c r="D82" s="523"/>
      <c r="E82" s="523"/>
      <c r="F82" s="523"/>
      <c r="G82" s="523"/>
    </row>
    <row r="83" spans="1:7" ht="16.5" thickBot="1">
      <c r="A83" s="117" t="s">
        <v>314</v>
      </c>
      <c r="B83" s="118" t="s">
        <v>315</v>
      </c>
      <c r="C83" s="117" t="s">
        <v>4</v>
      </c>
      <c r="D83" s="117" t="s">
        <v>279</v>
      </c>
    </row>
    <row r="84" spans="1:7">
      <c r="A84" s="82" t="s">
        <v>257</v>
      </c>
      <c r="B84" s="119" t="s">
        <v>316</v>
      </c>
      <c r="C84" s="120">
        <f>((5/56)*100)/100</f>
        <v>8.9285714285714288E-2</v>
      </c>
      <c r="D84" s="104">
        <f>ROUND($D$43*C84,2)</f>
        <v>87.98</v>
      </c>
    </row>
    <row r="85" spans="1:7">
      <c r="A85" s="105" t="s">
        <v>259</v>
      </c>
      <c r="B85" s="121" t="s">
        <v>317</v>
      </c>
      <c r="C85" s="128">
        <f>(1/3)*(5/56)</f>
        <v>2.976190476190476E-2</v>
      </c>
      <c r="D85" s="129">
        <f>ROUND($D$43*C85,2)</f>
        <v>29.33</v>
      </c>
    </row>
    <row r="86" spans="1:7">
      <c r="A86" s="130" t="s">
        <v>318</v>
      </c>
      <c r="B86" s="121"/>
      <c r="C86" s="131">
        <f>SUM(C84:C85)</f>
        <v>0.11904761904761904</v>
      </c>
      <c r="D86" s="132">
        <f>SUM(D84:D85)</f>
        <v>117.31</v>
      </c>
    </row>
    <row r="87" spans="1:7" ht="32.25" thickBot="1">
      <c r="A87" s="105" t="s">
        <v>261</v>
      </c>
      <c r="B87" s="121" t="s">
        <v>319</v>
      </c>
      <c r="C87" s="122">
        <f>D87/D43</f>
        <v>4.3873180830982197E-2</v>
      </c>
      <c r="D87" s="107">
        <f>ROUND(D78*C86,2)</f>
        <v>43.23</v>
      </c>
    </row>
    <row r="88" spans="1:7" ht="16.5" thickBot="1">
      <c r="A88" s="530" t="s">
        <v>7</v>
      </c>
      <c r="B88" s="531"/>
      <c r="C88" s="127">
        <f>C87+C86</f>
        <v>0.16292079987860125</v>
      </c>
      <c r="D88" s="113">
        <f>D86+D87</f>
        <v>160.54</v>
      </c>
    </row>
    <row r="89" spans="1:7">
      <c r="A89" s="190"/>
    </row>
    <row r="90" spans="1:7" ht="16.5" thickBot="1">
      <c r="A90" s="523" t="s">
        <v>320</v>
      </c>
      <c r="B90" s="523"/>
      <c r="C90" s="523"/>
      <c r="D90" s="523"/>
      <c r="E90" s="523"/>
      <c r="F90" s="523"/>
      <c r="G90" s="523"/>
    </row>
    <row r="91" spans="1:7" ht="16.5" thickBot="1">
      <c r="A91" s="117" t="s">
        <v>321</v>
      </c>
      <c r="B91" s="118" t="s">
        <v>322</v>
      </c>
      <c r="C91" s="117" t="s">
        <v>4</v>
      </c>
      <c r="D91" s="117" t="s">
        <v>279</v>
      </c>
    </row>
    <row r="92" spans="1:7">
      <c r="A92" s="82" t="s">
        <v>257</v>
      </c>
      <c r="B92" s="133" t="s">
        <v>323</v>
      </c>
      <c r="C92" s="120">
        <f>0.1111*0.02*0.3333</f>
        <v>7.4059259999999997E-4</v>
      </c>
      <c r="D92" s="104">
        <f>ROUND($D$43*C92,2)</f>
        <v>0.73</v>
      </c>
    </row>
    <row r="93" spans="1:7" ht="32.25" thickBot="1">
      <c r="A93" s="109" t="s">
        <v>259</v>
      </c>
      <c r="B93" s="134" t="s">
        <v>324</v>
      </c>
      <c r="C93" s="126">
        <f>D93/D43</f>
        <v>2.7401709054742529E-4</v>
      </c>
      <c r="D93" s="110">
        <f>ROUND(D78*C92,2)</f>
        <v>0.27</v>
      </c>
    </row>
    <row r="94" spans="1:7" ht="16.5" thickBot="1">
      <c r="A94" s="530" t="s">
        <v>7</v>
      </c>
      <c r="B94" s="531"/>
      <c r="C94" s="127">
        <f>SUM(C92:C93)</f>
        <v>1.0146096905474253E-3</v>
      </c>
      <c r="D94" s="113">
        <f>SUM(D92:D93)</f>
        <v>1</v>
      </c>
    </row>
    <row r="95" spans="1:7">
      <c r="A95" s="190"/>
    </row>
    <row r="96" spans="1:7">
      <c r="A96" s="190"/>
    </row>
    <row r="97" spans="1:7" ht="16.5" thickBot="1">
      <c r="A97" s="523" t="s">
        <v>325</v>
      </c>
      <c r="B97" s="523"/>
      <c r="C97" s="523"/>
      <c r="D97" s="523"/>
      <c r="E97" s="523"/>
      <c r="F97" s="523"/>
      <c r="G97" s="523"/>
    </row>
    <row r="98" spans="1:7" ht="16.5" thickBot="1">
      <c r="A98" s="117" t="s">
        <v>326</v>
      </c>
      <c r="B98" s="118" t="s">
        <v>327</v>
      </c>
      <c r="C98" s="117" t="s">
        <v>4</v>
      </c>
      <c r="D98" s="117" t="s">
        <v>279</v>
      </c>
    </row>
    <row r="99" spans="1:7">
      <c r="A99" s="82" t="s">
        <v>257</v>
      </c>
      <c r="B99" s="133" t="s">
        <v>328</v>
      </c>
      <c r="C99" s="135">
        <f>((1/12)*0.05)</f>
        <v>4.1666666666666666E-3</v>
      </c>
      <c r="D99" s="104">
        <f>ROUND($D$43*C99,2)</f>
        <v>4.1100000000000003</v>
      </c>
    </row>
    <row r="100" spans="1:7" ht="31.5">
      <c r="A100" s="191" t="s">
        <v>259</v>
      </c>
      <c r="B100" s="91" t="s">
        <v>329</v>
      </c>
      <c r="C100" s="136">
        <f>D100/D43</f>
        <v>3.3490977733574199E-4</v>
      </c>
      <c r="D100" s="137">
        <f>ROUND(D75*C99,2)</f>
        <v>0.33</v>
      </c>
    </row>
    <row r="101" spans="1:7">
      <c r="A101" s="191" t="s">
        <v>261</v>
      </c>
      <c r="B101" s="138" t="s">
        <v>330</v>
      </c>
      <c r="C101" s="139">
        <f>0.08*0.5*0.9*(1+(5/56)+(5/56)+(1/3)*(5/56))</f>
        <v>4.3499999999999997E-2</v>
      </c>
      <c r="D101" s="107">
        <f>ROUND($D$43*C101,2)</f>
        <v>42.86</v>
      </c>
    </row>
    <row r="102" spans="1:7">
      <c r="A102" s="191" t="s">
        <v>263</v>
      </c>
      <c r="B102" s="138" t="s">
        <v>331</v>
      </c>
      <c r="C102" s="140">
        <f>(((7/30)/12))</f>
        <v>1.9444444444444445E-2</v>
      </c>
      <c r="D102" s="107">
        <f>ROUND($D$43*C102,2)</f>
        <v>19.16</v>
      </c>
    </row>
    <row r="103" spans="1:7" ht="31.5">
      <c r="A103" s="191" t="s">
        <v>284</v>
      </c>
      <c r="B103" s="138" t="s">
        <v>332</v>
      </c>
      <c r="C103" s="141">
        <f>D103/D43</f>
        <v>7.1650394787586003E-3</v>
      </c>
      <c r="D103" s="107">
        <f>ROUND(D78*C102,2)</f>
        <v>7.06</v>
      </c>
    </row>
    <row r="104" spans="1:7" ht="16.5" thickBot="1">
      <c r="A104" s="109" t="s">
        <v>286</v>
      </c>
      <c r="B104" s="134" t="s">
        <v>333</v>
      </c>
      <c r="C104" s="142">
        <f>(40%+10%)*C75*C102</f>
        <v>7.7777777777777784E-4</v>
      </c>
      <c r="D104" s="107">
        <f>ROUND($D$43*C104,2)</f>
        <v>0.77</v>
      </c>
    </row>
    <row r="105" spans="1:7" ht="16.5" thickBot="1">
      <c r="A105" s="525" t="s">
        <v>7</v>
      </c>
      <c r="B105" s="526"/>
      <c r="C105" s="127">
        <f>SUM(C99:C104)</f>
        <v>7.5388838144983233E-2</v>
      </c>
      <c r="D105" s="143">
        <f>SUM(D99:D104)</f>
        <v>74.289999999999992</v>
      </c>
    </row>
    <row r="106" spans="1:7">
      <c r="A106" s="71"/>
    </row>
    <row r="107" spans="1:7" ht="16.5" thickBot="1">
      <c r="A107" s="523" t="s">
        <v>334</v>
      </c>
      <c r="B107" s="523"/>
      <c r="C107" s="523"/>
      <c r="D107" s="523"/>
      <c r="E107" s="523"/>
      <c r="F107" s="523"/>
      <c r="G107" s="523"/>
    </row>
    <row r="108" spans="1:7" ht="32.25" thickBot="1">
      <c r="A108" s="117" t="s">
        <v>335</v>
      </c>
      <c r="B108" s="118" t="s">
        <v>336</v>
      </c>
      <c r="C108" s="117" t="s">
        <v>4</v>
      </c>
      <c r="D108" s="117" t="s">
        <v>279</v>
      </c>
    </row>
    <row r="109" spans="1:7">
      <c r="A109" s="82" t="s">
        <v>257</v>
      </c>
      <c r="B109" s="133" t="s">
        <v>13</v>
      </c>
      <c r="C109" s="144">
        <f>(5/56)</f>
        <v>8.9285714285714288E-2</v>
      </c>
      <c r="D109" s="107">
        <f t="shared" ref="D109:D114" si="1">ROUND($D$43*C109,2)</f>
        <v>87.98</v>
      </c>
    </row>
    <row r="110" spans="1:7">
      <c r="A110" s="191" t="s">
        <v>259</v>
      </c>
      <c r="B110" s="138" t="s">
        <v>379</v>
      </c>
      <c r="C110" s="122">
        <f>(10.96/30)/12</f>
        <v>3.0444444444444444E-2</v>
      </c>
      <c r="D110" s="107">
        <f t="shared" si="1"/>
        <v>30</v>
      </c>
      <c r="E110" s="184"/>
    </row>
    <row r="111" spans="1:7">
      <c r="A111" s="191" t="s">
        <v>261</v>
      </c>
      <c r="B111" s="138" t="s">
        <v>337</v>
      </c>
      <c r="C111" s="122">
        <f>((5/30)/12)*0.015</f>
        <v>2.0833333333333332E-4</v>
      </c>
      <c r="D111" s="107">
        <f t="shared" si="1"/>
        <v>0.21</v>
      </c>
    </row>
    <row r="112" spans="1:7">
      <c r="A112" s="191" t="s">
        <v>263</v>
      </c>
      <c r="B112" s="138" t="s">
        <v>338</v>
      </c>
      <c r="C112" s="122">
        <f>((1/30)/12)</f>
        <v>2.7777777777777779E-3</v>
      </c>
      <c r="D112" s="107">
        <f t="shared" si="1"/>
        <v>2.74</v>
      </c>
    </row>
    <row r="113" spans="1:7">
      <c r="A113" s="191" t="s">
        <v>284</v>
      </c>
      <c r="B113" s="138" t="s">
        <v>339</v>
      </c>
      <c r="C113" s="122">
        <f>((15/30)/12)*0.0078</f>
        <v>3.2499999999999999E-4</v>
      </c>
      <c r="D113" s="107">
        <f t="shared" si="1"/>
        <v>0.32</v>
      </c>
    </row>
    <row r="114" spans="1:7">
      <c r="A114" s="191" t="s">
        <v>286</v>
      </c>
      <c r="B114" s="138" t="s">
        <v>291</v>
      </c>
      <c r="C114" s="145"/>
      <c r="D114" s="107">
        <f t="shared" si="1"/>
        <v>0</v>
      </c>
    </row>
    <row r="115" spans="1:7">
      <c r="A115" s="532" t="s">
        <v>318</v>
      </c>
      <c r="B115" s="533"/>
      <c r="C115" s="122">
        <f>SUM(C109:C114)</f>
        <v>0.12304126984126985</v>
      </c>
      <c r="D115" s="107">
        <f>SUM(D109:D114)</f>
        <v>121.24999999999999</v>
      </c>
    </row>
    <row r="116" spans="1:7" ht="32.25" thickBot="1">
      <c r="A116" s="109" t="s">
        <v>288</v>
      </c>
      <c r="B116" s="134" t="s">
        <v>340</v>
      </c>
      <c r="C116" s="142">
        <f>D116/$D$43</f>
        <v>4.5344754095033184E-2</v>
      </c>
      <c r="D116" s="107">
        <f>ROUND(D78*C115,2)</f>
        <v>44.68</v>
      </c>
    </row>
    <row r="117" spans="1:7" ht="16.5" thickBot="1">
      <c r="A117" s="525" t="s">
        <v>7</v>
      </c>
      <c r="B117" s="526"/>
      <c r="C117" s="127">
        <f>C116+C115</f>
        <v>0.16838602393630303</v>
      </c>
      <c r="D117" s="146">
        <f>D116+D115</f>
        <v>165.92999999999998</v>
      </c>
    </row>
    <row r="118" spans="1:7">
      <c r="A118" s="190" t="s">
        <v>341</v>
      </c>
    </row>
    <row r="119" spans="1:7" ht="16.5" thickBot="1">
      <c r="A119" s="522" t="s">
        <v>342</v>
      </c>
      <c r="B119" s="522"/>
      <c r="C119" s="522"/>
      <c r="D119" s="522"/>
      <c r="E119" s="522"/>
      <c r="F119" s="522"/>
      <c r="G119" s="522"/>
    </row>
    <row r="120" spans="1:7" ht="32.25" customHeight="1" thickBot="1">
      <c r="A120" s="147">
        <v>4</v>
      </c>
      <c r="B120" s="148" t="s">
        <v>343</v>
      </c>
      <c r="C120" s="149" t="s">
        <v>4</v>
      </c>
      <c r="D120" s="150" t="s">
        <v>279</v>
      </c>
    </row>
    <row r="121" spans="1:7">
      <c r="A121" s="82" t="s">
        <v>307</v>
      </c>
      <c r="B121" s="133" t="s">
        <v>344</v>
      </c>
      <c r="C121" s="142">
        <f t="shared" ref="C121:C126" si="2">D121/$D$43</f>
        <v>0.16292853228327275</v>
      </c>
      <c r="D121" s="107">
        <f>D88</f>
        <v>160.54</v>
      </c>
    </row>
    <row r="122" spans="1:7">
      <c r="A122" s="191" t="s">
        <v>314</v>
      </c>
      <c r="B122" s="138" t="s">
        <v>308</v>
      </c>
      <c r="C122" s="142">
        <f t="shared" si="2"/>
        <v>0.36849209409949868</v>
      </c>
      <c r="D122" s="107">
        <f>D78</f>
        <v>363.09000000000003</v>
      </c>
    </row>
    <row r="123" spans="1:7">
      <c r="A123" s="191" t="s">
        <v>321</v>
      </c>
      <c r="B123" s="138" t="s">
        <v>323</v>
      </c>
      <c r="C123" s="142">
        <f t="shared" si="2"/>
        <v>1.0148781131386121E-3</v>
      </c>
      <c r="D123" s="107">
        <f>D94</f>
        <v>1</v>
      </c>
    </row>
    <row r="124" spans="1:7">
      <c r="A124" s="151" t="s">
        <v>326</v>
      </c>
      <c r="B124" s="152" t="s">
        <v>345</v>
      </c>
      <c r="C124" s="142">
        <f t="shared" si="2"/>
        <v>7.5395295025067477E-2</v>
      </c>
      <c r="D124" s="107">
        <f>D105</f>
        <v>74.289999999999992</v>
      </c>
    </row>
    <row r="125" spans="1:7">
      <c r="A125" s="153" t="s">
        <v>335</v>
      </c>
      <c r="B125" s="154" t="s">
        <v>346</v>
      </c>
      <c r="C125" s="142">
        <f t="shared" si="2"/>
        <v>0.16839872531308986</v>
      </c>
      <c r="D125" s="107">
        <f>D117</f>
        <v>165.92999999999998</v>
      </c>
    </row>
    <row r="126" spans="1:7" ht="16.5" thickBot="1">
      <c r="A126" s="191" t="s">
        <v>347</v>
      </c>
      <c r="B126" s="138" t="s">
        <v>291</v>
      </c>
      <c r="C126" s="142">
        <f t="shared" si="2"/>
        <v>0</v>
      </c>
      <c r="D126" s="107">
        <v>0</v>
      </c>
    </row>
    <row r="127" spans="1:7" ht="37.5" customHeight="1" thickBot="1">
      <c r="A127" s="530" t="s">
        <v>348</v>
      </c>
      <c r="B127" s="531"/>
      <c r="C127" s="127">
        <f>SUM(C121:C126)</f>
        <v>0.77622952483406737</v>
      </c>
      <c r="D127" s="113">
        <f>SUM(D121:D126)</f>
        <v>764.84999999999991</v>
      </c>
    </row>
    <row r="128" spans="1:7">
      <c r="A128" s="155"/>
      <c r="B128" s="155"/>
      <c r="C128" s="156"/>
      <c r="D128" s="157"/>
      <c r="E128" s="158"/>
      <c r="F128" s="159"/>
      <c r="G128" s="159"/>
    </row>
    <row r="129" spans="1:8" ht="16.5" thickBot="1">
      <c r="A129" s="522" t="s">
        <v>349</v>
      </c>
      <c r="B129" s="522"/>
      <c r="C129" s="522"/>
      <c r="D129" s="522"/>
      <c r="E129" s="522"/>
      <c r="F129" s="522"/>
      <c r="G129" s="522"/>
      <c r="H129" s="160"/>
    </row>
    <row r="130" spans="1:8" ht="16.5" thickBot="1">
      <c r="A130" s="147" t="s">
        <v>350</v>
      </c>
      <c r="B130" s="148" t="s">
        <v>351</v>
      </c>
      <c r="C130" s="149" t="s">
        <v>4</v>
      </c>
      <c r="D130" s="114" t="s">
        <v>279</v>
      </c>
      <c r="E130" s="161">
        <f>D43+D54+D64+D78+D88+D94+D105+D117</f>
        <v>2233.202933333333</v>
      </c>
      <c r="G130" s="160"/>
    </row>
    <row r="131" spans="1:8">
      <c r="A131" s="82" t="s">
        <v>257</v>
      </c>
      <c r="B131" s="133" t="s">
        <v>352</v>
      </c>
      <c r="C131" s="162">
        <v>7.1959999999999996E-2</v>
      </c>
      <c r="D131" s="163">
        <f>E130*C131</f>
        <v>160.70128308266663</v>
      </c>
      <c r="G131" s="160"/>
    </row>
    <row r="132" spans="1:8">
      <c r="A132" s="191" t="s">
        <v>259</v>
      </c>
      <c r="B132" s="138" t="s">
        <v>353</v>
      </c>
      <c r="C132" s="142"/>
      <c r="D132" s="164"/>
      <c r="F132" s="165"/>
    </row>
    <row r="133" spans="1:8">
      <c r="A133" s="191"/>
      <c r="B133" s="138" t="s">
        <v>354</v>
      </c>
      <c r="C133" s="142"/>
      <c r="D133" s="129"/>
      <c r="F133" s="182"/>
      <c r="G133" s="160"/>
    </row>
    <row r="134" spans="1:8">
      <c r="A134" s="191"/>
      <c r="B134" s="138" t="s">
        <v>355</v>
      </c>
      <c r="C134" s="142">
        <v>7.5999999999999998E-2</v>
      </c>
      <c r="D134" s="107">
        <f>$D$152*C134</f>
        <v>210.28396651287932</v>
      </c>
      <c r="E134" s="165">
        <f>D152</f>
        <v>2766.8942962220963</v>
      </c>
      <c r="G134" s="160"/>
    </row>
    <row r="135" spans="1:8">
      <c r="A135" s="191"/>
      <c r="B135" s="138" t="s">
        <v>356</v>
      </c>
      <c r="C135" s="142">
        <v>1.6500000000000001E-2</v>
      </c>
      <c r="D135" s="107">
        <f>$D$152*C135</f>
        <v>45.653755887664587</v>
      </c>
      <c r="E135" s="246"/>
      <c r="G135" s="160"/>
    </row>
    <row r="136" spans="1:8">
      <c r="A136" s="191"/>
      <c r="B136" s="138" t="s">
        <v>357</v>
      </c>
      <c r="C136" s="142"/>
      <c r="D136" s="107"/>
    </row>
    <row r="137" spans="1:8">
      <c r="A137" s="191"/>
      <c r="B137" s="138" t="s">
        <v>358</v>
      </c>
      <c r="C137" s="142">
        <v>2.5000000000000001E-2</v>
      </c>
      <c r="D137" s="107">
        <f>$D$152*C137</f>
        <v>69.172357405552404</v>
      </c>
      <c r="G137" s="160"/>
    </row>
    <row r="138" spans="1:8">
      <c r="A138" s="191"/>
      <c r="B138" s="138" t="s">
        <v>359</v>
      </c>
      <c r="C138" s="142"/>
      <c r="D138" s="107"/>
    </row>
    <row r="139" spans="1:8" ht="16.5" thickBot="1">
      <c r="A139" s="191" t="s">
        <v>261</v>
      </c>
      <c r="B139" s="138" t="s">
        <v>360</v>
      </c>
      <c r="C139" s="142">
        <v>0.02</v>
      </c>
      <c r="D139" s="107">
        <f>ROUND(E139*C139,2)</f>
        <v>47.88</v>
      </c>
      <c r="E139" s="132">
        <f>E130+D131</f>
        <v>2393.9042164159996</v>
      </c>
    </row>
    <row r="140" spans="1:8" ht="33" customHeight="1" thickBot="1">
      <c r="A140" s="527" t="s">
        <v>361</v>
      </c>
      <c r="B140" s="528"/>
      <c r="C140" s="529"/>
      <c r="D140" s="166">
        <f>D131+D134+D135+D137+D139</f>
        <v>533.69136288876302</v>
      </c>
    </row>
    <row r="141" spans="1:8">
      <c r="A141" s="522" t="s">
        <v>362</v>
      </c>
      <c r="B141" s="522"/>
      <c r="C141" s="522"/>
      <c r="D141" s="522"/>
      <c r="E141" s="522"/>
      <c r="F141" s="522"/>
      <c r="G141" s="522"/>
    </row>
    <row r="142" spans="1:8">
      <c r="A142" s="522" t="s">
        <v>363</v>
      </c>
      <c r="B142" s="522"/>
      <c r="C142" s="522"/>
      <c r="D142" s="522"/>
      <c r="E142" s="522"/>
      <c r="F142" s="522"/>
      <c r="G142" s="522"/>
    </row>
    <row r="143" spans="1:8">
      <c r="A143" s="190"/>
    </row>
    <row r="144" spans="1:8" ht="16.5" thickBot="1">
      <c r="A144" s="523" t="s">
        <v>364</v>
      </c>
      <c r="B144" s="523"/>
      <c r="C144" s="523"/>
      <c r="D144" s="523"/>
      <c r="E144" s="523"/>
      <c r="F144" s="523"/>
      <c r="G144" s="523"/>
    </row>
    <row r="145" spans="1:8" ht="32.25" customHeight="1" thickBot="1">
      <c r="A145" s="147"/>
      <c r="B145" s="524" t="s">
        <v>365</v>
      </c>
      <c r="C145" s="524"/>
      <c r="D145" s="167" t="s">
        <v>366</v>
      </c>
    </row>
    <row r="146" spans="1:8">
      <c r="A146" s="191" t="s">
        <v>257</v>
      </c>
      <c r="B146" s="138" t="s">
        <v>367</v>
      </c>
      <c r="C146" s="122">
        <f t="shared" ref="C146:C151" si="3">D146/$D$152</f>
        <v>0.35611768810444921</v>
      </c>
      <c r="D146" s="129">
        <f>D43</f>
        <v>985.34</v>
      </c>
    </row>
    <row r="147" spans="1:8">
      <c r="A147" s="191" t="s">
        <v>259</v>
      </c>
      <c r="B147" s="138" t="s">
        <v>368</v>
      </c>
      <c r="C147" s="122">
        <f t="shared" si="3"/>
        <v>0.16252142360985397</v>
      </c>
      <c r="D147" s="129">
        <f>D54</f>
        <v>449.67960000000005</v>
      </c>
    </row>
    <row r="148" spans="1:8" ht="31.5">
      <c r="A148" s="191" t="s">
        <v>261</v>
      </c>
      <c r="B148" s="138" t="s">
        <v>369</v>
      </c>
      <c r="C148" s="122">
        <f t="shared" si="3"/>
        <v>1.2047201578624274E-2</v>
      </c>
      <c r="D148" s="129">
        <f>D64</f>
        <v>33.333333333333336</v>
      </c>
      <c r="E148" s="165">
        <f>D150+D131+D139</f>
        <v>2441.7842164159997</v>
      </c>
    </row>
    <row r="149" spans="1:8" ht="31.5">
      <c r="A149" s="191" t="s">
        <v>263</v>
      </c>
      <c r="B149" s="138" t="s">
        <v>370</v>
      </c>
      <c r="C149" s="122">
        <f t="shared" si="3"/>
        <v>0.27642906382232318</v>
      </c>
      <c r="D149" s="129">
        <f>D127</f>
        <v>764.84999999999991</v>
      </c>
      <c r="E149" s="174">
        <f>C137+C135+C134</f>
        <v>0.11749999999999999</v>
      </c>
    </row>
    <row r="150" spans="1:8" ht="16.5" customHeight="1">
      <c r="A150" s="168" t="s">
        <v>371</v>
      </c>
      <c r="B150" s="169"/>
      <c r="C150" s="131">
        <f t="shared" si="3"/>
        <v>0.80711537711525061</v>
      </c>
      <c r="D150" s="170">
        <f>SUM(D146:D149)</f>
        <v>2233.202933333333</v>
      </c>
      <c r="E150" s="174">
        <f>100%-E149</f>
        <v>0.88250000000000006</v>
      </c>
    </row>
    <row r="151" spans="1:8" ht="32.25" thickBot="1">
      <c r="A151" s="191" t="s">
        <v>284</v>
      </c>
      <c r="B151" s="138" t="s">
        <v>372</v>
      </c>
      <c r="C151" s="122">
        <f t="shared" si="3"/>
        <v>0.19288462288474936</v>
      </c>
      <c r="D151" s="129">
        <f>D140</f>
        <v>533.69136288876302</v>
      </c>
      <c r="G151" s="171"/>
    </row>
    <row r="152" spans="1:8" ht="16.5" customHeight="1" thickBot="1">
      <c r="A152" s="525" t="s">
        <v>373</v>
      </c>
      <c r="B152" s="526"/>
      <c r="C152" s="127">
        <f>C151+C150</f>
        <v>1</v>
      </c>
      <c r="D152" s="166">
        <f>(D150+D139+D131)/0.8825</f>
        <v>2766.8942962220963</v>
      </c>
      <c r="E152" s="171"/>
      <c r="F152" s="165">
        <f>D150+D151</f>
        <v>2766.8942962220963</v>
      </c>
      <c r="H152" s="172"/>
    </row>
    <row r="153" spans="1:8">
      <c r="E153" s="171"/>
    </row>
    <row r="154" spans="1:8">
      <c r="A154" s="186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1.299212598425197" right="0.51181102362204722" top="2.1653543307086616" bottom="0.98425196850393704" header="0.31496062992125984" footer="0.31496062992125984"/>
  <pageSetup paperSize="9" scale="79" fitToHeight="4" orientation="portrait" r:id="rId1"/>
  <headerFooter alignWithMargins="0"/>
  <rowBreaks count="3" manualBreakCount="3">
    <brk id="43" max="3" man="1"/>
    <brk id="88" max="3" man="1"/>
    <brk id="128" max="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154"/>
  <sheetViews>
    <sheetView showGridLines="0" view="pageBreakPreview" zoomScale="90" zoomScaleSheetLayoutView="90" workbookViewId="0">
      <selection activeCell="G135" sqref="G135"/>
    </sheetView>
  </sheetViews>
  <sheetFormatPr defaultRowHeight="15.75"/>
  <cols>
    <col min="1" max="1" width="9.28515625" style="53" customWidth="1"/>
    <col min="2" max="2" width="39.85546875" style="53" customWidth="1"/>
    <col min="3" max="3" width="18.28515625" style="53" customWidth="1"/>
    <col min="4" max="4" width="23.85546875" style="53" customWidth="1"/>
    <col min="5" max="5" width="16" style="53" bestFit="1" customWidth="1"/>
    <col min="6" max="6" width="13.7109375" style="53" bestFit="1" customWidth="1"/>
    <col min="7" max="7" width="15.7109375" style="53" bestFit="1" customWidth="1"/>
    <col min="8" max="8" width="13.140625" style="53" bestFit="1" customWidth="1"/>
    <col min="9" max="9" width="11.85546875" style="53" bestFit="1" customWidth="1"/>
    <col min="10" max="10" width="12.85546875" style="53" bestFit="1" customWidth="1"/>
    <col min="11" max="256" width="9.140625" style="53"/>
    <col min="257" max="257" width="9.28515625" style="53" customWidth="1"/>
    <col min="258" max="258" width="39.85546875" style="53" customWidth="1"/>
    <col min="259" max="259" width="18.28515625" style="53" customWidth="1"/>
    <col min="260" max="260" width="23.85546875" style="53" customWidth="1"/>
    <col min="261" max="261" width="16" style="53" bestFit="1" customWidth="1"/>
    <col min="262" max="262" width="13.7109375" style="53" bestFit="1" customWidth="1"/>
    <col min="263" max="263" width="15.7109375" style="53" bestFit="1" customWidth="1"/>
    <col min="264" max="264" width="13.140625" style="53" bestFit="1" customWidth="1"/>
    <col min="265" max="265" width="11.85546875" style="53" bestFit="1" customWidth="1"/>
    <col min="266" max="266" width="12.85546875" style="53" bestFit="1" customWidth="1"/>
    <col min="267" max="512" width="9.140625" style="53"/>
    <col min="513" max="513" width="9.28515625" style="53" customWidth="1"/>
    <col min="514" max="514" width="39.85546875" style="53" customWidth="1"/>
    <col min="515" max="515" width="18.28515625" style="53" customWidth="1"/>
    <col min="516" max="516" width="23.85546875" style="53" customWidth="1"/>
    <col min="517" max="517" width="16" style="53" bestFit="1" customWidth="1"/>
    <col min="518" max="518" width="13.7109375" style="53" bestFit="1" customWidth="1"/>
    <col min="519" max="519" width="15.7109375" style="53" bestFit="1" customWidth="1"/>
    <col min="520" max="520" width="13.140625" style="53" bestFit="1" customWidth="1"/>
    <col min="521" max="521" width="11.85546875" style="53" bestFit="1" customWidth="1"/>
    <col min="522" max="522" width="12.85546875" style="53" bestFit="1" customWidth="1"/>
    <col min="523" max="768" width="9.140625" style="53"/>
    <col min="769" max="769" width="9.28515625" style="53" customWidth="1"/>
    <col min="770" max="770" width="39.85546875" style="53" customWidth="1"/>
    <col min="771" max="771" width="18.28515625" style="53" customWidth="1"/>
    <col min="772" max="772" width="23.85546875" style="53" customWidth="1"/>
    <col min="773" max="773" width="16" style="53" bestFit="1" customWidth="1"/>
    <col min="774" max="774" width="13.7109375" style="53" bestFit="1" customWidth="1"/>
    <col min="775" max="775" width="15.7109375" style="53" bestFit="1" customWidth="1"/>
    <col min="776" max="776" width="13.140625" style="53" bestFit="1" customWidth="1"/>
    <col min="777" max="777" width="11.85546875" style="53" bestFit="1" customWidth="1"/>
    <col min="778" max="778" width="12.85546875" style="53" bestFit="1" customWidth="1"/>
    <col min="779" max="1024" width="9.140625" style="53"/>
    <col min="1025" max="1025" width="9.28515625" style="53" customWidth="1"/>
    <col min="1026" max="1026" width="39.85546875" style="53" customWidth="1"/>
    <col min="1027" max="1027" width="18.28515625" style="53" customWidth="1"/>
    <col min="1028" max="1028" width="23.85546875" style="53" customWidth="1"/>
    <col min="1029" max="1029" width="16" style="53" bestFit="1" customWidth="1"/>
    <col min="1030" max="1030" width="13.7109375" style="53" bestFit="1" customWidth="1"/>
    <col min="1031" max="1031" width="15.7109375" style="53" bestFit="1" customWidth="1"/>
    <col min="1032" max="1032" width="13.140625" style="53" bestFit="1" customWidth="1"/>
    <col min="1033" max="1033" width="11.85546875" style="53" bestFit="1" customWidth="1"/>
    <col min="1034" max="1034" width="12.85546875" style="53" bestFit="1" customWidth="1"/>
    <col min="1035" max="1280" width="9.140625" style="53"/>
    <col min="1281" max="1281" width="9.28515625" style="53" customWidth="1"/>
    <col min="1282" max="1282" width="39.85546875" style="53" customWidth="1"/>
    <col min="1283" max="1283" width="18.28515625" style="53" customWidth="1"/>
    <col min="1284" max="1284" width="23.85546875" style="53" customWidth="1"/>
    <col min="1285" max="1285" width="16" style="53" bestFit="1" customWidth="1"/>
    <col min="1286" max="1286" width="13.7109375" style="53" bestFit="1" customWidth="1"/>
    <col min="1287" max="1287" width="15.7109375" style="53" bestFit="1" customWidth="1"/>
    <col min="1288" max="1288" width="13.140625" style="53" bestFit="1" customWidth="1"/>
    <col min="1289" max="1289" width="11.85546875" style="53" bestFit="1" customWidth="1"/>
    <col min="1290" max="1290" width="12.85546875" style="53" bestFit="1" customWidth="1"/>
    <col min="1291" max="1536" width="9.140625" style="53"/>
    <col min="1537" max="1537" width="9.28515625" style="53" customWidth="1"/>
    <col min="1538" max="1538" width="39.85546875" style="53" customWidth="1"/>
    <col min="1539" max="1539" width="18.28515625" style="53" customWidth="1"/>
    <col min="1540" max="1540" width="23.85546875" style="53" customWidth="1"/>
    <col min="1541" max="1541" width="16" style="53" bestFit="1" customWidth="1"/>
    <col min="1542" max="1542" width="13.7109375" style="53" bestFit="1" customWidth="1"/>
    <col min="1543" max="1543" width="15.7109375" style="53" bestFit="1" customWidth="1"/>
    <col min="1544" max="1544" width="13.140625" style="53" bestFit="1" customWidth="1"/>
    <col min="1545" max="1545" width="11.85546875" style="53" bestFit="1" customWidth="1"/>
    <col min="1546" max="1546" width="12.85546875" style="53" bestFit="1" customWidth="1"/>
    <col min="1547" max="1792" width="9.140625" style="53"/>
    <col min="1793" max="1793" width="9.28515625" style="53" customWidth="1"/>
    <col min="1794" max="1794" width="39.85546875" style="53" customWidth="1"/>
    <col min="1795" max="1795" width="18.28515625" style="53" customWidth="1"/>
    <col min="1796" max="1796" width="23.85546875" style="53" customWidth="1"/>
    <col min="1797" max="1797" width="16" style="53" bestFit="1" customWidth="1"/>
    <col min="1798" max="1798" width="13.7109375" style="53" bestFit="1" customWidth="1"/>
    <col min="1799" max="1799" width="15.7109375" style="53" bestFit="1" customWidth="1"/>
    <col min="1800" max="1800" width="13.140625" style="53" bestFit="1" customWidth="1"/>
    <col min="1801" max="1801" width="11.85546875" style="53" bestFit="1" customWidth="1"/>
    <col min="1802" max="1802" width="12.85546875" style="53" bestFit="1" customWidth="1"/>
    <col min="1803" max="2048" width="9.140625" style="53"/>
    <col min="2049" max="2049" width="9.28515625" style="53" customWidth="1"/>
    <col min="2050" max="2050" width="39.85546875" style="53" customWidth="1"/>
    <col min="2051" max="2051" width="18.28515625" style="53" customWidth="1"/>
    <col min="2052" max="2052" width="23.85546875" style="53" customWidth="1"/>
    <col min="2053" max="2053" width="16" style="53" bestFit="1" customWidth="1"/>
    <col min="2054" max="2054" width="13.7109375" style="53" bestFit="1" customWidth="1"/>
    <col min="2055" max="2055" width="15.7109375" style="53" bestFit="1" customWidth="1"/>
    <col min="2056" max="2056" width="13.140625" style="53" bestFit="1" customWidth="1"/>
    <col min="2057" max="2057" width="11.85546875" style="53" bestFit="1" customWidth="1"/>
    <col min="2058" max="2058" width="12.85546875" style="53" bestFit="1" customWidth="1"/>
    <col min="2059" max="2304" width="9.140625" style="53"/>
    <col min="2305" max="2305" width="9.28515625" style="53" customWidth="1"/>
    <col min="2306" max="2306" width="39.85546875" style="53" customWidth="1"/>
    <col min="2307" max="2307" width="18.28515625" style="53" customWidth="1"/>
    <col min="2308" max="2308" width="23.85546875" style="53" customWidth="1"/>
    <col min="2309" max="2309" width="16" style="53" bestFit="1" customWidth="1"/>
    <col min="2310" max="2310" width="13.7109375" style="53" bestFit="1" customWidth="1"/>
    <col min="2311" max="2311" width="15.7109375" style="53" bestFit="1" customWidth="1"/>
    <col min="2312" max="2312" width="13.140625" style="53" bestFit="1" customWidth="1"/>
    <col min="2313" max="2313" width="11.85546875" style="53" bestFit="1" customWidth="1"/>
    <col min="2314" max="2314" width="12.85546875" style="53" bestFit="1" customWidth="1"/>
    <col min="2315" max="2560" width="9.140625" style="53"/>
    <col min="2561" max="2561" width="9.28515625" style="53" customWidth="1"/>
    <col min="2562" max="2562" width="39.85546875" style="53" customWidth="1"/>
    <col min="2563" max="2563" width="18.28515625" style="53" customWidth="1"/>
    <col min="2564" max="2564" width="23.85546875" style="53" customWidth="1"/>
    <col min="2565" max="2565" width="16" style="53" bestFit="1" customWidth="1"/>
    <col min="2566" max="2566" width="13.7109375" style="53" bestFit="1" customWidth="1"/>
    <col min="2567" max="2567" width="15.7109375" style="53" bestFit="1" customWidth="1"/>
    <col min="2568" max="2568" width="13.140625" style="53" bestFit="1" customWidth="1"/>
    <col min="2569" max="2569" width="11.85546875" style="53" bestFit="1" customWidth="1"/>
    <col min="2570" max="2570" width="12.85546875" style="53" bestFit="1" customWidth="1"/>
    <col min="2571" max="2816" width="9.140625" style="53"/>
    <col min="2817" max="2817" width="9.28515625" style="53" customWidth="1"/>
    <col min="2818" max="2818" width="39.85546875" style="53" customWidth="1"/>
    <col min="2819" max="2819" width="18.28515625" style="53" customWidth="1"/>
    <col min="2820" max="2820" width="23.85546875" style="53" customWidth="1"/>
    <col min="2821" max="2821" width="16" style="53" bestFit="1" customWidth="1"/>
    <col min="2822" max="2822" width="13.7109375" style="53" bestFit="1" customWidth="1"/>
    <col min="2823" max="2823" width="15.7109375" style="53" bestFit="1" customWidth="1"/>
    <col min="2824" max="2824" width="13.140625" style="53" bestFit="1" customWidth="1"/>
    <col min="2825" max="2825" width="11.85546875" style="53" bestFit="1" customWidth="1"/>
    <col min="2826" max="2826" width="12.85546875" style="53" bestFit="1" customWidth="1"/>
    <col min="2827" max="3072" width="9.140625" style="53"/>
    <col min="3073" max="3073" width="9.28515625" style="53" customWidth="1"/>
    <col min="3074" max="3074" width="39.85546875" style="53" customWidth="1"/>
    <col min="3075" max="3075" width="18.28515625" style="53" customWidth="1"/>
    <col min="3076" max="3076" width="23.85546875" style="53" customWidth="1"/>
    <col min="3077" max="3077" width="16" style="53" bestFit="1" customWidth="1"/>
    <col min="3078" max="3078" width="13.7109375" style="53" bestFit="1" customWidth="1"/>
    <col min="3079" max="3079" width="15.7109375" style="53" bestFit="1" customWidth="1"/>
    <col min="3080" max="3080" width="13.140625" style="53" bestFit="1" customWidth="1"/>
    <col min="3081" max="3081" width="11.85546875" style="53" bestFit="1" customWidth="1"/>
    <col min="3082" max="3082" width="12.85546875" style="53" bestFit="1" customWidth="1"/>
    <col min="3083" max="3328" width="9.140625" style="53"/>
    <col min="3329" max="3329" width="9.28515625" style="53" customWidth="1"/>
    <col min="3330" max="3330" width="39.85546875" style="53" customWidth="1"/>
    <col min="3331" max="3331" width="18.28515625" style="53" customWidth="1"/>
    <col min="3332" max="3332" width="23.85546875" style="53" customWidth="1"/>
    <col min="3333" max="3333" width="16" style="53" bestFit="1" customWidth="1"/>
    <col min="3334" max="3334" width="13.7109375" style="53" bestFit="1" customWidth="1"/>
    <col min="3335" max="3335" width="15.7109375" style="53" bestFit="1" customWidth="1"/>
    <col min="3336" max="3336" width="13.140625" style="53" bestFit="1" customWidth="1"/>
    <col min="3337" max="3337" width="11.85546875" style="53" bestFit="1" customWidth="1"/>
    <col min="3338" max="3338" width="12.85546875" style="53" bestFit="1" customWidth="1"/>
    <col min="3339" max="3584" width="9.140625" style="53"/>
    <col min="3585" max="3585" width="9.28515625" style="53" customWidth="1"/>
    <col min="3586" max="3586" width="39.85546875" style="53" customWidth="1"/>
    <col min="3587" max="3587" width="18.28515625" style="53" customWidth="1"/>
    <col min="3588" max="3588" width="23.85546875" style="53" customWidth="1"/>
    <col min="3589" max="3589" width="16" style="53" bestFit="1" customWidth="1"/>
    <col min="3590" max="3590" width="13.7109375" style="53" bestFit="1" customWidth="1"/>
    <col min="3591" max="3591" width="15.7109375" style="53" bestFit="1" customWidth="1"/>
    <col min="3592" max="3592" width="13.140625" style="53" bestFit="1" customWidth="1"/>
    <col min="3593" max="3593" width="11.85546875" style="53" bestFit="1" customWidth="1"/>
    <col min="3594" max="3594" width="12.85546875" style="53" bestFit="1" customWidth="1"/>
    <col min="3595" max="3840" width="9.140625" style="53"/>
    <col min="3841" max="3841" width="9.28515625" style="53" customWidth="1"/>
    <col min="3842" max="3842" width="39.85546875" style="53" customWidth="1"/>
    <col min="3843" max="3843" width="18.28515625" style="53" customWidth="1"/>
    <col min="3844" max="3844" width="23.85546875" style="53" customWidth="1"/>
    <col min="3845" max="3845" width="16" style="53" bestFit="1" customWidth="1"/>
    <col min="3846" max="3846" width="13.7109375" style="53" bestFit="1" customWidth="1"/>
    <col min="3847" max="3847" width="15.7109375" style="53" bestFit="1" customWidth="1"/>
    <col min="3848" max="3848" width="13.140625" style="53" bestFit="1" customWidth="1"/>
    <col min="3849" max="3849" width="11.85546875" style="53" bestFit="1" customWidth="1"/>
    <col min="3850" max="3850" width="12.85546875" style="53" bestFit="1" customWidth="1"/>
    <col min="3851" max="4096" width="9.140625" style="53"/>
    <col min="4097" max="4097" width="9.28515625" style="53" customWidth="1"/>
    <col min="4098" max="4098" width="39.85546875" style="53" customWidth="1"/>
    <col min="4099" max="4099" width="18.28515625" style="53" customWidth="1"/>
    <col min="4100" max="4100" width="23.85546875" style="53" customWidth="1"/>
    <col min="4101" max="4101" width="16" style="53" bestFit="1" customWidth="1"/>
    <col min="4102" max="4102" width="13.7109375" style="53" bestFit="1" customWidth="1"/>
    <col min="4103" max="4103" width="15.7109375" style="53" bestFit="1" customWidth="1"/>
    <col min="4104" max="4104" width="13.140625" style="53" bestFit="1" customWidth="1"/>
    <col min="4105" max="4105" width="11.85546875" style="53" bestFit="1" customWidth="1"/>
    <col min="4106" max="4106" width="12.85546875" style="53" bestFit="1" customWidth="1"/>
    <col min="4107" max="4352" width="9.140625" style="53"/>
    <col min="4353" max="4353" width="9.28515625" style="53" customWidth="1"/>
    <col min="4354" max="4354" width="39.85546875" style="53" customWidth="1"/>
    <col min="4355" max="4355" width="18.28515625" style="53" customWidth="1"/>
    <col min="4356" max="4356" width="23.85546875" style="53" customWidth="1"/>
    <col min="4357" max="4357" width="16" style="53" bestFit="1" customWidth="1"/>
    <col min="4358" max="4358" width="13.7109375" style="53" bestFit="1" customWidth="1"/>
    <col min="4359" max="4359" width="15.7109375" style="53" bestFit="1" customWidth="1"/>
    <col min="4360" max="4360" width="13.140625" style="53" bestFit="1" customWidth="1"/>
    <col min="4361" max="4361" width="11.85546875" style="53" bestFit="1" customWidth="1"/>
    <col min="4362" max="4362" width="12.85546875" style="53" bestFit="1" customWidth="1"/>
    <col min="4363" max="4608" width="9.140625" style="53"/>
    <col min="4609" max="4609" width="9.28515625" style="53" customWidth="1"/>
    <col min="4610" max="4610" width="39.85546875" style="53" customWidth="1"/>
    <col min="4611" max="4611" width="18.28515625" style="53" customWidth="1"/>
    <col min="4612" max="4612" width="23.85546875" style="53" customWidth="1"/>
    <col min="4613" max="4613" width="16" style="53" bestFit="1" customWidth="1"/>
    <col min="4614" max="4614" width="13.7109375" style="53" bestFit="1" customWidth="1"/>
    <col min="4615" max="4615" width="15.7109375" style="53" bestFit="1" customWidth="1"/>
    <col min="4616" max="4616" width="13.140625" style="53" bestFit="1" customWidth="1"/>
    <col min="4617" max="4617" width="11.85546875" style="53" bestFit="1" customWidth="1"/>
    <col min="4618" max="4618" width="12.85546875" style="53" bestFit="1" customWidth="1"/>
    <col min="4619" max="4864" width="9.140625" style="53"/>
    <col min="4865" max="4865" width="9.28515625" style="53" customWidth="1"/>
    <col min="4866" max="4866" width="39.85546875" style="53" customWidth="1"/>
    <col min="4867" max="4867" width="18.28515625" style="53" customWidth="1"/>
    <col min="4868" max="4868" width="23.85546875" style="53" customWidth="1"/>
    <col min="4869" max="4869" width="16" style="53" bestFit="1" customWidth="1"/>
    <col min="4870" max="4870" width="13.7109375" style="53" bestFit="1" customWidth="1"/>
    <col min="4871" max="4871" width="15.7109375" style="53" bestFit="1" customWidth="1"/>
    <col min="4872" max="4872" width="13.140625" style="53" bestFit="1" customWidth="1"/>
    <col min="4873" max="4873" width="11.85546875" style="53" bestFit="1" customWidth="1"/>
    <col min="4874" max="4874" width="12.85546875" style="53" bestFit="1" customWidth="1"/>
    <col min="4875" max="5120" width="9.140625" style="53"/>
    <col min="5121" max="5121" width="9.28515625" style="53" customWidth="1"/>
    <col min="5122" max="5122" width="39.85546875" style="53" customWidth="1"/>
    <col min="5123" max="5123" width="18.28515625" style="53" customWidth="1"/>
    <col min="5124" max="5124" width="23.85546875" style="53" customWidth="1"/>
    <col min="5125" max="5125" width="16" style="53" bestFit="1" customWidth="1"/>
    <col min="5126" max="5126" width="13.7109375" style="53" bestFit="1" customWidth="1"/>
    <col min="5127" max="5127" width="15.7109375" style="53" bestFit="1" customWidth="1"/>
    <col min="5128" max="5128" width="13.140625" style="53" bestFit="1" customWidth="1"/>
    <col min="5129" max="5129" width="11.85546875" style="53" bestFit="1" customWidth="1"/>
    <col min="5130" max="5130" width="12.85546875" style="53" bestFit="1" customWidth="1"/>
    <col min="5131" max="5376" width="9.140625" style="53"/>
    <col min="5377" max="5377" width="9.28515625" style="53" customWidth="1"/>
    <col min="5378" max="5378" width="39.85546875" style="53" customWidth="1"/>
    <col min="5379" max="5379" width="18.28515625" style="53" customWidth="1"/>
    <col min="5380" max="5380" width="23.85546875" style="53" customWidth="1"/>
    <col min="5381" max="5381" width="16" style="53" bestFit="1" customWidth="1"/>
    <col min="5382" max="5382" width="13.7109375" style="53" bestFit="1" customWidth="1"/>
    <col min="5383" max="5383" width="15.7109375" style="53" bestFit="1" customWidth="1"/>
    <col min="5384" max="5384" width="13.140625" style="53" bestFit="1" customWidth="1"/>
    <col min="5385" max="5385" width="11.85546875" style="53" bestFit="1" customWidth="1"/>
    <col min="5386" max="5386" width="12.85546875" style="53" bestFit="1" customWidth="1"/>
    <col min="5387" max="5632" width="9.140625" style="53"/>
    <col min="5633" max="5633" width="9.28515625" style="53" customWidth="1"/>
    <col min="5634" max="5634" width="39.85546875" style="53" customWidth="1"/>
    <col min="5635" max="5635" width="18.28515625" style="53" customWidth="1"/>
    <col min="5636" max="5636" width="23.85546875" style="53" customWidth="1"/>
    <col min="5637" max="5637" width="16" style="53" bestFit="1" customWidth="1"/>
    <col min="5638" max="5638" width="13.7109375" style="53" bestFit="1" customWidth="1"/>
    <col min="5639" max="5639" width="15.7109375" style="53" bestFit="1" customWidth="1"/>
    <col min="5640" max="5640" width="13.140625" style="53" bestFit="1" customWidth="1"/>
    <col min="5641" max="5641" width="11.85546875" style="53" bestFit="1" customWidth="1"/>
    <col min="5642" max="5642" width="12.85546875" style="53" bestFit="1" customWidth="1"/>
    <col min="5643" max="5888" width="9.140625" style="53"/>
    <col min="5889" max="5889" width="9.28515625" style="53" customWidth="1"/>
    <col min="5890" max="5890" width="39.85546875" style="53" customWidth="1"/>
    <col min="5891" max="5891" width="18.28515625" style="53" customWidth="1"/>
    <col min="5892" max="5892" width="23.85546875" style="53" customWidth="1"/>
    <col min="5893" max="5893" width="16" style="53" bestFit="1" customWidth="1"/>
    <col min="5894" max="5894" width="13.7109375" style="53" bestFit="1" customWidth="1"/>
    <col min="5895" max="5895" width="15.7109375" style="53" bestFit="1" customWidth="1"/>
    <col min="5896" max="5896" width="13.140625" style="53" bestFit="1" customWidth="1"/>
    <col min="5897" max="5897" width="11.85546875" style="53" bestFit="1" customWidth="1"/>
    <col min="5898" max="5898" width="12.85546875" style="53" bestFit="1" customWidth="1"/>
    <col min="5899" max="6144" width="9.140625" style="53"/>
    <col min="6145" max="6145" width="9.28515625" style="53" customWidth="1"/>
    <col min="6146" max="6146" width="39.85546875" style="53" customWidth="1"/>
    <col min="6147" max="6147" width="18.28515625" style="53" customWidth="1"/>
    <col min="6148" max="6148" width="23.85546875" style="53" customWidth="1"/>
    <col min="6149" max="6149" width="16" style="53" bestFit="1" customWidth="1"/>
    <col min="6150" max="6150" width="13.7109375" style="53" bestFit="1" customWidth="1"/>
    <col min="6151" max="6151" width="15.7109375" style="53" bestFit="1" customWidth="1"/>
    <col min="6152" max="6152" width="13.140625" style="53" bestFit="1" customWidth="1"/>
    <col min="6153" max="6153" width="11.85546875" style="53" bestFit="1" customWidth="1"/>
    <col min="6154" max="6154" width="12.85546875" style="53" bestFit="1" customWidth="1"/>
    <col min="6155" max="6400" width="9.140625" style="53"/>
    <col min="6401" max="6401" width="9.28515625" style="53" customWidth="1"/>
    <col min="6402" max="6402" width="39.85546875" style="53" customWidth="1"/>
    <col min="6403" max="6403" width="18.28515625" style="53" customWidth="1"/>
    <col min="6404" max="6404" width="23.85546875" style="53" customWidth="1"/>
    <col min="6405" max="6405" width="16" style="53" bestFit="1" customWidth="1"/>
    <col min="6406" max="6406" width="13.7109375" style="53" bestFit="1" customWidth="1"/>
    <col min="6407" max="6407" width="15.7109375" style="53" bestFit="1" customWidth="1"/>
    <col min="6408" max="6408" width="13.140625" style="53" bestFit="1" customWidth="1"/>
    <col min="6409" max="6409" width="11.85546875" style="53" bestFit="1" customWidth="1"/>
    <col min="6410" max="6410" width="12.85546875" style="53" bestFit="1" customWidth="1"/>
    <col min="6411" max="6656" width="9.140625" style="53"/>
    <col min="6657" max="6657" width="9.28515625" style="53" customWidth="1"/>
    <col min="6658" max="6658" width="39.85546875" style="53" customWidth="1"/>
    <col min="6659" max="6659" width="18.28515625" style="53" customWidth="1"/>
    <col min="6660" max="6660" width="23.85546875" style="53" customWidth="1"/>
    <col min="6661" max="6661" width="16" style="53" bestFit="1" customWidth="1"/>
    <col min="6662" max="6662" width="13.7109375" style="53" bestFit="1" customWidth="1"/>
    <col min="6663" max="6663" width="15.7109375" style="53" bestFit="1" customWidth="1"/>
    <col min="6664" max="6664" width="13.140625" style="53" bestFit="1" customWidth="1"/>
    <col min="6665" max="6665" width="11.85546875" style="53" bestFit="1" customWidth="1"/>
    <col min="6666" max="6666" width="12.85546875" style="53" bestFit="1" customWidth="1"/>
    <col min="6667" max="6912" width="9.140625" style="53"/>
    <col min="6913" max="6913" width="9.28515625" style="53" customWidth="1"/>
    <col min="6914" max="6914" width="39.85546875" style="53" customWidth="1"/>
    <col min="6915" max="6915" width="18.28515625" style="53" customWidth="1"/>
    <col min="6916" max="6916" width="23.85546875" style="53" customWidth="1"/>
    <col min="6917" max="6917" width="16" style="53" bestFit="1" customWidth="1"/>
    <col min="6918" max="6918" width="13.7109375" style="53" bestFit="1" customWidth="1"/>
    <col min="6919" max="6919" width="15.7109375" style="53" bestFit="1" customWidth="1"/>
    <col min="6920" max="6920" width="13.140625" style="53" bestFit="1" customWidth="1"/>
    <col min="6921" max="6921" width="11.85546875" style="53" bestFit="1" customWidth="1"/>
    <col min="6922" max="6922" width="12.85546875" style="53" bestFit="1" customWidth="1"/>
    <col min="6923" max="7168" width="9.140625" style="53"/>
    <col min="7169" max="7169" width="9.28515625" style="53" customWidth="1"/>
    <col min="7170" max="7170" width="39.85546875" style="53" customWidth="1"/>
    <col min="7171" max="7171" width="18.28515625" style="53" customWidth="1"/>
    <col min="7172" max="7172" width="23.85546875" style="53" customWidth="1"/>
    <col min="7173" max="7173" width="16" style="53" bestFit="1" customWidth="1"/>
    <col min="7174" max="7174" width="13.7109375" style="53" bestFit="1" customWidth="1"/>
    <col min="7175" max="7175" width="15.7109375" style="53" bestFit="1" customWidth="1"/>
    <col min="7176" max="7176" width="13.140625" style="53" bestFit="1" customWidth="1"/>
    <col min="7177" max="7177" width="11.85546875" style="53" bestFit="1" customWidth="1"/>
    <col min="7178" max="7178" width="12.85546875" style="53" bestFit="1" customWidth="1"/>
    <col min="7179" max="7424" width="9.140625" style="53"/>
    <col min="7425" max="7425" width="9.28515625" style="53" customWidth="1"/>
    <col min="7426" max="7426" width="39.85546875" style="53" customWidth="1"/>
    <col min="7427" max="7427" width="18.28515625" style="53" customWidth="1"/>
    <col min="7428" max="7428" width="23.85546875" style="53" customWidth="1"/>
    <col min="7429" max="7429" width="16" style="53" bestFit="1" customWidth="1"/>
    <col min="7430" max="7430" width="13.7109375" style="53" bestFit="1" customWidth="1"/>
    <col min="7431" max="7431" width="15.7109375" style="53" bestFit="1" customWidth="1"/>
    <col min="7432" max="7432" width="13.140625" style="53" bestFit="1" customWidth="1"/>
    <col min="7433" max="7433" width="11.85546875" style="53" bestFit="1" customWidth="1"/>
    <col min="7434" max="7434" width="12.85546875" style="53" bestFit="1" customWidth="1"/>
    <col min="7435" max="7680" width="9.140625" style="53"/>
    <col min="7681" max="7681" width="9.28515625" style="53" customWidth="1"/>
    <col min="7682" max="7682" width="39.85546875" style="53" customWidth="1"/>
    <col min="7683" max="7683" width="18.28515625" style="53" customWidth="1"/>
    <col min="7684" max="7684" width="23.85546875" style="53" customWidth="1"/>
    <col min="7685" max="7685" width="16" style="53" bestFit="1" customWidth="1"/>
    <col min="7686" max="7686" width="13.7109375" style="53" bestFit="1" customWidth="1"/>
    <col min="7687" max="7687" width="15.7109375" style="53" bestFit="1" customWidth="1"/>
    <col min="7688" max="7688" width="13.140625" style="53" bestFit="1" customWidth="1"/>
    <col min="7689" max="7689" width="11.85546875" style="53" bestFit="1" customWidth="1"/>
    <col min="7690" max="7690" width="12.85546875" style="53" bestFit="1" customWidth="1"/>
    <col min="7691" max="7936" width="9.140625" style="53"/>
    <col min="7937" max="7937" width="9.28515625" style="53" customWidth="1"/>
    <col min="7938" max="7938" width="39.85546875" style="53" customWidth="1"/>
    <col min="7939" max="7939" width="18.28515625" style="53" customWidth="1"/>
    <col min="7940" max="7940" width="23.85546875" style="53" customWidth="1"/>
    <col min="7941" max="7941" width="16" style="53" bestFit="1" customWidth="1"/>
    <col min="7942" max="7942" width="13.7109375" style="53" bestFit="1" customWidth="1"/>
    <col min="7943" max="7943" width="15.7109375" style="53" bestFit="1" customWidth="1"/>
    <col min="7944" max="7944" width="13.140625" style="53" bestFit="1" customWidth="1"/>
    <col min="7945" max="7945" width="11.85546875" style="53" bestFit="1" customWidth="1"/>
    <col min="7946" max="7946" width="12.85546875" style="53" bestFit="1" customWidth="1"/>
    <col min="7947" max="8192" width="9.140625" style="53"/>
    <col min="8193" max="8193" width="9.28515625" style="53" customWidth="1"/>
    <col min="8194" max="8194" width="39.85546875" style="53" customWidth="1"/>
    <col min="8195" max="8195" width="18.28515625" style="53" customWidth="1"/>
    <col min="8196" max="8196" width="23.85546875" style="53" customWidth="1"/>
    <col min="8197" max="8197" width="16" style="53" bestFit="1" customWidth="1"/>
    <col min="8198" max="8198" width="13.7109375" style="53" bestFit="1" customWidth="1"/>
    <col min="8199" max="8199" width="15.7109375" style="53" bestFit="1" customWidth="1"/>
    <col min="8200" max="8200" width="13.140625" style="53" bestFit="1" customWidth="1"/>
    <col min="8201" max="8201" width="11.85546875" style="53" bestFit="1" customWidth="1"/>
    <col min="8202" max="8202" width="12.85546875" style="53" bestFit="1" customWidth="1"/>
    <col min="8203" max="8448" width="9.140625" style="53"/>
    <col min="8449" max="8449" width="9.28515625" style="53" customWidth="1"/>
    <col min="8450" max="8450" width="39.85546875" style="53" customWidth="1"/>
    <col min="8451" max="8451" width="18.28515625" style="53" customWidth="1"/>
    <col min="8452" max="8452" width="23.85546875" style="53" customWidth="1"/>
    <col min="8453" max="8453" width="16" style="53" bestFit="1" customWidth="1"/>
    <col min="8454" max="8454" width="13.7109375" style="53" bestFit="1" customWidth="1"/>
    <col min="8455" max="8455" width="15.7109375" style="53" bestFit="1" customWidth="1"/>
    <col min="8456" max="8456" width="13.140625" style="53" bestFit="1" customWidth="1"/>
    <col min="8457" max="8457" width="11.85546875" style="53" bestFit="1" customWidth="1"/>
    <col min="8458" max="8458" width="12.85546875" style="53" bestFit="1" customWidth="1"/>
    <col min="8459" max="8704" width="9.140625" style="53"/>
    <col min="8705" max="8705" width="9.28515625" style="53" customWidth="1"/>
    <col min="8706" max="8706" width="39.85546875" style="53" customWidth="1"/>
    <col min="8707" max="8707" width="18.28515625" style="53" customWidth="1"/>
    <col min="8708" max="8708" width="23.85546875" style="53" customWidth="1"/>
    <col min="8709" max="8709" width="16" style="53" bestFit="1" customWidth="1"/>
    <col min="8710" max="8710" width="13.7109375" style="53" bestFit="1" customWidth="1"/>
    <col min="8711" max="8711" width="15.7109375" style="53" bestFit="1" customWidth="1"/>
    <col min="8712" max="8712" width="13.140625" style="53" bestFit="1" customWidth="1"/>
    <col min="8713" max="8713" width="11.85546875" style="53" bestFit="1" customWidth="1"/>
    <col min="8714" max="8714" width="12.85546875" style="53" bestFit="1" customWidth="1"/>
    <col min="8715" max="8960" width="9.140625" style="53"/>
    <col min="8961" max="8961" width="9.28515625" style="53" customWidth="1"/>
    <col min="8962" max="8962" width="39.85546875" style="53" customWidth="1"/>
    <col min="8963" max="8963" width="18.28515625" style="53" customWidth="1"/>
    <col min="8964" max="8964" width="23.85546875" style="53" customWidth="1"/>
    <col min="8965" max="8965" width="16" style="53" bestFit="1" customWidth="1"/>
    <col min="8966" max="8966" width="13.7109375" style="53" bestFit="1" customWidth="1"/>
    <col min="8967" max="8967" width="15.7109375" style="53" bestFit="1" customWidth="1"/>
    <col min="8968" max="8968" width="13.140625" style="53" bestFit="1" customWidth="1"/>
    <col min="8969" max="8969" width="11.85546875" style="53" bestFit="1" customWidth="1"/>
    <col min="8970" max="8970" width="12.85546875" style="53" bestFit="1" customWidth="1"/>
    <col min="8971" max="9216" width="9.140625" style="53"/>
    <col min="9217" max="9217" width="9.28515625" style="53" customWidth="1"/>
    <col min="9218" max="9218" width="39.85546875" style="53" customWidth="1"/>
    <col min="9219" max="9219" width="18.28515625" style="53" customWidth="1"/>
    <col min="9220" max="9220" width="23.85546875" style="53" customWidth="1"/>
    <col min="9221" max="9221" width="16" style="53" bestFit="1" customWidth="1"/>
    <col min="9222" max="9222" width="13.7109375" style="53" bestFit="1" customWidth="1"/>
    <col min="9223" max="9223" width="15.7109375" style="53" bestFit="1" customWidth="1"/>
    <col min="9224" max="9224" width="13.140625" style="53" bestFit="1" customWidth="1"/>
    <col min="9225" max="9225" width="11.85546875" style="53" bestFit="1" customWidth="1"/>
    <col min="9226" max="9226" width="12.85546875" style="53" bestFit="1" customWidth="1"/>
    <col min="9227" max="9472" width="9.140625" style="53"/>
    <col min="9473" max="9473" width="9.28515625" style="53" customWidth="1"/>
    <col min="9474" max="9474" width="39.85546875" style="53" customWidth="1"/>
    <col min="9475" max="9475" width="18.28515625" style="53" customWidth="1"/>
    <col min="9476" max="9476" width="23.85546875" style="53" customWidth="1"/>
    <col min="9477" max="9477" width="16" style="53" bestFit="1" customWidth="1"/>
    <col min="9478" max="9478" width="13.7109375" style="53" bestFit="1" customWidth="1"/>
    <col min="9479" max="9479" width="15.7109375" style="53" bestFit="1" customWidth="1"/>
    <col min="9480" max="9480" width="13.140625" style="53" bestFit="1" customWidth="1"/>
    <col min="9481" max="9481" width="11.85546875" style="53" bestFit="1" customWidth="1"/>
    <col min="9482" max="9482" width="12.85546875" style="53" bestFit="1" customWidth="1"/>
    <col min="9483" max="9728" width="9.140625" style="53"/>
    <col min="9729" max="9729" width="9.28515625" style="53" customWidth="1"/>
    <col min="9730" max="9730" width="39.85546875" style="53" customWidth="1"/>
    <col min="9731" max="9731" width="18.28515625" style="53" customWidth="1"/>
    <col min="9732" max="9732" width="23.85546875" style="53" customWidth="1"/>
    <col min="9733" max="9733" width="16" style="53" bestFit="1" customWidth="1"/>
    <col min="9734" max="9734" width="13.7109375" style="53" bestFit="1" customWidth="1"/>
    <col min="9735" max="9735" width="15.7109375" style="53" bestFit="1" customWidth="1"/>
    <col min="9736" max="9736" width="13.140625" style="53" bestFit="1" customWidth="1"/>
    <col min="9737" max="9737" width="11.85546875" style="53" bestFit="1" customWidth="1"/>
    <col min="9738" max="9738" width="12.85546875" style="53" bestFit="1" customWidth="1"/>
    <col min="9739" max="9984" width="9.140625" style="53"/>
    <col min="9985" max="9985" width="9.28515625" style="53" customWidth="1"/>
    <col min="9986" max="9986" width="39.85546875" style="53" customWidth="1"/>
    <col min="9987" max="9987" width="18.28515625" style="53" customWidth="1"/>
    <col min="9988" max="9988" width="23.85546875" style="53" customWidth="1"/>
    <col min="9989" max="9989" width="16" style="53" bestFit="1" customWidth="1"/>
    <col min="9990" max="9990" width="13.7109375" style="53" bestFit="1" customWidth="1"/>
    <col min="9991" max="9991" width="15.7109375" style="53" bestFit="1" customWidth="1"/>
    <col min="9992" max="9992" width="13.140625" style="53" bestFit="1" customWidth="1"/>
    <col min="9993" max="9993" width="11.85546875" style="53" bestFit="1" customWidth="1"/>
    <col min="9994" max="9994" width="12.85546875" style="53" bestFit="1" customWidth="1"/>
    <col min="9995" max="10240" width="9.140625" style="53"/>
    <col min="10241" max="10241" width="9.28515625" style="53" customWidth="1"/>
    <col min="10242" max="10242" width="39.85546875" style="53" customWidth="1"/>
    <col min="10243" max="10243" width="18.28515625" style="53" customWidth="1"/>
    <col min="10244" max="10244" width="23.85546875" style="53" customWidth="1"/>
    <col min="10245" max="10245" width="16" style="53" bestFit="1" customWidth="1"/>
    <col min="10246" max="10246" width="13.7109375" style="53" bestFit="1" customWidth="1"/>
    <col min="10247" max="10247" width="15.7109375" style="53" bestFit="1" customWidth="1"/>
    <col min="10248" max="10248" width="13.140625" style="53" bestFit="1" customWidth="1"/>
    <col min="10249" max="10249" width="11.85546875" style="53" bestFit="1" customWidth="1"/>
    <col min="10250" max="10250" width="12.85546875" style="53" bestFit="1" customWidth="1"/>
    <col min="10251" max="10496" width="9.140625" style="53"/>
    <col min="10497" max="10497" width="9.28515625" style="53" customWidth="1"/>
    <col min="10498" max="10498" width="39.85546875" style="53" customWidth="1"/>
    <col min="10499" max="10499" width="18.28515625" style="53" customWidth="1"/>
    <col min="10500" max="10500" width="23.85546875" style="53" customWidth="1"/>
    <col min="10501" max="10501" width="16" style="53" bestFit="1" customWidth="1"/>
    <col min="10502" max="10502" width="13.7109375" style="53" bestFit="1" customWidth="1"/>
    <col min="10503" max="10503" width="15.7109375" style="53" bestFit="1" customWidth="1"/>
    <col min="10504" max="10504" width="13.140625" style="53" bestFit="1" customWidth="1"/>
    <col min="10505" max="10505" width="11.85546875" style="53" bestFit="1" customWidth="1"/>
    <col min="10506" max="10506" width="12.85546875" style="53" bestFit="1" customWidth="1"/>
    <col min="10507" max="10752" width="9.140625" style="53"/>
    <col min="10753" max="10753" width="9.28515625" style="53" customWidth="1"/>
    <col min="10754" max="10754" width="39.85546875" style="53" customWidth="1"/>
    <col min="10755" max="10755" width="18.28515625" style="53" customWidth="1"/>
    <col min="10756" max="10756" width="23.85546875" style="53" customWidth="1"/>
    <col min="10757" max="10757" width="16" style="53" bestFit="1" customWidth="1"/>
    <col min="10758" max="10758" width="13.7109375" style="53" bestFit="1" customWidth="1"/>
    <col min="10759" max="10759" width="15.7109375" style="53" bestFit="1" customWidth="1"/>
    <col min="10760" max="10760" width="13.140625" style="53" bestFit="1" customWidth="1"/>
    <col min="10761" max="10761" width="11.85546875" style="53" bestFit="1" customWidth="1"/>
    <col min="10762" max="10762" width="12.85546875" style="53" bestFit="1" customWidth="1"/>
    <col min="10763" max="11008" width="9.140625" style="53"/>
    <col min="11009" max="11009" width="9.28515625" style="53" customWidth="1"/>
    <col min="11010" max="11010" width="39.85546875" style="53" customWidth="1"/>
    <col min="11011" max="11011" width="18.28515625" style="53" customWidth="1"/>
    <col min="11012" max="11012" width="23.85546875" style="53" customWidth="1"/>
    <col min="11013" max="11013" width="16" style="53" bestFit="1" customWidth="1"/>
    <col min="11014" max="11014" width="13.7109375" style="53" bestFit="1" customWidth="1"/>
    <col min="11015" max="11015" width="15.7109375" style="53" bestFit="1" customWidth="1"/>
    <col min="11016" max="11016" width="13.140625" style="53" bestFit="1" customWidth="1"/>
    <col min="11017" max="11017" width="11.85546875" style="53" bestFit="1" customWidth="1"/>
    <col min="11018" max="11018" width="12.85546875" style="53" bestFit="1" customWidth="1"/>
    <col min="11019" max="11264" width="9.140625" style="53"/>
    <col min="11265" max="11265" width="9.28515625" style="53" customWidth="1"/>
    <col min="11266" max="11266" width="39.85546875" style="53" customWidth="1"/>
    <col min="11267" max="11267" width="18.28515625" style="53" customWidth="1"/>
    <col min="11268" max="11268" width="23.85546875" style="53" customWidth="1"/>
    <col min="11269" max="11269" width="16" style="53" bestFit="1" customWidth="1"/>
    <col min="11270" max="11270" width="13.7109375" style="53" bestFit="1" customWidth="1"/>
    <col min="11271" max="11271" width="15.7109375" style="53" bestFit="1" customWidth="1"/>
    <col min="11272" max="11272" width="13.140625" style="53" bestFit="1" customWidth="1"/>
    <col min="11273" max="11273" width="11.85546875" style="53" bestFit="1" customWidth="1"/>
    <col min="11274" max="11274" width="12.85546875" style="53" bestFit="1" customWidth="1"/>
    <col min="11275" max="11520" width="9.140625" style="53"/>
    <col min="11521" max="11521" width="9.28515625" style="53" customWidth="1"/>
    <col min="11522" max="11522" width="39.85546875" style="53" customWidth="1"/>
    <col min="11523" max="11523" width="18.28515625" style="53" customWidth="1"/>
    <col min="11524" max="11524" width="23.85546875" style="53" customWidth="1"/>
    <col min="11525" max="11525" width="16" style="53" bestFit="1" customWidth="1"/>
    <col min="11526" max="11526" width="13.7109375" style="53" bestFit="1" customWidth="1"/>
    <col min="11527" max="11527" width="15.7109375" style="53" bestFit="1" customWidth="1"/>
    <col min="11528" max="11528" width="13.140625" style="53" bestFit="1" customWidth="1"/>
    <col min="11529" max="11529" width="11.85546875" style="53" bestFit="1" customWidth="1"/>
    <col min="11530" max="11530" width="12.85546875" style="53" bestFit="1" customWidth="1"/>
    <col min="11531" max="11776" width="9.140625" style="53"/>
    <col min="11777" max="11777" width="9.28515625" style="53" customWidth="1"/>
    <col min="11778" max="11778" width="39.85546875" style="53" customWidth="1"/>
    <col min="11779" max="11779" width="18.28515625" style="53" customWidth="1"/>
    <col min="11780" max="11780" width="23.85546875" style="53" customWidth="1"/>
    <col min="11781" max="11781" width="16" style="53" bestFit="1" customWidth="1"/>
    <col min="11782" max="11782" width="13.7109375" style="53" bestFit="1" customWidth="1"/>
    <col min="11783" max="11783" width="15.7109375" style="53" bestFit="1" customWidth="1"/>
    <col min="11784" max="11784" width="13.140625" style="53" bestFit="1" customWidth="1"/>
    <col min="11785" max="11785" width="11.85546875" style="53" bestFit="1" customWidth="1"/>
    <col min="11786" max="11786" width="12.85546875" style="53" bestFit="1" customWidth="1"/>
    <col min="11787" max="12032" width="9.140625" style="53"/>
    <col min="12033" max="12033" width="9.28515625" style="53" customWidth="1"/>
    <col min="12034" max="12034" width="39.85546875" style="53" customWidth="1"/>
    <col min="12035" max="12035" width="18.28515625" style="53" customWidth="1"/>
    <col min="12036" max="12036" width="23.85546875" style="53" customWidth="1"/>
    <col min="12037" max="12037" width="16" style="53" bestFit="1" customWidth="1"/>
    <col min="12038" max="12038" width="13.7109375" style="53" bestFit="1" customWidth="1"/>
    <col min="12039" max="12039" width="15.7109375" style="53" bestFit="1" customWidth="1"/>
    <col min="12040" max="12040" width="13.140625" style="53" bestFit="1" customWidth="1"/>
    <col min="12041" max="12041" width="11.85546875" style="53" bestFit="1" customWidth="1"/>
    <col min="12042" max="12042" width="12.85546875" style="53" bestFit="1" customWidth="1"/>
    <col min="12043" max="12288" width="9.140625" style="53"/>
    <col min="12289" max="12289" width="9.28515625" style="53" customWidth="1"/>
    <col min="12290" max="12290" width="39.85546875" style="53" customWidth="1"/>
    <col min="12291" max="12291" width="18.28515625" style="53" customWidth="1"/>
    <col min="12292" max="12292" width="23.85546875" style="53" customWidth="1"/>
    <col min="12293" max="12293" width="16" style="53" bestFit="1" customWidth="1"/>
    <col min="12294" max="12294" width="13.7109375" style="53" bestFit="1" customWidth="1"/>
    <col min="12295" max="12295" width="15.7109375" style="53" bestFit="1" customWidth="1"/>
    <col min="12296" max="12296" width="13.140625" style="53" bestFit="1" customWidth="1"/>
    <col min="12297" max="12297" width="11.85546875" style="53" bestFit="1" customWidth="1"/>
    <col min="12298" max="12298" width="12.85546875" style="53" bestFit="1" customWidth="1"/>
    <col min="12299" max="12544" width="9.140625" style="53"/>
    <col min="12545" max="12545" width="9.28515625" style="53" customWidth="1"/>
    <col min="12546" max="12546" width="39.85546875" style="53" customWidth="1"/>
    <col min="12547" max="12547" width="18.28515625" style="53" customWidth="1"/>
    <col min="12548" max="12548" width="23.85546875" style="53" customWidth="1"/>
    <col min="12549" max="12549" width="16" style="53" bestFit="1" customWidth="1"/>
    <col min="12550" max="12550" width="13.7109375" style="53" bestFit="1" customWidth="1"/>
    <col min="12551" max="12551" width="15.7109375" style="53" bestFit="1" customWidth="1"/>
    <col min="12552" max="12552" width="13.140625" style="53" bestFit="1" customWidth="1"/>
    <col min="12553" max="12553" width="11.85546875" style="53" bestFit="1" customWidth="1"/>
    <col min="12554" max="12554" width="12.85546875" style="53" bestFit="1" customWidth="1"/>
    <col min="12555" max="12800" width="9.140625" style="53"/>
    <col min="12801" max="12801" width="9.28515625" style="53" customWidth="1"/>
    <col min="12802" max="12802" width="39.85546875" style="53" customWidth="1"/>
    <col min="12803" max="12803" width="18.28515625" style="53" customWidth="1"/>
    <col min="12804" max="12804" width="23.85546875" style="53" customWidth="1"/>
    <col min="12805" max="12805" width="16" style="53" bestFit="1" customWidth="1"/>
    <col min="12806" max="12806" width="13.7109375" style="53" bestFit="1" customWidth="1"/>
    <col min="12807" max="12807" width="15.7109375" style="53" bestFit="1" customWidth="1"/>
    <col min="12808" max="12808" width="13.140625" style="53" bestFit="1" customWidth="1"/>
    <col min="12809" max="12809" width="11.85546875" style="53" bestFit="1" customWidth="1"/>
    <col min="12810" max="12810" width="12.85546875" style="53" bestFit="1" customWidth="1"/>
    <col min="12811" max="13056" width="9.140625" style="53"/>
    <col min="13057" max="13057" width="9.28515625" style="53" customWidth="1"/>
    <col min="13058" max="13058" width="39.85546875" style="53" customWidth="1"/>
    <col min="13059" max="13059" width="18.28515625" style="53" customWidth="1"/>
    <col min="13060" max="13060" width="23.85546875" style="53" customWidth="1"/>
    <col min="13061" max="13061" width="16" style="53" bestFit="1" customWidth="1"/>
    <col min="13062" max="13062" width="13.7109375" style="53" bestFit="1" customWidth="1"/>
    <col min="13063" max="13063" width="15.7109375" style="53" bestFit="1" customWidth="1"/>
    <col min="13064" max="13064" width="13.140625" style="53" bestFit="1" customWidth="1"/>
    <col min="13065" max="13065" width="11.85546875" style="53" bestFit="1" customWidth="1"/>
    <col min="13066" max="13066" width="12.85546875" style="53" bestFit="1" customWidth="1"/>
    <col min="13067" max="13312" width="9.140625" style="53"/>
    <col min="13313" max="13313" width="9.28515625" style="53" customWidth="1"/>
    <col min="13314" max="13314" width="39.85546875" style="53" customWidth="1"/>
    <col min="13315" max="13315" width="18.28515625" style="53" customWidth="1"/>
    <col min="13316" max="13316" width="23.85546875" style="53" customWidth="1"/>
    <col min="13317" max="13317" width="16" style="53" bestFit="1" customWidth="1"/>
    <col min="13318" max="13318" width="13.7109375" style="53" bestFit="1" customWidth="1"/>
    <col min="13319" max="13319" width="15.7109375" style="53" bestFit="1" customWidth="1"/>
    <col min="13320" max="13320" width="13.140625" style="53" bestFit="1" customWidth="1"/>
    <col min="13321" max="13321" width="11.85546875" style="53" bestFit="1" customWidth="1"/>
    <col min="13322" max="13322" width="12.85546875" style="53" bestFit="1" customWidth="1"/>
    <col min="13323" max="13568" width="9.140625" style="53"/>
    <col min="13569" max="13569" width="9.28515625" style="53" customWidth="1"/>
    <col min="13570" max="13570" width="39.85546875" style="53" customWidth="1"/>
    <col min="13571" max="13571" width="18.28515625" style="53" customWidth="1"/>
    <col min="13572" max="13572" width="23.85546875" style="53" customWidth="1"/>
    <col min="13573" max="13573" width="16" style="53" bestFit="1" customWidth="1"/>
    <col min="13574" max="13574" width="13.7109375" style="53" bestFit="1" customWidth="1"/>
    <col min="13575" max="13575" width="15.7109375" style="53" bestFit="1" customWidth="1"/>
    <col min="13576" max="13576" width="13.140625" style="53" bestFit="1" customWidth="1"/>
    <col min="13577" max="13577" width="11.85546875" style="53" bestFit="1" customWidth="1"/>
    <col min="13578" max="13578" width="12.85546875" style="53" bestFit="1" customWidth="1"/>
    <col min="13579" max="13824" width="9.140625" style="53"/>
    <col min="13825" max="13825" width="9.28515625" style="53" customWidth="1"/>
    <col min="13826" max="13826" width="39.85546875" style="53" customWidth="1"/>
    <col min="13827" max="13827" width="18.28515625" style="53" customWidth="1"/>
    <col min="13828" max="13828" width="23.85546875" style="53" customWidth="1"/>
    <col min="13829" max="13829" width="16" style="53" bestFit="1" customWidth="1"/>
    <col min="13830" max="13830" width="13.7109375" style="53" bestFit="1" customWidth="1"/>
    <col min="13831" max="13831" width="15.7109375" style="53" bestFit="1" customWidth="1"/>
    <col min="13832" max="13832" width="13.140625" style="53" bestFit="1" customWidth="1"/>
    <col min="13833" max="13833" width="11.85546875" style="53" bestFit="1" customWidth="1"/>
    <col min="13834" max="13834" width="12.85546875" style="53" bestFit="1" customWidth="1"/>
    <col min="13835" max="14080" width="9.140625" style="53"/>
    <col min="14081" max="14081" width="9.28515625" style="53" customWidth="1"/>
    <col min="14082" max="14082" width="39.85546875" style="53" customWidth="1"/>
    <col min="14083" max="14083" width="18.28515625" style="53" customWidth="1"/>
    <col min="14084" max="14084" width="23.85546875" style="53" customWidth="1"/>
    <col min="14085" max="14085" width="16" style="53" bestFit="1" customWidth="1"/>
    <col min="14086" max="14086" width="13.7109375" style="53" bestFit="1" customWidth="1"/>
    <col min="14087" max="14087" width="15.7109375" style="53" bestFit="1" customWidth="1"/>
    <col min="14088" max="14088" width="13.140625" style="53" bestFit="1" customWidth="1"/>
    <col min="14089" max="14089" width="11.85546875" style="53" bestFit="1" customWidth="1"/>
    <col min="14090" max="14090" width="12.85546875" style="53" bestFit="1" customWidth="1"/>
    <col min="14091" max="14336" width="9.140625" style="53"/>
    <col min="14337" max="14337" width="9.28515625" style="53" customWidth="1"/>
    <col min="14338" max="14338" width="39.85546875" style="53" customWidth="1"/>
    <col min="14339" max="14339" width="18.28515625" style="53" customWidth="1"/>
    <col min="14340" max="14340" width="23.85546875" style="53" customWidth="1"/>
    <col min="14341" max="14341" width="16" style="53" bestFit="1" customWidth="1"/>
    <col min="14342" max="14342" width="13.7109375" style="53" bestFit="1" customWidth="1"/>
    <col min="14343" max="14343" width="15.7109375" style="53" bestFit="1" customWidth="1"/>
    <col min="14344" max="14344" width="13.140625" style="53" bestFit="1" customWidth="1"/>
    <col min="14345" max="14345" width="11.85546875" style="53" bestFit="1" customWidth="1"/>
    <col min="14346" max="14346" width="12.85546875" style="53" bestFit="1" customWidth="1"/>
    <col min="14347" max="14592" width="9.140625" style="53"/>
    <col min="14593" max="14593" width="9.28515625" style="53" customWidth="1"/>
    <col min="14594" max="14594" width="39.85546875" style="53" customWidth="1"/>
    <col min="14595" max="14595" width="18.28515625" style="53" customWidth="1"/>
    <col min="14596" max="14596" width="23.85546875" style="53" customWidth="1"/>
    <col min="14597" max="14597" width="16" style="53" bestFit="1" customWidth="1"/>
    <col min="14598" max="14598" width="13.7109375" style="53" bestFit="1" customWidth="1"/>
    <col min="14599" max="14599" width="15.7109375" style="53" bestFit="1" customWidth="1"/>
    <col min="14600" max="14600" width="13.140625" style="53" bestFit="1" customWidth="1"/>
    <col min="14601" max="14601" width="11.85546875" style="53" bestFit="1" customWidth="1"/>
    <col min="14602" max="14602" width="12.85546875" style="53" bestFit="1" customWidth="1"/>
    <col min="14603" max="14848" width="9.140625" style="53"/>
    <col min="14849" max="14849" width="9.28515625" style="53" customWidth="1"/>
    <col min="14850" max="14850" width="39.85546875" style="53" customWidth="1"/>
    <col min="14851" max="14851" width="18.28515625" style="53" customWidth="1"/>
    <col min="14852" max="14852" width="23.85546875" style="53" customWidth="1"/>
    <col min="14853" max="14853" width="16" style="53" bestFit="1" customWidth="1"/>
    <col min="14854" max="14854" width="13.7109375" style="53" bestFit="1" customWidth="1"/>
    <col min="14855" max="14855" width="15.7109375" style="53" bestFit="1" customWidth="1"/>
    <col min="14856" max="14856" width="13.140625" style="53" bestFit="1" customWidth="1"/>
    <col min="14857" max="14857" width="11.85546875" style="53" bestFit="1" customWidth="1"/>
    <col min="14858" max="14858" width="12.85546875" style="53" bestFit="1" customWidth="1"/>
    <col min="14859" max="15104" width="9.140625" style="53"/>
    <col min="15105" max="15105" width="9.28515625" style="53" customWidth="1"/>
    <col min="15106" max="15106" width="39.85546875" style="53" customWidth="1"/>
    <col min="15107" max="15107" width="18.28515625" style="53" customWidth="1"/>
    <col min="15108" max="15108" width="23.85546875" style="53" customWidth="1"/>
    <col min="15109" max="15109" width="16" style="53" bestFit="1" customWidth="1"/>
    <col min="15110" max="15110" width="13.7109375" style="53" bestFit="1" customWidth="1"/>
    <col min="15111" max="15111" width="15.7109375" style="53" bestFit="1" customWidth="1"/>
    <col min="15112" max="15112" width="13.140625" style="53" bestFit="1" customWidth="1"/>
    <col min="15113" max="15113" width="11.85546875" style="53" bestFit="1" customWidth="1"/>
    <col min="15114" max="15114" width="12.85546875" style="53" bestFit="1" customWidth="1"/>
    <col min="15115" max="15360" width="9.140625" style="53"/>
    <col min="15361" max="15361" width="9.28515625" style="53" customWidth="1"/>
    <col min="15362" max="15362" width="39.85546875" style="53" customWidth="1"/>
    <col min="15363" max="15363" width="18.28515625" style="53" customWidth="1"/>
    <col min="15364" max="15364" width="23.85546875" style="53" customWidth="1"/>
    <col min="15365" max="15365" width="16" style="53" bestFit="1" customWidth="1"/>
    <col min="15366" max="15366" width="13.7109375" style="53" bestFit="1" customWidth="1"/>
    <col min="15367" max="15367" width="15.7109375" style="53" bestFit="1" customWidth="1"/>
    <col min="15368" max="15368" width="13.140625" style="53" bestFit="1" customWidth="1"/>
    <col min="15369" max="15369" width="11.85546875" style="53" bestFit="1" customWidth="1"/>
    <col min="15370" max="15370" width="12.85546875" style="53" bestFit="1" customWidth="1"/>
    <col min="15371" max="15616" width="9.140625" style="53"/>
    <col min="15617" max="15617" width="9.28515625" style="53" customWidth="1"/>
    <col min="15618" max="15618" width="39.85546875" style="53" customWidth="1"/>
    <col min="15619" max="15619" width="18.28515625" style="53" customWidth="1"/>
    <col min="15620" max="15620" width="23.85546875" style="53" customWidth="1"/>
    <col min="15621" max="15621" width="16" style="53" bestFit="1" customWidth="1"/>
    <col min="15622" max="15622" width="13.7109375" style="53" bestFit="1" customWidth="1"/>
    <col min="15623" max="15623" width="15.7109375" style="53" bestFit="1" customWidth="1"/>
    <col min="15624" max="15624" width="13.140625" style="53" bestFit="1" customWidth="1"/>
    <col min="15625" max="15625" width="11.85546875" style="53" bestFit="1" customWidth="1"/>
    <col min="15626" max="15626" width="12.85546875" style="53" bestFit="1" customWidth="1"/>
    <col min="15627" max="15872" width="9.140625" style="53"/>
    <col min="15873" max="15873" width="9.28515625" style="53" customWidth="1"/>
    <col min="15874" max="15874" width="39.85546875" style="53" customWidth="1"/>
    <col min="15875" max="15875" width="18.28515625" style="53" customWidth="1"/>
    <col min="15876" max="15876" width="23.85546875" style="53" customWidth="1"/>
    <col min="15877" max="15877" width="16" style="53" bestFit="1" customWidth="1"/>
    <col min="15878" max="15878" width="13.7109375" style="53" bestFit="1" customWidth="1"/>
    <col min="15879" max="15879" width="15.7109375" style="53" bestFit="1" customWidth="1"/>
    <col min="15880" max="15880" width="13.140625" style="53" bestFit="1" customWidth="1"/>
    <col min="15881" max="15881" width="11.85546875" style="53" bestFit="1" customWidth="1"/>
    <col min="15882" max="15882" width="12.85546875" style="53" bestFit="1" customWidth="1"/>
    <col min="15883" max="16128" width="9.140625" style="53"/>
    <col min="16129" max="16129" width="9.28515625" style="53" customWidth="1"/>
    <col min="16130" max="16130" width="39.85546875" style="53" customWidth="1"/>
    <col min="16131" max="16131" width="18.28515625" style="53" customWidth="1"/>
    <col min="16132" max="16132" width="23.85546875" style="53" customWidth="1"/>
    <col min="16133" max="16133" width="16" style="53" bestFit="1" customWidth="1"/>
    <col min="16134" max="16134" width="13.7109375" style="53" bestFit="1" customWidth="1"/>
    <col min="16135" max="16135" width="15.7109375" style="53" bestFit="1" customWidth="1"/>
    <col min="16136" max="16136" width="13.140625" style="53" bestFit="1" customWidth="1"/>
    <col min="16137" max="16137" width="11.85546875" style="53" bestFit="1" customWidth="1"/>
    <col min="16138" max="16138" width="12.85546875" style="53" bestFit="1" customWidth="1"/>
    <col min="16139" max="16384" width="9.140625" style="53"/>
  </cols>
  <sheetData>
    <row r="3" spans="1:7" ht="15.75" customHeight="1">
      <c r="A3" s="543" t="s">
        <v>255</v>
      </c>
      <c r="B3" s="543"/>
      <c r="C3" s="543"/>
      <c r="D3" s="543"/>
      <c r="E3" s="52"/>
      <c r="F3" s="52"/>
      <c r="G3" s="52"/>
    </row>
    <row r="4" spans="1:7">
      <c r="A4" s="543"/>
      <c r="B4" s="543"/>
      <c r="C4" s="543"/>
      <c r="D4" s="543"/>
      <c r="E4" s="52"/>
      <c r="F4" s="52"/>
      <c r="G4" s="52"/>
    </row>
    <row r="5" spans="1:7">
      <c r="A5" s="54"/>
      <c r="B5" s="52"/>
      <c r="C5" s="52"/>
      <c r="D5" s="52"/>
      <c r="E5" s="52"/>
      <c r="F5" s="52"/>
      <c r="G5" s="52"/>
    </row>
    <row r="6" spans="1:7" ht="15.75" customHeight="1">
      <c r="A6" s="544" t="s">
        <v>550</v>
      </c>
      <c r="B6" s="544"/>
      <c r="C6" s="544"/>
      <c r="D6" s="544"/>
      <c r="E6" s="52"/>
      <c r="F6" s="52"/>
      <c r="G6" s="52"/>
    </row>
    <row r="7" spans="1:7">
      <c r="A7" s="522"/>
      <c r="B7" s="522"/>
      <c r="C7" s="522"/>
      <c r="D7" s="522"/>
    </row>
    <row r="8" spans="1:7">
      <c r="A8" s="237" t="s">
        <v>551</v>
      </c>
      <c r="B8" s="238"/>
      <c r="C8" s="187"/>
      <c r="D8" s="187"/>
    </row>
    <row r="9" spans="1:7">
      <c r="A9" s="522"/>
      <c r="B9" s="522"/>
      <c r="C9" s="522"/>
      <c r="D9" s="522"/>
    </row>
    <row r="10" spans="1:7">
      <c r="A10" s="57" t="s">
        <v>256</v>
      </c>
      <c r="B10" s="188"/>
      <c r="C10" s="187"/>
      <c r="D10" s="187"/>
    </row>
    <row r="11" spans="1:7">
      <c r="A11" s="59" t="s">
        <v>257</v>
      </c>
      <c r="B11" s="541" t="s">
        <v>258</v>
      </c>
      <c r="C11" s="542"/>
      <c r="D11" s="239">
        <v>42550</v>
      </c>
    </row>
    <row r="12" spans="1:7">
      <c r="A12" s="59" t="s">
        <v>259</v>
      </c>
      <c r="B12" s="62" t="s">
        <v>260</v>
      </c>
      <c r="C12" s="63"/>
      <c r="D12" s="240" t="s">
        <v>374</v>
      </c>
    </row>
    <row r="13" spans="1:7">
      <c r="A13" s="59" t="s">
        <v>261</v>
      </c>
      <c r="B13" s="541" t="s">
        <v>262</v>
      </c>
      <c r="C13" s="542"/>
      <c r="D13" s="240">
        <v>2016</v>
      </c>
    </row>
    <row r="14" spans="1:7">
      <c r="A14" s="64" t="s">
        <v>263</v>
      </c>
      <c r="B14" s="65" t="s">
        <v>555</v>
      </c>
      <c r="C14" s="66"/>
      <c r="D14" s="239">
        <v>42625</v>
      </c>
    </row>
    <row r="16" spans="1:7">
      <c r="A16" s="190"/>
    </row>
    <row r="17" spans="1:7">
      <c r="A17" s="523"/>
      <c r="B17" s="523"/>
      <c r="C17" s="523"/>
      <c r="D17" s="523"/>
      <c r="E17" s="523"/>
      <c r="F17" s="523"/>
      <c r="G17" s="523"/>
    </row>
    <row r="18" spans="1:7" ht="35.25" customHeight="1">
      <c r="A18" s="545" t="s">
        <v>264</v>
      </c>
      <c r="B18" s="545"/>
      <c r="C18" s="67" t="s">
        <v>265</v>
      </c>
      <c r="D18" s="67" t="s">
        <v>266</v>
      </c>
    </row>
    <row r="19" spans="1:7">
      <c r="A19" s="241">
        <v>1</v>
      </c>
      <c r="B19" s="242" t="s">
        <v>553</v>
      </c>
      <c r="C19" s="241" t="s">
        <v>267</v>
      </c>
      <c r="D19" s="243">
        <v>9</v>
      </c>
    </row>
    <row r="20" spans="1:7">
      <c r="A20" s="68"/>
      <c r="B20" s="69"/>
      <c r="C20" s="68"/>
      <c r="D20" s="70"/>
    </row>
    <row r="21" spans="1:7">
      <c r="A21" s="522" t="s">
        <v>268</v>
      </c>
      <c r="B21" s="522"/>
      <c r="C21" s="522"/>
      <c r="D21" s="522"/>
      <c r="E21" s="522"/>
      <c r="F21" s="522"/>
      <c r="G21" s="522"/>
    </row>
    <row r="22" spans="1:7">
      <c r="A22" s="71"/>
    </row>
    <row r="23" spans="1:7">
      <c r="A23" s="57" t="s">
        <v>269</v>
      </c>
    </row>
    <row r="24" spans="1:7">
      <c r="A24" s="57" t="s">
        <v>270</v>
      </c>
    </row>
    <row r="25" spans="1:7">
      <c r="A25" s="72" t="s">
        <v>271</v>
      </c>
      <c r="B25" s="60"/>
      <c r="C25" s="60"/>
      <c r="D25" s="61"/>
    </row>
    <row r="26" spans="1:7" ht="31.5">
      <c r="A26" s="73">
        <v>1</v>
      </c>
      <c r="B26" s="74" t="s">
        <v>272</v>
      </c>
      <c r="C26" s="74"/>
      <c r="D26" s="244" t="str">
        <f>B19</f>
        <v xml:space="preserve">AUXILIAR SERVIÇOS GERAIS </v>
      </c>
    </row>
    <row r="27" spans="1:7" ht="30.75" customHeight="1">
      <c r="A27" s="73">
        <v>2</v>
      </c>
      <c r="B27" s="539" t="s">
        <v>273</v>
      </c>
      <c r="C27" s="540"/>
      <c r="D27" s="175">
        <v>1070</v>
      </c>
    </row>
    <row r="28" spans="1:7" ht="31.5" customHeight="1">
      <c r="A28" s="73">
        <v>3</v>
      </c>
      <c r="B28" s="539" t="s">
        <v>274</v>
      </c>
      <c r="C28" s="540"/>
      <c r="D28" s="176" t="s">
        <v>375</v>
      </c>
    </row>
    <row r="29" spans="1:7">
      <c r="A29" s="75">
        <v>4</v>
      </c>
      <c r="B29" s="76" t="s">
        <v>275</v>
      </c>
      <c r="C29" s="76"/>
      <c r="D29" s="77">
        <v>42401</v>
      </c>
    </row>
    <row r="30" spans="1:7">
      <c r="A30" s="71"/>
    </row>
    <row r="31" spans="1:7">
      <c r="A31" s="71"/>
    </row>
    <row r="32" spans="1:7">
      <c r="A32" s="71"/>
    </row>
    <row r="33" spans="1:7" ht="16.5" customHeight="1" thickBot="1">
      <c r="A33" s="523" t="s">
        <v>276</v>
      </c>
      <c r="B33" s="523"/>
      <c r="C33" s="523"/>
      <c r="D33" s="523"/>
      <c r="E33" s="523"/>
      <c r="F33" s="52"/>
      <c r="G33" s="52"/>
    </row>
    <row r="34" spans="1:7" ht="16.5" thickBot="1">
      <c r="A34" s="78" t="s">
        <v>277</v>
      </c>
      <c r="B34" s="79" t="s">
        <v>278</v>
      </c>
      <c r="C34" s="80"/>
      <c r="D34" s="81" t="s">
        <v>279</v>
      </c>
    </row>
    <row r="35" spans="1:7">
      <c r="A35" s="82" t="s">
        <v>257</v>
      </c>
      <c r="B35" s="83" t="s">
        <v>280</v>
      </c>
      <c r="C35" s="84"/>
      <c r="D35" s="85">
        <f>ROUND(((D27/220)*(365.25/12)*(40/6)-1.57),2)</f>
        <v>985.34</v>
      </c>
    </row>
    <row r="36" spans="1:7">
      <c r="A36" s="191" t="s">
        <v>259</v>
      </c>
      <c r="B36" s="87" t="s">
        <v>281</v>
      </c>
      <c r="C36" s="88"/>
      <c r="D36" s="89">
        <v>0</v>
      </c>
    </row>
    <row r="37" spans="1:7">
      <c r="A37" s="191" t="s">
        <v>261</v>
      </c>
      <c r="B37" s="87" t="s">
        <v>282</v>
      </c>
      <c r="C37" s="90"/>
      <c r="D37" s="89">
        <v>0</v>
      </c>
    </row>
    <row r="38" spans="1:7">
      <c r="A38" s="191" t="s">
        <v>263</v>
      </c>
      <c r="B38" s="91" t="s">
        <v>552</v>
      </c>
      <c r="C38" s="88"/>
      <c r="D38" s="89">
        <v>0</v>
      </c>
    </row>
    <row r="39" spans="1:7">
      <c r="A39" s="191" t="s">
        <v>284</v>
      </c>
      <c r="B39" s="91" t="s">
        <v>285</v>
      </c>
      <c r="C39" s="92"/>
      <c r="D39" s="89">
        <v>0</v>
      </c>
    </row>
    <row r="40" spans="1:7">
      <c r="A40" s="191" t="s">
        <v>286</v>
      </c>
      <c r="B40" s="93" t="s">
        <v>287</v>
      </c>
      <c r="C40" s="92"/>
      <c r="D40" s="89">
        <v>0</v>
      </c>
    </row>
    <row r="41" spans="1:7">
      <c r="A41" s="191" t="s">
        <v>288</v>
      </c>
      <c r="B41" s="93" t="s">
        <v>289</v>
      </c>
      <c r="C41" s="92"/>
      <c r="D41" s="89">
        <v>0</v>
      </c>
    </row>
    <row r="42" spans="1:7" ht="16.5" thickBot="1">
      <c r="A42" s="191" t="s">
        <v>290</v>
      </c>
      <c r="B42" s="94" t="s">
        <v>376</v>
      </c>
      <c r="C42" s="95"/>
      <c r="D42" s="89">
        <v>0</v>
      </c>
    </row>
    <row r="43" spans="1:7" ht="16.5" thickBot="1">
      <c r="A43" s="96"/>
      <c r="B43" s="97" t="s">
        <v>292</v>
      </c>
      <c r="C43" s="98"/>
      <c r="D43" s="99">
        <f>SUM(D35:D42)</f>
        <v>985.34</v>
      </c>
    </row>
    <row r="44" spans="1:7">
      <c r="A44" s="190"/>
    </row>
    <row r="45" spans="1:7" ht="16.5" thickBot="1">
      <c r="A45" s="523" t="s">
        <v>293</v>
      </c>
      <c r="B45" s="523"/>
      <c r="C45" s="523"/>
      <c r="D45" s="523"/>
      <c r="E45" s="523"/>
      <c r="F45" s="523"/>
      <c r="G45" s="523"/>
    </row>
    <row r="46" spans="1:7" ht="16.5" thickBot="1">
      <c r="A46" s="100">
        <v>2</v>
      </c>
      <c r="B46" s="189" t="s">
        <v>294</v>
      </c>
      <c r="C46" s="102"/>
      <c r="D46" s="100" t="s">
        <v>279</v>
      </c>
    </row>
    <row r="47" spans="1:7">
      <c r="A47" s="82" t="s">
        <v>257</v>
      </c>
      <c r="B47" s="83" t="s">
        <v>295</v>
      </c>
      <c r="C47" s="103"/>
      <c r="D47" s="104">
        <f>(3.7*44)-(D35*6%)</f>
        <v>103.67960000000002</v>
      </c>
    </row>
    <row r="48" spans="1:7" ht="31.5">
      <c r="A48" s="105" t="s">
        <v>259</v>
      </c>
      <c r="B48" s="106" t="s">
        <v>296</v>
      </c>
      <c r="C48" s="90"/>
      <c r="D48" s="107">
        <f>330*(1-20%)</f>
        <v>264</v>
      </c>
    </row>
    <row r="49" spans="1:7">
      <c r="A49" s="191" t="s">
        <v>261</v>
      </c>
      <c r="B49" s="87" t="s">
        <v>389</v>
      </c>
      <c r="C49" s="90"/>
      <c r="D49" s="107">
        <v>50</v>
      </c>
    </row>
    <row r="50" spans="1:7">
      <c r="A50" s="191" t="s">
        <v>263</v>
      </c>
      <c r="B50" s="87" t="s">
        <v>297</v>
      </c>
      <c r="C50" s="88"/>
      <c r="D50" s="107">
        <v>0</v>
      </c>
    </row>
    <row r="51" spans="1:7">
      <c r="A51" s="191" t="s">
        <v>284</v>
      </c>
      <c r="B51" s="87" t="s">
        <v>390</v>
      </c>
      <c r="C51" s="92"/>
      <c r="D51" s="108">
        <v>16</v>
      </c>
    </row>
    <row r="52" spans="1:7" ht="16.5" customHeight="1">
      <c r="A52" s="191" t="s">
        <v>286</v>
      </c>
      <c r="B52" s="535" t="s">
        <v>377</v>
      </c>
      <c r="C52" s="536"/>
      <c r="D52" s="108">
        <v>16</v>
      </c>
    </row>
    <row r="53" spans="1:7" ht="16.5" thickBot="1">
      <c r="A53" s="109" t="s">
        <v>288</v>
      </c>
      <c r="B53" s="537" t="s">
        <v>291</v>
      </c>
      <c r="C53" s="538"/>
      <c r="D53" s="110">
        <v>0</v>
      </c>
    </row>
    <row r="54" spans="1:7" ht="16.5" thickBot="1">
      <c r="A54" s="111"/>
      <c r="B54" s="189" t="s">
        <v>298</v>
      </c>
      <c r="C54" s="112"/>
      <c r="D54" s="113">
        <f>SUM(D47:D53)</f>
        <v>449.67960000000005</v>
      </c>
    </row>
    <row r="55" spans="1:7" ht="33" customHeight="1">
      <c r="A55" s="522" t="s">
        <v>299</v>
      </c>
      <c r="B55" s="522"/>
      <c r="C55" s="522"/>
      <c r="D55" s="522"/>
    </row>
    <row r="56" spans="1:7">
      <c r="A56" s="190"/>
    </row>
    <row r="57" spans="1:7" ht="16.5" thickBot="1">
      <c r="A57" s="523" t="s">
        <v>300</v>
      </c>
      <c r="B57" s="523"/>
      <c r="C57" s="523"/>
      <c r="D57" s="523"/>
      <c r="E57" s="523"/>
      <c r="F57" s="523"/>
      <c r="G57" s="523"/>
    </row>
    <row r="58" spans="1:7" ht="16.5" thickBot="1">
      <c r="A58" s="114">
        <v>3</v>
      </c>
      <c r="B58" s="189" t="s">
        <v>301</v>
      </c>
      <c r="C58" s="102"/>
      <c r="D58" s="100" t="s">
        <v>279</v>
      </c>
    </row>
    <row r="59" spans="1:7">
      <c r="A59" s="82" t="s">
        <v>257</v>
      </c>
      <c r="B59" s="83" t="s">
        <v>302</v>
      </c>
      <c r="C59" s="115"/>
      <c r="D59" s="116">
        <f>'ANEXO IV'!D55</f>
        <v>33.333333333333336</v>
      </c>
    </row>
    <row r="60" spans="1:7">
      <c r="A60" s="105" t="s">
        <v>259</v>
      </c>
      <c r="B60" s="106" t="s">
        <v>15</v>
      </c>
      <c r="C60" s="90"/>
      <c r="D60" s="107">
        <v>0</v>
      </c>
    </row>
    <row r="61" spans="1:7">
      <c r="A61" s="191" t="s">
        <v>261</v>
      </c>
      <c r="B61" s="87" t="s">
        <v>21</v>
      </c>
      <c r="C61" s="90"/>
      <c r="D61" s="107">
        <v>0</v>
      </c>
    </row>
    <row r="62" spans="1:7">
      <c r="A62" s="191" t="s">
        <v>263</v>
      </c>
      <c r="B62" s="535" t="s">
        <v>18</v>
      </c>
      <c r="C62" s="536"/>
      <c r="D62" s="108">
        <v>0</v>
      </c>
    </row>
    <row r="63" spans="1:7" ht="16.5" thickBot="1">
      <c r="A63" s="109" t="s">
        <v>284</v>
      </c>
      <c r="B63" s="537" t="s">
        <v>291</v>
      </c>
      <c r="C63" s="538"/>
      <c r="D63" s="110">
        <v>0</v>
      </c>
    </row>
    <row r="64" spans="1:7" ht="16.5" thickBot="1">
      <c r="A64" s="111"/>
      <c r="B64" s="189" t="s">
        <v>303</v>
      </c>
      <c r="C64" s="112"/>
      <c r="D64" s="113">
        <f>SUM(D59:D63)</f>
        <v>33.333333333333336</v>
      </c>
    </row>
    <row r="65" spans="1:7">
      <c r="A65" s="522" t="s">
        <v>304</v>
      </c>
      <c r="B65" s="522"/>
      <c r="C65" s="522"/>
      <c r="D65" s="522"/>
      <c r="E65" s="522"/>
      <c r="F65" s="522"/>
      <c r="G65" s="522"/>
    </row>
    <row r="66" spans="1:7">
      <c r="A66" s="190"/>
    </row>
    <row r="67" spans="1:7">
      <c r="A67" s="523" t="s">
        <v>305</v>
      </c>
      <c r="B67" s="523"/>
      <c r="C67" s="523"/>
      <c r="D67" s="523"/>
      <c r="E67" s="523"/>
      <c r="F67" s="523"/>
      <c r="G67" s="523"/>
    </row>
    <row r="68" spans="1:7" ht="16.5" thickBot="1">
      <c r="A68" s="523" t="s">
        <v>306</v>
      </c>
      <c r="B68" s="523"/>
      <c r="C68" s="523"/>
      <c r="D68" s="523"/>
      <c r="E68" s="523"/>
      <c r="F68" s="523"/>
      <c r="G68" s="523"/>
    </row>
    <row r="69" spans="1:7" ht="16.5" thickBot="1">
      <c r="A69" s="117" t="s">
        <v>307</v>
      </c>
      <c r="B69" s="118" t="s">
        <v>308</v>
      </c>
      <c r="C69" s="117" t="s">
        <v>4</v>
      </c>
      <c r="D69" s="117" t="s">
        <v>279</v>
      </c>
    </row>
    <row r="70" spans="1:7">
      <c r="A70" s="82" t="s">
        <v>257</v>
      </c>
      <c r="B70" s="119" t="s">
        <v>8</v>
      </c>
      <c r="C70" s="120">
        <v>0.2</v>
      </c>
      <c r="D70" s="104">
        <f t="shared" ref="D70:D77" si="0">ROUND($D$43*C70,2)</f>
        <v>197.07</v>
      </c>
    </row>
    <row r="71" spans="1:7">
      <c r="A71" s="105" t="s">
        <v>259</v>
      </c>
      <c r="B71" s="121" t="s">
        <v>309</v>
      </c>
      <c r="C71" s="122">
        <v>1.4999999999999999E-2</v>
      </c>
      <c r="D71" s="107">
        <f t="shared" si="0"/>
        <v>14.78</v>
      </c>
    </row>
    <row r="72" spans="1:7">
      <c r="A72" s="191" t="s">
        <v>261</v>
      </c>
      <c r="B72" s="123" t="s">
        <v>310</v>
      </c>
      <c r="C72" s="122">
        <v>0.01</v>
      </c>
      <c r="D72" s="107">
        <f t="shared" si="0"/>
        <v>9.85</v>
      </c>
    </row>
    <row r="73" spans="1:7">
      <c r="A73" s="105" t="s">
        <v>263</v>
      </c>
      <c r="B73" s="121" t="s">
        <v>9</v>
      </c>
      <c r="C73" s="122">
        <v>2E-3</v>
      </c>
      <c r="D73" s="107">
        <f t="shared" si="0"/>
        <v>1.97</v>
      </c>
    </row>
    <row r="74" spans="1:7">
      <c r="A74" s="191" t="s">
        <v>284</v>
      </c>
      <c r="B74" s="123" t="s">
        <v>10</v>
      </c>
      <c r="C74" s="122">
        <v>2.5000000000000001E-2</v>
      </c>
      <c r="D74" s="107">
        <f t="shared" si="0"/>
        <v>24.63</v>
      </c>
    </row>
    <row r="75" spans="1:7">
      <c r="A75" s="105" t="s">
        <v>286</v>
      </c>
      <c r="B75" s="121" t="s">
        <v>11</v>
      </c>
      <c r="C75" s="122">
        <v>0.08</v>
      </c>
      <c r="D75" s="107">
        <f t="shared" si="0"/>
        <v>78.83</v>
      </c>
    </row>
    <row r="76" spans="1:7" ht="31.5">
      <c r="A76" s="191" t="s">
        <v>288</v>
      </c>
      <c r="B76" s="123" t="s">
        <v>378</v>
      </c>
      <c r="C76" s="141">
        <v>3.0499999999999999E-2</v>
      </c>
      <c r="D76" s="245">
        <f t="shared" si="0"/>
        <v>30.05</v>
      </c>
    </row>
    <row r="77" spans="1:7" ht="16.5" thickBot="1">
      <c r="A77" s="124" t="s">
        <v>290</v>
      </c>
      <c r="B77" s="125" t="s">
        <v>12</v>
      </c>
      <c r="C77" s="126">
        <v>6.0000000000000001E-3</v>
      </c>
      <c r="D77" s="110">
        <f t="shared" si="0"/>
        <v>5.91</v>
      </c>
    </row>
    <row r="78" spans="1:7" ht="16.5" thickBot="1">
      <c r="A78" s="530" t="s">
        <v>7</v>
      </c>
      <c r="B78" s="531"/>
      <c r="C78" s="127">
        <f>SUM(C70:C77)</f>
        <v>0.36850000000000005</v>
      </c>
      <c r="D78" s="113">
        <f>SUM(D70:D77)</f>
        <v>363.09000000000003</v>
      </c>
    </row>
    <row r="79" spans="1:7">
      <c r="A79" s="534" t="s">
        <v>311</v>
      </c>
      <c r="B79" s="534"/>
      <c r="C79" s="534"/>
      <c r="D79" s="534"/>
    </row>
    <row r="80" spans="1:7" ht="16.5" customHeight="1">
      <c r="A80" s="534" t="s">
        <v>312</v>
      </c>
      <c r="B80" s="534"/>
      <c r="C80" s="534"/>
      <c r="D80" s="534"/>
    </row>
    <row r="81" spans="1:7">
      <c r="A81" s="190"/>
    </row>
    <row r="82" spans="1:7" ht="16.5" thickBot="1">
      <c r="A82" s="523" t="s">
        <v>313</v>
      </c>
      <c r="B82" s="523"/>
      <c r="C82" s="523"/>
      <c r="D82" s="523"/>
      <c r="E82" s="523"/>
      <c r="F82" s="523"/>
      <c r="G82" s="523"/>
    </row>
    <row r="83" spans="1:7" ht="16.5" thickBot="1">
      <c r="A83" s="117" t="s">
        <v>314</v>
      </c>
      <c r="B83" s="118" t="s">
        <v>315</v>
      </c>
      <c r="C83" s="117" t="s">
        <v>4</v>
      </c>
      <c r="D83" s="117" t="s">
        <v>279</v>
      </c>
    </row>
    <row r="84" spans="1:7">
      <c r="A84" s="82" t="s">
        <v>257</v>
      </c>
      <c r="B84" s="119" t="s">
        <v>316</v>
      </c>
      <c r="C84" s="120">
        <f>((5/56)*100)/100</f>
        <v>8.9285714285714288E-2</v>
      </c>
      <c r="D84" s="104">
        <f>ROUND($D$43*C84,2)</f>
        <v>87.98</v>
      </c>
    </row>
    <row r="85" spans="1:7">
      <c r="A85" s="105" t="s">
        <v>259</v>
      </c>
      <c r="B85" s="121" t="s">
        <v>317</v>
      </c>
      <c r="C85" s="128">
        <f>(1/3)*(5/56)</f>
        <v>2.976190476190476E-2</v>
      </c>
      <c r="D85" s="129">
        <f>ROUND($D$43*C85,2)</f>
        <v>29.33</v>
      </c>
    </row>
    <row r="86" spans="1:7">
      <c r="A86" s="130" t="s">
        <v>318</v>
      </c>
      <c r="B86" s="121"/>
      <c r="C86" s="131">
        <f>SUM(C84:C85)</f>
        <v>0.11904761904761904</v>
      </c>
      <c r="D86" s="132">
        <f>SUM(D84:D85)</f>
        <v>117.31</v>
      </c>
    </row>
    <row r="87" spans="1:7" ht="32.25" thickBot="1">
      <c r="A87" s="105" t="s">
        <v>261</v>
      </c>
      <c r="B87" s="121" t="s">
        <v>319</v>
      </c>
      <c r="C87" s="122">
        <f>D87/D43</f>
        <v>4.3873180830982197E-2</v>
      </c>
      <c r="D87" s="107">
        <f>ROUND(D78*C86,2)</f>
        <v>43.23</v>
      </c>
    </row>
    <row r="88" spans="1:7" ht="16.5" thickBot="1">
      <c r="A88" s="530" t="s">
        <v>7</v>
      </c>
      <c r="B88" s="531"/>
      <c r="C88" s="127">
        <f>C87+C86</f>
        <v>0.16292079987860125</v>
      </c>
      <c r="D88" s="113">
        <f>D86+D87</f>
        <v>160.54</v>
      </c>
    </row>
    <row r="89" spans="1:7">
      <c r="A89" s="190"/>
    </row>
    <row r="90" spans="1:7" ht="16.5" thickBot="1">
      <c r="A90" s="523" t="s">
        <v>320</v>
      </c>
      <c r="B90" s="523"/>
      <c r="C90" s="523"/>
      <c r="D90" s="523"/>
      <c r="E90" s="523"/>
      <c r="F90" s="523"/>
      <c r="G90" s="523"/>
    </row>
    <row r="91" spans="1:7" ht="16.5" thickBot="1">
      <c r="A91" s="117" t="s">
        <v>321</v>
      </c>
      <c r="B91" s="118" t="s">
        <v>322</v>
      </c>
      <c r="C91" s="117" t="s">
        <v>4</v>
      </c>
      <c r="D91" s="117" t="s">
        <v>279</v>
      </c>
    </row>
    <row r="92" spans="1:7">
      <c r="A92" s="82" t="s">
        <v>257</v>
      </c>
      <c r="B92" s="133" t="s">
        <v>323</v>
      </c>
      <c r="C92" s="120">
        <f>0.1111*0.02*0.3333</f>
        <v>7.4059259999999997E-4</v>
      </c>
      <c r="D92" s="104">
        <f>ROUND($D$43*C92,2)</f>
        <v>0.73</v>
      </c>
    </row>
    <row r="93" spans="1:7" ht="32.25" thickBot="1">
      <c r="A93" s="109" t="s">
        <v>259</v>
      </c>
      <c r="B93" s="134" t="s">
        <v>324</v>
      </c>
      <c r="C93" s="126">
        <f>D93/D43</f>
        <v>2.7401709054742529E-4</v>
      </c>
      <c r="D93" s="110">
        <f>ROUND(D78*C92,2)</f>
        <v>0.27</v>
      </c>
    </row>
    <row r="94" spans="1:7" ht="16.5" thickBot="1">
      <c r="A94" s="530" t="s">
        <v>7</v>
      </c>
      <c r="B94" s="531"/>
      <c r="C94" s="127">
        <f>SUM(C92:C93)</f>
        <v>1.0146096905474253E-3</v>
      </c>
      <c r="D94" s="113">
        <f>SUM(D92:D93)</f>
        <v>1</v>
      </c>
    </row>
    <row r="95" spans="1:7">
      <c r="A95" s="190"/>
    </row>
    <row r="96" spans="1:7">
      <c r="A96" s="190"/>
    </row>
    <row r="97" spans="1:7" ht="16.5" thickBot="1">
      <c r="A97" s="523" t="s">
        <v>325</v>
      </c>
      <c r="B97" s="523"/>
      <c r="C97" s="523"/>
      <c r="D97" s="523"/>
      <c r="E97" s="523"/>
      <c r="F97" s="523"/>
      <c r="G97" s="523"/>
    </row>
    <row r="98" spans="1:7" ht="16.5" thickBot="1">
      <c r="A98" s="117" t="s">
        <v>326</v>
      </c>
      <c r="B98" s="118" t="s">
        <v>327</v>
      </c>
      <c r="C98" s="117" t="s">
        <v>4</v>
      </c>
      <c r="D98" s="117" t="s">
        <v>279</v>
      </c>
    </row>
    <row r="99" spans="1:7">
      <c r="A99" s="82" t="s">
        <v>257</v>
      </c>
      <c r="B99" s="133" t="s">
        <v>328</v>
      </c>
      <c r="C99" s="135">
        <f>((1/12)*0.05)</f>
        <v>4.1666666666666666E-3</v>
      </c>
      <c r="D99" s="104">
        <f>ROUND($D$43*C99,2)</f>
        <v>4.1100000000000003</v>
      </c>
    </row>
    <row r="100" spans="1:7" ht="31.5">
      <c r="A100" s="191" t="s">
        <v>259</v>
      </c>
      <c r="B100" s="91" t="s">
        <v>329</v>
      </c>
      <c r="C100" s="136">
        <f>D100/D43</f>
        <v>3.3490977733574199E-4</v>
      </c>
      <c r="D100" s="137">
        <f>ROUND(D75*C99,2)</f>
        <v>0.33</v>
      </c>
    </row>
    <row r="101" spans="1:7">
      <c r="A101" s="191" t="s">
        <v>261</v>
      </c>
      <c r="B101" s="138" t="s">
        <v>330</v>
      </c>
      <c r="C101" s="139">
        <f>0.08*0.5*0.9*(1+(5/56)+(5/56)+(1/3)*(5/56))</f>
        <v>4.3499999999999997E-2</v>
      </c>
      <c r="D101" s="107">
        <f>ROUND($D$43*C101,2)</f>
        <v>42.86</v>
      </c>
    </row>
    <row r="102" spans="1:7">
      <c r="A102" s="191" t="s">
        <v>263</v>
      </c>
      <c r="B102" s="138" t="s">
        <v>331</v>
      </c>
      <c r="C102" s="140">
        <f>(((7/30)/12))</f>
        <v>1.9444444444444445E-2</v>
      </c>
      <c r="D102" s="107">
        <f>ROUND($D$43*C102,2)</f>
        <v>19.16</v>
      </c>
    </row>
    <row r="103" spans="1:7" ht="31.5">
      <c r="A103" s="191" t="s">
        <v>284</v>
      </c>
      <c r="B103" s="138" t="s">
        <v>332</v>
      </c>
      <c r="C103" s="141">
        <f>D103/D43</f>
        <v>7.1650394787586003E-3</v>
      </c>
      <c r="D103" s="107">
        <f>ROUND(D78*C102,2)</f>
        <v>7.06</v>
      </c>
    </row>
    <row r="104" spans="1:7" ht="16.5" thickBot="1">
      <c r="A104" s="109" t="s">
        <v>286</v>
      </c>
      <c r="B104" s="134" t="s">
        <v>333</v>
      </c>
      <c r="C104" s="142">
        <f>(40%+10%)*C75*C102</f>
        <v>7.7777777777777784E-4</v>
      </c>
      <c r="D104" s="107">
        <f>ROUND($D$43*C104,2)</f>
        <v>0.77</v>
      </c>
    </row>
    <row r="105" spans="1:7" ht="16.5" thickBot="1">
      <c r="A105" s="525" t="s">
        <v>7</v>
      </c>
      <c r="B105" s="526"/>
      <c r="C105" s="127">
        <f>SUM(C99:C104)</f>
        <v>7.5388838144983233E-2</v>
      </c>
      <c r="D105" s="143">
        <f>SUM(D99:D104)</f>
        <v>74.289999999999992</v>
      </c>
    </row>
    <row r="106" spans="1:7">
      <c r="A106" s="71"/>
    </row>
    <row r="107" spans="1:7" ht="16.5" thickBot="1">
      <c r="A107" s="523" t="s">
        <v>334</v>
      </c>
      <c r="B107" s="523"/>
      <c r="C107" s="523"/>
      <c r="D107" s="523"/>
      <c r="E107" s="523"/>
      <c r="F107" s="523"/>
      <c r="G107" s="523"/>
    </row>
    <row r="108" spans="1:7" ht="32.25" thickBot="1">
      <c r="A108" s="117" t="s">
        <v>335</v>
      </c>
      <c r="B108" s="118" t="s">
        <v>336</v>
      </c>
      <c r="C108" s="117" t="s">
        <v>4</v>
      </c>
      <c r="D108" s="117" t="s">
        <v>279</v>
      </c>
    </row>
    <row r="109" spans="1:7">
      <c r="A109" s="82" t="s">
        <v>257</v>
      </c>
      <c r="B109" s="133" t="s">
        <v>13</v>
      </c>
      <c r="C109" s="144">
        <f>(5/56)</f>
        <v>8.9285714285714288E-2</v>
      </c>
      <c r="D109" s="107">
        <f t="shared" ref="D109:D114" si="1">ROUND($D$43*C109,2)</f>
        <v>87.98</v>
      </c>
    </row>
    <row r="110" spans="1:7">
      <c r="A110" s="191" t="s">
        <v>259</v>
      </c>
      <c r="B110" s="138" t="s">
        <v>379</v>
      </c>
      <c r="C110" s="122">
        <f>(10.96/30)/12</f>
        <v>3.0444444444444444E-2</v>
      </c>
      <c r="D110" s="107">
        <f t="shared" si="1"/>
        <v>30</v>
      </c>
      <c r="E110" s="184"/>
    </row>
    <row r="111" spans="1:7">
      <c r="A111" s="191" t="s">
        <v>261</v>
      </c>
      <c r="B111" s="138" t="s">
        <v>337</v>
      </c>
      <c r="C111" s="122">
        <f>((5/30)/12)*0.015</f>
        <v>2.0833333333333332E-4</v>
      </c>
      <c r="D111" s="107">
        <f t="shared" si="1"/>
        <v>0.21</v>
      </c>
    </row>
    <row r="112" spans="1:7">
      <c r="A112" s="191" t="s">
        <v>263</v>
      </c>
      <c r="B112" s="138" t="s">
        <v>338</v>
      </c>
      <c r="C112" s="122">
        <f>((1/30)/12)</f>
        <v>2.7777777777777779E-3</v>
      </c>
      <c r="D112" s="107">
        <f t="shared" si="1"/>
        <v>2.74</v>
      </c>
    </row>
    <row r="113" spans="1:7">
      <c r="A113" s="191" t="s">
        <v>284</v>
      </c>
      <c r="B113" s="138" t="s">
        <v>339</v>
      </c>
      <c r="C113" s="122">
        <f>((15/30)/12)*0.0078</f>
        <v>3.2499999999999999E-4</v>
      </c>
      <c r="D113" s="107">
        <f t="shared" si="1"/>
        <v>0.32</v>
      </c>
    </row>
    <row r="114" spans="1:7">
      <c r="A114" s="191" t="s">
        <v>286</v>
      </c>
      <c r="B114" s="138" t="s">
        <v>291</v>
      </c>
      <c r="C114" s="145"/>
      <c r="D114" s="107">
        <f t="shared" si="1"/>
        <v>0</v>
      </c>
    </row>
    <row r="115" spans="1:7">
      <c r="A115" s="532" t="s">
        <v>318</v>
      </c>
      <c r="B115" s="533"/>
      <c r="C115" s="122">
        <f>SUM(C109:C114)</f>
        <v>0.12304126984126985</v>
      </c>
      <c r="D115" s="107">
        <f>SUM(D109:D114)</f>
        <v>121.24999999999999</v>
      </c>
    </row>
    <row r="116" spans="1:7" ht="32.25" thickBot="1">
      <c r="A116" s="109" t="s">
        <v>288</v>
      </c>
      <c r="B116" s="134" t="s">
        <v>340</v>
      </c>
      <c r="C116" s="142">
        <f>D116/$D$43</f>
        <v>4.5344754095033184E-2</v>
      </c>
      <c r="D116" s="107">
        <f>ROUND(D78*C115,2)</f>
        <v>44.68</v>
      </c>
    </row>
    <row r="117" spans="1:7" ht="16.5" thickBot="1">
      <c r="A117" s="525" t="s">
        <v>7</v>
      </c>
      <c r="B117" s="526"/>
      <c r="C117" s="127">
        <f>C116+C115</f>
        <v>0.16838602393630303</v>
      </c>
      <c r="D117" s="146">
        <f>D116+D115</f>
        <v>165.92999999999998</v>
      </c>
    </row>
    <row r="118" spans="1:7">
      <c r="A118" s="190" t="s">
        <v>341</v>
      </c>
    </row>
    <row r="119" spans="1:7" ht="16.5" thickBot="1">
      <c r="A119" s="522" t="s">
        <v>342</v>
      </c>
      <c r="B119" s="522"/>
      <c r="C119" s="522"/>
      <c r="D119" s="522"/>
      <c r="E119" s="522"/>
      <c r="F119" s="522"/>
      <c r="G119" s="522"/>
    </row>
    <row r="120" spans="1:7" ht="32.25" customHeight="1" thickBot="1">
      <c r="A120" s="147">
        <v>4</v>
      </c>
      <c r="B120" s="148" t="s">
        <v>343</v>
      </c>
      <c r="C120" s="149" t="s">
        <v>4</v>
      </c>
      <c r="D120" s="150" t="s">
        <v>279</v>
      </c>
    </row>
    <row r="121" spans="1:7">
      <c r="A121" s="82" t="s">
        <v>307</v>
      </c>
      <c r="B121" s="133" t="s">
        <v>344</v>
      </c>
      <c r="C121" s="142">
        <f t="shared" ref="C121:C126" si="2">D121/$D$43</f>
        <v>0.16292853228327275</v>
      </c>
      <c r="D121" s="107">
        <f>D88</f>
        <v>160.54</v>
      </c>
    </row>
    <row r="122" spans="1:7">
      <c r="A122" s="191" t="s">
        <v>314</v>
      </c>
      <c r="B122" s="138" t="s">
        <v>308</v>
      </c>
      <c r="C122" s="142">
        <f t="shared" si="2"/>
        <v>0.36849209409949868</v>
      </c>
      <c r="D122" s="107">
        <f>D78</f>
        <v>363.09000000000003</v>
      </c>
    </row>
    <row r="123" spans="1:7">
      <c r="A123" s="191" t="s">
        <v>321</v>
      </c>
      <c r="B123" s="138" t="s">
        <v>323</v>
      </c>
      <c r="C123" s="142">
        <f t="shared" si="2"/>
        <v>1.0148781131386121E-3</v>
      </c>
      <c r="D123" s="107">
        <f>D94</f>
        <v>1</v>
      </c>
    </row>
    <row r="124" spans="1:7">
      <c r="A124" s="151" t="s">
        <v>326</v>
      </c>
      <c r="B124" s="152" t="s">
        <v>345</v>
      </c>
      <c r="C124" s="142">
        <f t="shared" si="2"/>
        <v>7.5395295025067477E-2</v>
      </c>
      <c r="D124" s="107">
        <f>D105</f>
        <v>74.289999999999992</v>
      </c>
    </row>
    <row r="125" spans="1:7">
      <c r="A125" s="153" t="s">
        <v>335</v>
      </c>
      <c r="B125" s="154" t="s">
        <v>346</v>
      </c>
      <c r="C125" s="142">
        <f t="shared" si="2"/>
        <v>0.16839872531308986</v>
      </c>
      <c r="D125" s="107">
        <f>D117</f>
        <v>165.92999999999998</v>
      </c>
    </row>
    <row r="126" spans="1:7" ht="16.5" thickBot="1">
      <c r="A126" s="191" t="s">
        <v>347</v>
      </c>
      <c r="B126" s="138" t="s">
        <v>291</v>
      </c>
      <c r="C126" s="142">
        <f t="shared" si="2"/>
        <v>0</v>
      </c>
      <c r="D126" s="107">
        <v>0</v>
      </c>
    </row>
    <row r="127" spans="1:7" ht="37.5" customHeight="1" thickBot="1">
      <c r="A127" s="530" t="s">
        <v>348</v>
      </c>
      <c r="B127" s="531"/>
      <c r="C127" s="127">
        <f>SUM(C121:C126)</f>
        <v>0.77622952483406737</v>
      </c>
      <c r="D127" s="113">
        <f>SUM(D121:D126)</f>
        <v>764.84999999999991</v>
      </c>
    </row>
    <row r="128" spans="1:7">
      <c r="A128" s="155"/>
      <c r="B128" s="155"/>
      <c r="C128" s="156"/>
      <c r="D128" s="157"/>
      <c r="E128" s="158"/>
      <c r="F128" s="159"/>
      <c r="G128" s="159"/>
    </row>
    <row r="129" spans="1:8" ht="16.5" thickBot="1">
      <c r="A129" s="522" t="s">
        <v>349</v>
      </c>
      <c r="B129" s="522"/>
      <c r="C129" s="522"/>
      <c r="D129" s="522"/>
      <c r="E129" s="522"/>
      <c r="F129" s="522"/>
      <c r="G129" s="522"/>
      <c r="H129" s="160"/>
    </row>
    <row r="130" spans="1:8" ht="16.5" thickBot="1">
      <c r="A130" s="147" t="s">
        <v>350</v>
      </c>
      <c r="B130" s="148" t="s">
        <v>351</v>
      </c>
      <c r="C130" s="149" t="s">
        <v>4</v>
      </c>
      <c r="D130" s="114" t="s">
        <v>279</v>
      </c>
      <c r="E130" s="161">
        <f>D43+D54+D64+D78+D88+D94+D105+D117</f>
        <v>2233.202933333333</v>
      </c>
      <c r="G130" s="160"/>
    </row>
    <row r="131" spans="1:8">
      <c r="A131" s="82" t="s">
        <v>257</v>
      </c>
      <c r="B131" s="133" t="s">
        <v>352</v>
      </c>
      <c r="C131" s="162">
        <v>7.2008000000000003E-2</v>
      </c>
      <c r="D131" s="163">
        <f>E130*C131</f>
        <v>160.80847682346666</v>
      </c>
      <c r="G131" s="160"/>
    </row>
    <row r="132" spans="1:8">
      <c r="A132" s="191" t="s">
        <v>259</v>
      </c>
      <c r="B132" s="138" t="s">
        <v>353</v>
      </c>
      <c r="C132" s="142"/>
      <c r="D132" s="164"/>
      <c r="F132" s="165"/>
    </row>
    <row r="133" spans="1:8">
      <c r="A133" s="191"/>
      <c r="B133" s="138" t="s">
        <v>354</v>
      </c>
      <c r="C133" s="142"/>
      <c r="D133" s="129"/>
      <c r="F133" s="182"/>
      <c r="G133" s="160"/>
    </row>
    <row r="134" spans="1:8">
      <c r="A134" s="191"/>
      <c r="B134" s="138" t="s">
        <v>355</v>
      </c>
      <c r="C134" s="142">
        <v>7.5999999999999998E-2</v>
      </c>
      <c r="D134" s="107">
        <f>$D$152*C134</f>
        <v>211.49144976856613</v>
      </c>
      <c r="E134" s="165">
        <f>D152</f>
        <v>2782.7822337969228</v>
      </c>
      <c r="G134" s="160"/>
    </row>
    <row r="135" spans="1:8">
      <c r="A135" s="191"/>
      <c r="B135" s="138" t="s">
        <v>356</v>
      </c>
      <c r="C135" s="142">
        <v>1.6500000000000001E-2</v>
      </c>
      <c r="D135" s="107">
        <f>$D$152*C135</f>
        <v>45.915906857649226</v>
      </c>
      <c r="E135" s="246"/>
      <c r="G135" s="160"/>
    </row>
    <row r="136" spans="1:8">
      <c r="A136" s="191"/>
      <c r="B136" s="138" t="s">
        <v>357</v>
      </c>
      <c r="C136" s="142"/>
      <c r="D136" s="107"/>
    </row>
    <row r="137" spans="1:8">
      <c r="A137" s="191"/>
      <c r="B137" s="138" t="s">
        <v>358</v>
      </c>
      <c r="C137" s="142">
        <v>0.03</v>
      </c>
      <c r="D137" s="107">
        <f>$D$152*C137</f>
        <v>83.483467013907685</v>
      </c>
      <c r="G137" s="160"/>
    </row>
    <row r="138" spans="1:8">
      <c r="A138" s="191"/>
      <c r="B138" s="138" t="s">
        <v>359</v>
      </c>
      <c r="C138" s="142"/>
      <c r="D138" s="107"/>
    </row>
    <row r="139" spans="1:8" ht="16.5" thickBot="1">
      <c r="A139" s="191" t="s">
        <v>261</v>
      </c>
      <c r="B139" s="138" t="s">
        <v>360</v>
      </c>
      <c r="C139" s="142">
        <v>0.02</v>
      </c>
      <c r="D139" s="107">
        <f>ROUND(E139*C139,2)</f>
        <v>47.88</v>
      </c>
      <c r="E139" s="132">
        <f>E130+D131</f>
        <v>2394.0114101567997</v>
      </c>
    </row>
    <row r="140" spans="1:8" ht="33" customHeight="1" thickBot="1">
      <c r="A140" s="527" t="s">
        <v>361</v>
      </c>
      <c r="B140" s="528"/>
      <c r="C140" s="529"/>
      <c r="D140" s="166">
        <f>D131+D134+D135+D137+D139</f>
        <v>549.57930046358968</v>
      </c>
    </row>
    <row r="141" spans="1:8">
      <c r="A141" s="522" t="s">
        <v>362</v>
      </c>
      <c r="B141" s="522"/>
      <c r="C141" s="522"/>
      <c r="D141" s="522"/>
      <c r="E141" s="522"/>
      <c r="F141" s="522"/>
      <c r="G141" s="522"/>
    </row>
    <row r="142" spans="1:8">
      <c r="A142" s="522" t="s">
        <v>363</v>
      </c>
      <c r="B142" s="522"/>
      <c r="C142" s="522"/>
      <c r="D142" s="522"/>
      <c r="E142" s="522"/>
      <c r="F142" s="522"/>
      <c r="G142" s="522"/>
    </row>
    <row r="143" spans="1:8">
      <c r="A143" s="190"/>
    </row>
    <row r="144" spans="1:8" ht="16.5" thickBot="1">
      <c r="A144" s="523" t="s">
        <v>364</v>
      </c>
      <c r="B144" s="523"/>
      <c r="C144" s="523"/>
      <c r="D144" s="523"/>
      <c r="E144" s="523"/>
      <c r="F144" s="523"/>
      <c r="G144" s="523"/>
    </row>
    <row r="145" spans="1:8" ht="32.25" customHeight="1" thickBot="1">
      <c r="A145" s="147"/>
      <c r="B145" s="524" t="s">
        <v>365</v>
      </c>
      <c r="C145" s="524"/>
      <c r="D145" s="167" t="s">
        <v>366</v>
      </c>
    </row>
    <row r="146" spans="1:8">
      <c r="A146" s="191" t="s">
        <v>257</v>
      </c>
      <c r="B146" s="138" t="s">
        <v>367</v>
      </c>
      <c r="C146" s="122">
        <f t="shared" ref="C146:C151" si="3">D146/$D$152</f>
        <v>0.35408447992553432</v>
      </c>
      <c r="D146" s="129">
        <f>D43</f>
        <v>985.34</v>
      </c>
    </row>
    <row r="147" spans="1:8">
      <c r="A147" s="191" t="s">
        <v>259</v>
      </c>
      <c r="B147" s="138" t="s">
        <v>368</v>
      </c>
      <c r="C147" s="122">
        <f t="shared" si="3"/>
        <v>0.16159352842584521</v>
      </c>
      <c r="D147" s="129">
        <f>D54</f>
        <v>449.67960000000005</v>
      </c>
    </row>
    <row r="148" spans="1:8" ht="31.5">
      <c r="A148" s="191" t="s">
        <v>261</v>
      </c>
      <c r="B148" s="138" t="s">
        <v>369</v>
      </c>
      <c r="C148" s="122">
        <f t="shared" si="3"/>
        <v>1.19784196292831E-2</v>
      </c>
      <c r="D148" s="129">
        <f>D64</f>
        <v>33.333333333333336</v>
      </c>
      <c r="E148" s="165">
        <f>D150+D131+D139</f>
        <v>2441.8914101567998</v>
      </c>
    </row>
    <row r="149" spans="1:8" ht="31.5">
      <c r="A149" s="191" t="s">
        <v>263</v>
      </c>
      <c r="B149" s="138" t="s">
        <v>370</v>
      </c>
      <c r="C149" s="122">
        <f t="shared" si="3"/>
        <v>0.27485082760371532</v>
      </c>
      <c r="D149" s="129">
        <f>D127</f>
        <v>764.84999999999991</v>
      </c>
      <c r="E149" s="174">
        <f>C137+C135+C134</f>
        <v>0.1225</v>
      </c>
    </row>
    <row r="150" spans="1:8" ht="16.5" customHeight="1">
      <c r="A150" s="168" t="s">
        <v>371</v>
      </c>
      <c r="B150" s="169"/>
      <c r="C150" s="131">
        <f t="shared" si="3"/>
        <v>0.80250725558437785</v>
      </c>
      <c r="D150" s="170">
        <f>SUM(D146:D149)</f>
        <v>2233.202933333333</v>
      </c>
      <c r="E150" s="174">
        <f>100%-E149</f>
        <v>0.87749999999999995</v>
      </c>
    </row>
    <row r="151" spans="1:8" ht="32.25" thickBot="1">
      <c r="A151" s="191" t="s">
        <v>284</v>
      </c>
      <c r="B151" s="138" t="s">
        <v>372</v>
      </c>
      <c r="C151" s="122">
        <f t="shared" si="3"/>
        <v>0.19749274441562212</v>
      </c>
      <c r="D151" s="129">
        <f>D140</f>
        <v>549.57930046358968</v>
      </c>
      <c r="G151" s="171"/>
    </row>
    <row r="152" spans="1:8" ht="16.5" customHeight="1" thickBot="1">
      <c r="A152" s="525" t="s">
        <v>373</v>
      </c>
      <c r="B152" s="526"/>
      <c r="C152" s="127">
        <f>C151+C150</f>
        <v>1</v>
      </c>
      <c r="D152" s="166">
        <f>(D150+D139+D131)/0.8775</f>
        <v>2782.7822337969228</v>
      </c>
      <c r="E152" s="171"/>
      <c r="F152" s="165">
        <f>D150+D151</f>
        <v>2782.7822337969228</v>
      </c>
      <c r="H152" s="172"/>
    </row>
    <row r="153" spans="1:8">
      <c r="E153" s="171"/>
    </row>
    <row r="154" spans="1:8">
      <c r="A154" s="186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1.299212598425197" right="0.51181102362204722" top="2.1653543307086616" bottom="0.98425196850393704" header="0.31496062992125984" footer="0.31496062992125984"/>
  <pageSetup paperSize="9" scale="79" fitToHeight="4" orientation="portrait" r:id="rId1"/>
  <headerFooter alignWithMargins="0"/>
  <rowBreaks count="3" manualBreakCount="3">
    <brk id="43" max="3" man="1"/>
    <brk id="88" max="3" man="1"/>
    <brk id="128" max="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154"/>
  <sheetViews>
    <sheetView showGridLines="0" view="pageBreakPreview" topLeftCell="A136" zoomScale="90" zoomScaleSheetLayoutView="90" workbookViewId="0">
      <selection activeCell="E135" sqref="E135"/>
    </sheetView>
  </sheetViews>
  <sheetFormatPr defaultRowHeight="15.75"/>
  <cols>
    <col min="1" max="1" width="9.28515625" style="53" customWidth="1"/>
    <col min="2" max="2" width="39.85546875" style="53" customWidth="1"/>
    <col min="3" max="3" width="18.28515625" style="53" customWidth="1"/>
    <col min="4" max="4" width="23.85546875" style="53" customWidth="1"/>
    <col min="5" max="5" width="16" style="53" bestFit="1" customWidth="1"/>
    <col min="6" max="6" width="13.7109375" style="53" bestFit="1" customWidth="1"/>
    <col min="7" max="7" width="15.7109375" style="53" bestFit="1" customWidth="1"/>
    <col min="8" max="8" width="13.140625" style="53" bestFit="1" customWidth="1"/>
    <col min="9" max="9" width="11.85546875" style="53" bestFit="1" customWidth="1"/>
    <col min="10" max="10" width="12.85546875" style="53" bestFit="1" customWidth="1"/>
    <col min="11" max="256" width="9.140625" style="53"/>
    <col min="257" max="257" width="9.28515625" style="53" customWidth="1"/>
    <col min="258" max="258" width="39.85546875" style="53" customWidth="1"/>
    <col min="259" max="259" width="18.28515625" style="53" customWidth="1"/>
    <col min="260" max="260" width="23.85546875" style="53" customWidth="1"/>
    <col min="261" max="261" width="16" style="53" bestFit="1" customWidth="1"/>
    <col min="262" max="262" width="13.7109375" style="53" bestFit="1" customWidth="1"/>
    <col min="263" max="263" width="15.7109375" style="53" bestFit="1" customWidth="1"/>
    <col min="264" max="264" width="13.140625" style="53" bestFit="1" customWidth="1"/>
    <col min="265" max="265" width="11.85546875" style="53" bestFit="1" customWidth="1"/>
    <col min="266" max="266" width="12.85546875" style="53" bestFit="1" customWidth="1"/>
    <col min="267" max="512" width="9.140625" style="53"/>
    <col min="513" max="513" width="9.28515625" style="53" customWidth="1"/>
    <col min="514" max="514" width="39.85546875" style="53" customWidth="1"/>
    <col min="515" max="515" width="18.28515625" style="53" customWidth="1"/>
    <col min="516" max="516" width="23.85546875" style="53" customWidth="1"/>
    <col min="517" max="517" width="16" style="53" bestFit="1" customWidth="1"/>
    <col min="518" max="518" width="13.7109375" style="53" bestFit="1" customWidth="1"/>
    <col min="519" max="519" width="15.7109375" style="53" bestFit="1" customWidth="1"/>
    <col min="520" max="520" width="13.140625" style="53" bestFit="1" customWidth="1"/>
    <col min="521" max="521" width="11.85546875" style="53" bestFit="1" customWidth="1"/>
    <col min="522" max="522" width="12.85546875" style="53" bestFit="1" customWidth="1"/>
    <col min="523" max="768" width="9.140625" style="53"/>
    <col min="769" max="769" width="9.28515625" style="53" customWidth="1"/>
    <col min="770" max="770" width="39.85546875" style="53" customWidth="1"/>
    <col min="771" max="771" width="18.28515625" style="53" customWidth="1"/>
    <col min="772" max="772" width="23.85546875" style="53" customWidth="1"/>
    <col min="773" max="773" width="16" style="53" bestFit="1" customWidth="1"/>
    <col min="774" max="774" width="13.7109375" style="53" bestFit="1" customWidth="1"/>
    <col min="775" max="775" width="15.7109375" style="53" bestFit="1" customWidth="1"/>
    <col min="776" max="776" width="13.140625" style="53" bestFit="1" customWidth="1"/>
    <col min="777" max="777" width="11.85546875" style="53" bestFit="1" customWidth="1"/>
    <col min="778" max="778" width="12.85546875" style="53" bestFit="1" customWidth="1"/>
    <col min="779" max="1024" width="9.140625" style="53"/>
    <col min="1025" max="1025" width="9.28515625" style="53" customWidth="1"/>
    <col min="1026" max="1026" width="39.85546875" style="53" customWidth="1"/>
    <col min="1027" max="1027" width="18.28515625" style="53" customWidth="1"/>
    <col min="1028" max="1028" width="23.85546875" style="53" customWidth="1"/>
    <col min="1029" max="1029" width="16" style="53" bestFit="1" customWidth="1"/>
    <col min="1030" max="1030" width="13.7109375" style="53" bestFit="1" customWidth="1"/>
    <col min="1031" max="1031" width="15.7109375" style="53" bestFit="1" customWidth="1"/>
    <col min="1032" max="1032" width="13.140625" style="53" bestFit="1" customWidth="1"/>
    <col min="1033" max="1033" width="11.85546875" style="53" bestFit="1" customWidth="1"/>
    <col min="1034" max="1034" width="12.85546875" style="53" bestFit="1" customWidth="1"/>
    <col min="1035" max="1280" width="9.140625" style="53"/>
    <col min="1281" max="1281" width="9.28515625" style="53" customWidth="1"/>
    <col min="1282" max="1282" width="39.85546875" style="53" customWidth="1"/>
    <col min="1283" max="1283" width="18.28515625" style="53" customWidth="1"/>
    <col min="1284" max="1284" width="23.85546875" style="53" customWidth="1"/>
    <col min="1285" max="1285" width="16" style="53" bestFit="1" customWidth="1"/>
    <col min="1286" max="1286" width="13.7109375" style="53" bestFit="1" customWidth="1"/>
    <col min="1287" max="1287" width="15.7109375" style="53" bestFit="1" customWidth="1"/>
    <col min="1288" max="1288" width="13.140625" style="53" bestFit="1" customWidth="1"/>
    <col min="1289" max="1289" width="11.85546875" style="53" bestFit="1" customWidth="1"/>
    <col min="1290" max="1290" width="12.85546875" style="53" bestFit="1" customWidth="1"/>
    <col min="1291" max="1536" width="9.140625" style="53"/>
    <col min="1537" max="1537" width="9.28515625" style="53" customWidth="1"/>
    <col min="1538" max="1538" width="39.85546875" style="53" customWidth="1"/>
    <col min="1539" max="1539" width="18.28515625" style="53" customWidth="1"/>
    <col min="1540" max="1540" width="23.85546875" style="53" customWidth="1"/>
    <col min="1541" max="1541" width="16" style="53" bestFit="1" customWidth="1"/>
    <col min="1542" max="1542" width="13.7109375" style="53" bestFit="1" customWidth="1"/>
    <col min="1543" max="1543" width="15.7109375" style="53" bestFit="1" customWidth="1"/>
    <col min="1544" max="1544" width="13.140625" style="53" bestFit="1" customWidth="1"/>
    <col min="1545" max="1545" width="11.85546875" style="53" bestFit="1" customWidth="1"/>
    <col min="1546" max="1546" width="12.85546875" style="53" bestFit="1" customWidth="1"/>
    <col min="1547" max="1792" width="9.140625" style="53"/>
    <col min="1793" max="1793" width="9.28515625" style="53" customWidth="1"/>
    <col min="1794" max="1794" width="39.85546875" style="53" customWidth="1"/>
    <col min="1795" max="1795" width="18.28515625" style="53" customWidth="1"/>
    <col min="1796" max="1796" width="23.85546875" style="53" customWidth="1"/>
    <col min="1797" max="1797" width="16" style="53" bestFit="1" customWidth="1"/>
    <col min="1798" max="1798" width="13.7109375" style="53" bestFit="1" customWidth="1"/>
    <col min="1799" max="1799" width="15.7109375" style="53" bestFit="1" customWidth="1"/>
    <col min="1800" max="1800" width="13.140625" style="53" bestFit="1" customWidth="1"/>
    <col min="1801" max="1801" width="11.85546875" style="53" bestFit="1" customWidth="1"/>
    <col min="1802" max="1802" width="12.85546875" style="53" bestFit="1" customWidth="1"/>
    <col min="1803" max="2048" width="9.140625" style="53"/>
    <col min="2049" max="2049" width="9.28515625" style="53" customWidth="1"/>
    <col min="2050" max="2050" width="39.85546875" style="53" customWidth="1"/>
    <col min="2051" max="2051" width="18.28515625" style="53" customWidth="1"/>
    <col min="2052" max="2052" width="23.85546875" style="53" customWidth="1"/>
    <col min="2053" max="2053" width="16" style="53" bestFit="1" customWidth="1"/>
    <col min="2054" max="2054" width="13.7109375" style="53" bestFit="1" customWidth="1"/>
    <col min="2055" max="2055" width="15.7109375" style="53" bestFit="1" customWidth="1"/>
    <col min="2056" max="2056" width="13.140625" style="53" bestFit="1" customWidth="1"/>
    <col min="2057" max="2057" width="11.85546875" style="53" bestFit="1" customWidth="1"/>
    <col min="2058" max="2058" width="12.85546875" style="53" bestFit="1" customWidth="1"/>
    <col min="2059" max="2304" width="9.140625" style="53"/>
    <col min="2305" max="2305" width="9.28515625" style="53" customWidth="1"/>
    <col min="2306" max="2306" width="39.85546875" style="53" customWidth="1"/>
    <col min="2307" max="2307" width="18.28515625" style="53" customWidth="1"/>
    <col min="2308" max="2308" width="23.85546875" style="53" customWidth="1"/>
    <col min="2309" max="2309" width="16" style="53" bestFit="1" customWidth="1"/>
    <col min="2310" max="2310" width="13.7109375" style="53" bestFit="1" customWidth="1"/>
    <col min="2311" max="2311" width="15.7109375" style="53" bestFit="1" customWidth="1"/>
    <col min="2312" max="2312" width="13.140625" style="53" bestFit="1" customWidth="1"/>
    <col min="2313" max="2313" width="11.85546875" style="53" bestFit="1" customWidth="1"/>
    <col min="2314" max="2314" width="12.85546875" style="53" bestFit="1" customWidth="1"/>
    <col min="2315" max="2560" width="9.140625" style="53"/>
    <col min="2561" max="2561" width="9.28515625" style="53" customWidth="1"/>
    <col min="2562" max="2562" width="39.85546875" style="53" customWidth="1"/>
    <col min="2563" max="2563" width="18.28515625" style="53" customWidth="1"/>
    <col min="2564" max="2564" width="23.85546875" style="53" customWidth="1"/>
    <col min="2565" max="2565" width="16" style="53" bestFit="1" customWidth="1"/>
    <col min="2566" max="2566" width="13.7109375" style="53" bestFit="1" customWidth="1"/>
    <col min="2567" max="2567" width="15.7109375" style="53" bestFit="1" customWidth="1"/>
    <col min="2568" max="2568" width="13.140625" style="53" bestFit="1" customWidth="1"/>
    <col min="2569" max="2569" width="11.85546875" style="53" bestFit="1" customWidth="1"/>
    <col min="2570" max="2570" width="12.85546875" style="53" bestFit="1" customWidth="1"/>
    <col min="2571" max="2816" width="9.140625" style="53"/>
    <col min="2817" max="2817" width="9.28515625" style="53" customWidth="1"/>
    <col min="2818" max="2818" width="39.85546875" style="53" customWidth="1"/>
    <col min="2819" max="2819" width="18.28515625" style="53" customWidth="1"/>
    <col min="2820" max="2820" width="23.85546875" style="53" customWidth="1"/>
    <col min="2821" max="2821" width="16" style="53" bestFit="1" customWidth="1"/>
    <col min="2822" max="2822" width="13.7109375" style="53" bestFit="1" customWidth="1"/>
    <col min="2823" max="2823" width="15.7109375" style="53" bestFit="1" customWidth="1"/>
    <col min="2824" max="2824" width="13.140625" style="53" bestFit="1" customWidth="1"/>
    <col min="2825" max="2825" width="11.85546875" style="53" bestFit="1" customWidth="1"/>
    <col min="2826" max="2826" width="12.85546875" style="53" bestFit="1" customWidth="1"/>
    <col min="2827" max="3072" width="9.140625" style="53"/>
    <col min="3073" max="3073" width="9.28515625" style="53" customWidth="1"/>
    <col min="3074" max="3074" width="39.85546875" style="53" customWidth="1"/>
    <col min="3075" max="3075" width="18.28515625" style="53" customWidth="1"/>
    <col min="3076" max="3076" width="23.85546875" style="53" customWidth="1"/>
    <col min="3077" max="3077" width="16" style="53" bestFit="1" customWidth="1"/>
    <col min="3078" max="3078" width="13.7109375" style="53" bestFit="1" customWidth="1"/>
    <col min="3079" max="3079" width="15.7109375" style="53" bestFit="1" customWidth="1"/>
    <col min="3080" max="3080" width="13.140625" style="53" bestFit="1" customWidth="1"/>
    <col min="3081" max="3081" width="11.85546875" style="53" bestFit="1" customWidth="1"/>
    <col min="3082" max="3082" width="12.85546875" style="53" bestFit="1" customWidth="1"/>
    <col min="3083" max="3328" width="9.140625" style="53"/>
    <col min="3329" max="3329" width="9.28515625" style="53" customWidth="1"/>
    <col min="3330" max="3330" width="39.85546875" style="53" customWidth="1"/>
    <col min="3331" max="3331" width="18.28515625" style="53" customWidth="1"/>
    <col min="3332" max="3332" width="23.85546875" style="53" customWidth="1"/>
    <col min="3333" max="3333" width="16" style="53" bestFit="1" customWidth="1"/>
    <col min="3334" max="3334" width="13.7109375" style="53" bestFit="1" customWidth="1"/>
    <col min="3335" max="3335" width="15.7109375" style="53" bestFit="1" customWidth="1"/>
    <col min="3336" max="3336" width="13.140625" style="53" bestFit="1" customWidth="1"/>
    <col min="3337" max="3337" width="11.85546875" style="53" bestFit="1" customWidth="1"/>
    <col min="3338" max="3338" width="12.85546875" style="53" bestFit="1" customWidth="1"/>
    <col min="3339" max="3584" width="9.140625" style="53"/>
    <col min="3585" max="3585" width="9.28515625" style="53" customWidth="1"/>
    <col min="3586" max="3586" width="39.85546875" style="53" customWidth="1"/>
    <col min="3587" max="3587" width="18.28515625" style="53" customWidth="1"/>
    <col min="3588" max="3588" width="23.85546875" style="53" customWidth="1"/>
    <col min="3589" max="3589" width="16" style="53" bestFit="1" customWidth="1"/>
    <col min="3590" max="3590" width="13.7109375" style="53" bestFit="1" customWidth="1"/>
    <col min="3591" max="3591" width="15.7109375" style="53" bestFit="1" customWidth="1"/>
    <col min="3592" max="3592" width="13.140625" style="53" bestFit="1" customWidth="1"/>
    <col min="3593" max="3593" width="11.85546875" style="53" bestFit="1" customWidth="1"/>
    <col min="3594" max="3594" width="12.85546875" style="53" bestFit="1" customWidth="1"/>
    <col min="3595" max="3840" width="9.140625" style="53"/>
    <col min="3841" max="3841" width="9.28515625" style="53" customWidth="1"/>
    <col min="3842" max="3842" width="39.85546875" style="53" customWidth="1"/>
    <col min="3843" max="3843" width="18.28515625" style="53" customWidth="1"/>
    <col min="3844" max="3844" width="23.85546875" style="53" customWidth="1"/>
    <col min="3845" max="3845" width="16" style="53" bestFit="1" customWidth="1"/>
    <col min="3846" max="3846" width="13.7109375" style="53" bestFit="1" customWidth="1"/>
    <col min="3847" max="3847" width="15.7109375" style="53" bestFit="1" customWidth="1"/>
    <col min="3848" max="3848" width="13.140625" style="53" bestFit="1" customWidth="1"/>
    <col min="3849" max="3849" width="11.85546875" style="53" bestFit="1" customWidth="1"/>
    <col min="3850" max="3850" width="12.85546875" style="53" bestFit="1" customWidth="1"/>
    <col min="3851" max="4096" width="9.140625" style="53"/>
    <col min="4097" max="4097" width="9.28515625" style="53" customWidth="1"/>
    <col min="4098" max="4098" width="39.85546875" style="53" customWidth="1"/>
    <col min="4099" max="4099" width="18.28515625" style="53" customWidth="1"/>
    <col min="4100" max="4100" width="23.85546875" style="53" customWidth="1"/>
    <col min="4101" max="4101" width="16" style="53" bestFit="1" customWidth="1"/>
    <col min="4102" max="4102" width="13.7109375" style="53" bestFit="1" customWidth="1"/>
    <col min="4103" max="4103" width="15.7109375" style="53" bestFit="1" customWidth="1"/>
    <col min="4104" max="4104" width="13.140625" style="53" bestFit="1" customWidth="1"/>
    <col min="4105" max="4105" width="11.85546875" style="53" bestFit="1" customWidth="1"/>
    <col min="4106" max="4106" width="12.85546875" style="53" bestFit="1" customWidth="1"/>
    <col min="4107" max="4352" width="9.140625" style="53"/>
    <col min="4353" max="4353" width="9.28515625" style="53" customWidth="1"/>
    <col min="4354" max="4354" width="39.85546875" style="53" customWidth="1"/>
    <col min="4355" max="4355" width="18.28515625" style="53" customWidth="1"/>
    <col min="4356" max="4356" width="23.85546875" style="53" customWidth="1"/>
    <col min="4357" max="4357" width="16" style="53" bestFit="1" customWidth="1"/>
    <col min="4358" max="4358" width="13.7109375" style="53" bestFit="1" customWidth="1"/>
    <col min="4359" max="4359" width="15.7109375" style="53" bestFit="1" customWidth="1"/>
    <col min="4360" max="4360" width="13.140625" style="53" bestFit="1" customWidth="1"/>
    <col min="4361" max="4361" width="11.85546875" style="53" bestFit="1" customWidth="1"/>
    <col min="4362" max="4362" width="12.85546875" style="53" bestFit="1" customWidth="1"/>
    <col min="4363" max="4608" width="9.140625" style="53"/>
    <col min="4609" max="4609" width="9.28515625" style="53" customWidth="1"/>
    <col min="4610" max="4610" width="39.85546875" style="53" customWidth="1"/>
    <col min="4611" max="4611" width="18.28515625" style="53" customWidth="1"/>
    <col min="4612" max="4612" width="23.85546875" style="53" customWidth="1"/>
    <col min="4613" max="4613" width="16" style="53" bestFit="1" customWidth="1"/>
    <col min="4614" max="4614" width="13.7109375" style="53" bestFit="1" customWidth="1"/>
    <col min="4615" max="4615" width="15.7109375" style="53" bestFit="1" customWidth="1"/>
    <col min="4616" max="4616" width="13.140625" style="53" bestFit="1" customWidth="1"/>
    <col min="4617" max="4617" width="11.85546875" style="53" bestFit="1" customWidth="1"/>
    <col min="4618" max="4618" width="12.85546875" style="53" bestFit="1" customWidth="1"/>
    <col min="4619" max="4864" width="9.140625" style="53"/>
    <col min="4865" max="4865" width="9.28515625" style="53" customWidth="1"/>
    <col min="4866" max="4866" width="39.85546875" style="53" customWidth="1"/>
    <col min="4867" max="4867" width="18.28515625" style="53" customWidth="1"/>
    <col min="4868" max="4868" width="23.85546875" style="53" customWidth="1"/>
    <col min="4869" max="4869" width="16" style="53" bestFit="1" customWidth="1"/>
    <col min="4870" max="4870" width="13.7109375" style="53" bestFit="1" customWidth="1"/>
    <col min="4871" max="4871" width="15.7109375" style="53" bestFit="1" customWidth="1"/>
    <col min="4872" max="4872" width="13.140625" style="53" bestFit="1" customWidth="1"/>
    <col min="4873" max="4873" width="11.85546875" style="53" bestFit="1" customWidth="1"/>
    <col min="4874" max="4874" width="12.85546875" style="53" bestFit="1" customWidth="1"/>
    <col min="4875" max="5120" width="9.140625" style="53"/>
    <col min="5121" max="5121" width="9.28515625" style="53" customWidth="1"/>
    <col min="5122" max="5122" width="39.85546875" style="53" customWidth="1"/>
    <col min="5123" max="5123" width="18.28515625" style="53" customWidth="1"/>
    <col min="5124" max="5124" width="23.85546875" style="53" customWidth="1"/>
    <col min="5125" max="5125" width="16" style="53" bestFit="1" customWidth="1"/>
    <col min="5126" max="5126" width="13.7109375" style="53" bestFit="1" customWidth="1"/>
    <col min="5127" max="5127" width="15.7109375" style="53" bestFit="1" customWidth="1"/>
    <col min="5128" max="5128" width="13.140625" style="53" bestFit="1" customWidth="1"/>
    <col min="5129" max="5129" width="11.85546875" style="53" bestFit="1" customWidth="1"/>
    <col min="5130" max="5130" width="12.85546875" style="53" bestFit="1" customWidth="1"/>
    <col min="5131" max="5376" width="9.140625" style="53"/>
    <col min="5377" max="5377" width="9.28515625" style="53" customWidth="1"/>
    <col min="5378" max="5378" width="39.85546875" style="53" customWidth="1"/>
    <col min="5379" max="5379" width="18.28515625" style="53" customWidth="1"/>
    <col min="5380" max="5380" width="23.85546875" style="53" customWidth="1"/>
    <col min="5381" max="5381" width="16" style="53" bestFit="1" customWidth="1"/>
    <col min="5382" max="5382" width="13.7109375" style="53" bestFit="1" customWidth="1"/>
    <col min="5383" max="5383" width="15.7109375" style="53" bestFit="1" customWidth="1"/>
    <col min="5384" max="5384" width="13.140625" style="53" bestFit="1" customWidth="1"/>
    <col min="5385" max="5385" width="11.85546875" style="53" bestFit="1" customWidth="1"/>
    <col min="5386" max="5386" width="12.85546875" style="53" bestFit="1" customWidth="1"/>
    <col min="5387" max="5632" width="9.140625" style="53"/>
    <col min="5633" max="5633" width="9.28515625" style="53" customWidth="1"/>
    <col min="5634" max="5634" width="39.85546875" style="53" customWidth="1"/>
    <col min="5635" max="5635" width="18.28515625" style="53" customWidth="1"/>
    <col min="5636" max="5636" width="23.85546875" style="53" customWidth="1"/>
    <col min="5637" max="5637" width="16" style="53" bestFit="1" customWidth="1"/>
    <col min="5638" max="5638" width="13.7109375" style="53" bestFit="1" customWidth="1"/>
    <col min="5639" max="5639" width="15.7109375" style="53" bestFit="1" customWidth="1"/>
    <col min="5640" max="5640" width="13.140625" style="53" bestFit="1" customWidth="1"/>
    <col min="5641" max="5641" width="11.85546875" style="53" bestFit="1" customWidth="1"/>
    <col min="5642" max="5642" width="12.85546875" style="53" bestFit="1" customWidth="1"/>
    <col min="5643" max="5888" width="9.140625" style="53"/>
    <col min="5889" max="5889" width="9.28515625" style="53" customWidth="1"/>
    <col min="5890" max="5890" width="39.85546875" style="53" customWidth="1"/>
    <col min="5891" max="5891" width="18.28515625" style="53" customWidth="1"/>
    <col min="5892" max="5892" width="23.85546875" style="53" customWidth="1"/>
    <col min="5893" max="5893" width="16" style="53" bestFit="1" customWidth="1"/>
    <col min="5894" max="5894" width="13.7109375" style="53" bestFit="1" customWidth="1"/>
    <col min="5895" max="5895" width="15.7109375" style="53" bestFit="1" customWidth="1"/>
    <col min="5896" max="5896" width="13.140625" style="53" bestFit="1" customWidth="1"/>
    <col min="5897" max="5897" width="11.85546875" style="53" bestFit="1" customWidth="1"/>
    <col min="5898" max="5898" width="12.85546875" style="53" bestFit="1" customWidth="1"/>
    <col min="5899" max="6144" width="9.140625" style="53"/>
    <col min="6145" max="6145" width="9.28515625" style="53" customWidth="1"/>
    <col min="6146" max="6146" width="39.85546875" style="53" customWidth="1"/>
    <col min="6147" max="6147" width="18.28515625" style="53" customWidth="1"/>
    <col min="6148" max="6148" width="23.85546875" style="53" customWidth="1"/>
    <col min="6149" max="6149" width="16" style="53" bestFit="1" customWidth="1"/>
    <col min="6150" max="6150" width="13.7109375" style="53" bestFit="1" customWidth="1"/>
    <col min="6151" max="6151" width="15.7109375" style="53" bestFit="1" customWidth="1"/>
    <col min="6152" max="6152" width="13.140625" style="53" bestFit="1" customWidth="1"/>
    <col min="6153" max="6153" width="11.85546875" style="53" bestFit="1" customWidth="1"/>
    <col min="6154" max="6154" width="12.85546875" style="53" bestFit="1" customWidth="1"/>
    <col min="6155" max="6400" width="9.140625" style="53"/>
    <col min="6401" max="6401" width="9.28515625" style="53" customWidth="1"/>
    <col min="6402" max="6402" width="39.85546875" style="53" customWidth="1"/>
    <col min="6403" max="6403" width="18.28515625" style="53" customWidth="1"/>
    <col min="6404" max="6404" width="23.85546875" style="53" customWidth="1"/>
    <col min="6405" max="6405" width="16" style="53" bestFit="1" customWidth="1"/>
    <col min="6406" max="6406" width="13.7109375" style="53" bestFit="1" customWidth="1"/>
    <col min="6407" max="6407" width="15.7109375" style="53" bestFit="1" customWidth="1"/>
    <col min="6408" max="6408" width="13.140625" style="53" bestFit="1" customWidth="1"/>
    <col min="6409" max="6409" width="11.85546875" style="53" bestFit="1" customWidth="1"/>
    <col min="6410" max="6410" width="12.85546875" style="53" bestFit="1" customWidth="1"/>
    <col min="6411" max="6656" width="9.140625" style="53"/>
    <col min="6657" max="6657" width="9.28515625" style="53" customWidth="1"/>
    <col min="6658" max="6658" width="39.85546875" style="53" customWidth="1"/>
    <col min="6659" max="6659" width="18.28515625" style="53" customWidth="1"/>
    <col min="6660" max="6660" width="23.85546875" style="53" customWidth="1"/>
    <col min="6661" max="6661" width="16" style="53" bestFit="1" customWidth="1"/>
    <col min="6662" max="6662" width="13.7109375" style="53" bestFit="1" customWidth="1"/>
    <col min="6663" max="6663" width="15.7109375" style="53" bestFit="1" customWidth="1"/>
    <col min="6664" max="6664" width="13.140625" style="53" bestFit="1" customWidth="1"/>
    <col min="6665" max="6665" width="11.85546875" style="53" bestFit="1" customWidth="1"/>
    <col min="6666" max="6666" width="12.85546875" style="53" bestFit="1" customWidth="1"/>
    <col min="6667" max="6912" width="9.140625" style="53"/>
    <col min="6913" max="6913" width="9.28515625" style="53" customWidth="1"/>
    <col min="6914" max="6914" width="39.85546875" style="53" customWidth="1"/>
    <col min="6915" max="6915" width="18.28515625" style="53" customWidth="1"/>
    <col min="6916" max="6916" width="23.85546875" style="53" customWidth="1"/>
    <col min="6917" max="6917" width="16" style="53" bestFit="1" customWidth="1"/>
    <col min="6918" max="6918" width="13.7109375" style="53" bestFit="1" customWidth="1"/>
    <col min="6919" max="6919" width="15.7109375" style="53" bestFit="1" customWidth="1"/>
    <col min="6920" max="6920" width="13.140625" style="53" bestFit="1" customWidth="1"/>
    <col min="6921" max="6921" width="11.85546875" style="53" bestFit="1" customWidth="1"/>
    <col min="6922" max="6922" width="12.85546875" style="53" bestFit="1" customWidth="1"/>
    <col min="6923" max="7168" width="9.140625" style="53"/>
    <col min="7169" max="7169" width="9.28515625" style="53" customWidth="1"/>
    <col min="7170" max="7170" width="39.85546875" style="53" customWidth="1"/>
    <col min="7171" max="7171" width="18.28515625" style="53" customWidth="1"/>
    <col min="7172" max="7172" width="23.85546875" style="53" customWidth="1"/>
    <col min="7173" max="7173" width="16" style="53" bestFit="1" customWidth="1"/>
    <col min="7174" max="7174" width="13.7109375" style="53" bestFit="1" customWidth="1"/>
    <col min="7175" max="7175" width="15.7109375" style="53" bestFit="1" customWidth="1"/>
    <col min="7176" max="7176" width="13.140625" style="53" bestFit="1" customWidth="1"/>
    <col min="7177" max="7177" width="11.85546875" style="53" bestFit="1" customWidth="1"/>
    <col min="7178" max="7178" width="12.85546875" style="53" bestFit="1" customWidth="1"/>
    <col min="7179" max="7424" width="9.140625" style="53"/>
    <col min="7425" max="7425" width="9.28515625" style="53" customWidth="1"/>
    <col min="7426" max="7426" width="39.85546875" style="53" customWidth="1"/>
    <col min="7427" max="7427" width="18.28515625" style="53" customWidth="1"/>
    <col min="7428" max="7428" width="23.85546875" style="53" customWidth="1"/>
    <col min="7429" max="7429" width="16" style="53" bestFit="1" customWidth="1"/>
    <col min="7430" max="7430" width="13.7109375" style="53" bestFit="1" customWidth="1"/>
    <col min="7431" max="7431" width="15.7109375" style="53" bestFit="1" customWidth="1"/>
    <col min="7432" max="7432" width="13.140625" style="53" bestFit="1" customWidth="1"/>
    <col min="7433" max="7433" width="11.85546875" style="53" bestFit="1" customWidth="1"/>
    <col min="7434" max="7434" width="12.85546875" style="53" bestFit="1" customWidth="1"/>
    <col min="7435" max="7680" width="9.140625" style="53"/>
    <col min="7681" max="7681" width="9.28515625" style="53" customWidth="1"/>
    <col min="7682" max="7682" width="39.85546875" style="53" customWidth="1"/>
    <col min="7683" max="7683" width="18.28515625" style="53" customWidth="1"/>
    <col min="7684" max="7684" width="23.85546875" style="53" customWidth="1"/>
    <col min="7685" max="7685" width="16" style="53" bestFit="1" customWidth="1"/>
    <col min="7686" max="7686" width="13.7109375" style="53" bestFit="1" customWidth="1"/>
    <col min="7687" max="7687" width="15.7109375" style="53" bestFit="1" customWidth="1"/>
    <col min="7688" max="7688" width="13.140625" style="53" bestFit="1" customWidth="1"/>
    <col min="7689" max="7689" width="11.85546875" style="53" bestFit="1" customWidth="1"/>
    <col min="7690" max="7690" width="12.85546875" style="53" bestFit="1" customWidth="1"/>
    <col min="7691" max="7936" width="9.140625" style="53"/>
    <col min="7937" max="7937" width="9.28515625" style="53" customWidth="1"/>
    <col min="7938" max="7938" width="39.85546875" style="53" customWidth="1"/>
    <col min="7939" max="7939" width="18.28515625" style="53" customWidth="1"/>
    <col min="7940" max="7940" width="23.85546875" style="53" customWidth="1"/>
    <col min="7941" max="7941" width="16" style="53" bestFit="1" customWidth="1"/>
    <col min="7942" max="7942" width="13.7109375" style="53" bestFit="1" customWidth="1"/>
    <col min="7943" max="7943" width="15.7109375" style="53" bestFit="1" customWidth="1"/>
    <col min="7944" max="7944" width="13.140625" style="53" bestFit="1" customWidth="1"/>
    <col min="7945" max="7945" width="11.85546875" style="53" bestFit="1" customWidth="1"/>
    <col min="7946" max="7946" width="12.85546875" style="53" bestFit="1" customWidth="1"/>
    <col min="7947" max="8192" width="9.140625" style="53"/>
    <col min="8193" max="8193" width="9.28515625" style="53" customWidth="1"/>
    <col min="8194" max="8194" width="39.85546875" style="53" customWidth="1"/>
    <col min="8195" max="8195" width="18.28515625" style="53" customWidth="1"/>
    <col min="8196" max="8196" width="23.85546875" style="53" customWidth="1"/>
    <col min="8197" max="8197" width="16" style="53" bestFit="1" customWidth="1"/>
    <col min="8198" max="8198" width="13.7109375" style="53" bestFit="1" customWidth="1"/>
    <col min="8199" max="8199" width="15.7109375" style="53" bestFit="1" customWidth="1"/>
    <col min="8200" max="8200" width="13.140625" style="53" bestFit="1" customWidth="1"/>
    <col min="8201" max="8201" width="11.85546875" style="53" bestFit="1" customWidth="1"/>
    <col min="8202" max="8202" width="12.85546875" style="53" bestFit="1" customWidth="1"/>
    <col min="8203" max="8448" width="9.140625" style="53"/>
    <col min="8449" max="8449" width="9.28515625" style="53" customWidth="1"/>
    <col min="8450" max="8450" width="39.85546875" style="53" customWidth="1"/>
    <col min="8451" max="8451" width="18.28515625" style="53" customWidth="1"/>
    <col min="8452" max="8452" width="23.85546875" style="53" customWidth="1"/>
    <col min="8453" max="8453" width="16" style="53" bestFit="1" customWidth="1"/>
    <col min="8454" max="8454" width="13.7109375" style="53" bestFit="1" customWidth="1"/>
    <col min="8455" max="8455" width="15.7109375" style="53" bestFit="1" customWidth="1"/>
    <col min="8456" max="8456" width="13.140625" style="53" bestFit="1" customWidth="1"/>
    <col min="8457" max="8457" width="11.85546875" style="53" bestFit="1" customWidth="1"/>
    <col min="8458" max="8458" width="12.85546875" style="53" bestFit="1" customWidth="1"/>
    <col min="8459" max="8704" width="9.140625" style="53"/>
    <col min="8705" max="8705" width="9.28515625" style="53" customWidth="1"/>
    <col min="8706" max="8706" width="39.85546875" style="53" customWidth="1"/>
    <col min="8707" max="8707" width="18.28515625" style="53" customWidth="1"/>
    <col min="8708" max="8708" width="23.85546875" style="53" customWidth="1"/>
    <col min="8709" max="8709" width="16" style="53" bestFit="1" customWidth="1"/>
    <col min="8710" max="8710" width="13.7109375" style="53" bestFit="1" customWidth="1"/>
    <col min="8711" max="8711" width="15.7109375" style="53" bestFit="1" customWidth="1"/>
    <col min="8712" max="8712" width="13.140625" style="53" bestFit="1" customWidth="1"/>
    <col min="8713" max="8713" width="11.85546875" style="53" bestFit="1" customWidth="1"/>
    <col min="8714" max="8714" width="12.85546875" style="53" bestFit="1" customWidth="1"/>
    <col min="8715" max="8960" width="9.140625" style="53"/>
    <col min="8961" max="8961" width="9.28515625" style="53" customWidth="1"/>
    <col min="8962" max="8962" width="39.85546875" style="53" customWidth="1"/>
    <col min="8963" max="8963" width="18.28515625" style="53" customWidth="1"/>
    <col min="8964" max="8964" width="23.85546875" style="53" customWidth="1"/>
    <col min="8965" max="8965" width="16" style="53" bestFit="1" customWidth="1"/>
    <col min="8966" max="8966" width="13.7109375" style="53" bestFit="1" customWidth="1"/>
    <col min="8967" max="8967" width="15.7109375" style="53" bestFit="1" customWidth="1"/>
    <col min="8968" max="8968" width="13.140625" style="53" bestFit="1" customWidth="1"/>
    <col min="8969" max="8969" width="11.85546875" style="53" bestFit="1" customWidth="1"/>
    <col min="8970" max="8970" width="12.85546875" style="53" bestFit="1" customWidth="1"/>
    <col min="8971" max="9216" width="9.140625" style="53"/>
    <col min="9217" max="9217" width="9.28515625" style="53" customWidth="1"/>
    <col min="9218" max="9218" width="39.85546875" style="53" customWidth="1"/>
    <col min="9219" max="9219" width="18.28515625" style="53" customWidth="1"/>
    <col min="9220" max="9220" width="23.85546875" style="53" customWidth="1"/>
    <col min="9221" max="9221" width="16" style="53" bestFit="1" customWidth="1"/>
    <col min="9222" max="9222" width="13.7109375" style="53" bestFit="1" customWidth="1"/>
    <col min="9223" max="9223" width="15.7109375" style="53" bestFit="1" customWidth="1"/>
    <col min="9224" max="9224" width="13.140625" style="53" bestFit="1" customWidth="1"/>
    <col min="9225" max="9225" width="11.85546875" style="53" bestFit="1" customWidth="1"/>
    <col min="9226" max="9226" width="12.85546875" style="53" bestFit="1" customWidth="1"/>
    <col min="9227" max="9472" width="9.140625" style="53"/>
    <col min="9473" max="9473" width="9.28515625" style="53" customWidth="1"/>
    <col min="9474" max="9474" width="39.85546875" style="53" customWidth="1"/>
    <col min="9475" max="9475" width="18.28515625" style="53" customWidth="1"/>
    <col min="9476" max="9476" width="23.85546875" style="53" customWidth="1"/>
    <col min="9477" max="9477" width="16" style="53" bestFit="1" customWidth="1"/>
    <col min="9478" max="9478" width="13.7109375" style="53" bestFit="1" customWidth="1"/>
    <col min="9479" max="9479" width="15.7109375" style="53" bestFit="1" customWidth="1"/>
    <col min="9480" max="9480" width="13.140625" style="53" bestFit="1" customWidth="1"/>
    <col min="9481" max="9481" width="11.85546875" style="53" bestFit="1" customWidth="1"/>
    <col min="9482" max="9482" width="12.85546875" style="53" bestFit="1" customWidth="1"/>
    <col min="9483" max="9728" width="9.140625" style="53"/>
    <col min="9729" max="9729" width="9.28515625" style="53" customWidth="1"/>
    <col min="9730" max="9730" width="39.85546875" style="53" customWidth="1"/>
    <col min="9731" max="9731" width="18.28515625" style="53" customWidth="1"/>
    <col min="9732" max="9732" width="23.85546875" style="53" customWidth="1"/>
    <col min="9733" max="9733" width="16" style="53" bestFit="1" customWidth="1"/>
    <col min="9734" max="9734" width="13.7109375" style="53" bestFit="1" customWidth="1"/>
    <col min="9735" max="9735" width="15.7109375" style="53" bestFit="1" customWidth="1"/>
    <col min="9736" max="9736" width="13.140625" style="53" bestFit="1" customWidth="1"/>
    <col min="9737" max="9737" width="11.85546875" style="53" bestFit="1" customWidth="1"/>
    <col min="9738" max="9738" width="12.85546875" style="53" bestFit="1" customWidth="1"/>
    <col min="9739" max="9984" width="9.140625" style="53"/>
    <col min="9985" max="9985" width="9.28515625" style="53" customWidth="1"/>
    <col min="9986" max="9986" width="39.85546875" style="53" customWidth="1"/>
    <col min="9987" max="9987" width="18.28515625" style="53" customWidth="1"/>
    <col min="9988" max="9988" width="23.85546875" style="53" customWidth="1"/>
    <col min="9989" max="9989" width="16" style="53" bestFit="1" customWidth="1"/>
    <col min="9990" max="9990" width="13.7109375" style="53" bestFit="1" customWidth="1"/>
    <col min="9991" max="9991" width="15.7109375" style="53" bestFit="1" customWidth="1"/>
    <col min="9992" max="9992" width="13.140625" style="53" bestFit="1" customWidth="1"/>
    <col min="9993" max="9993" width="11.85546875" style="53" bestFit="1" customWidth="1"/>
    <col min="9994" max="9994" width="12.85546875" style="53" bestFit="1" customWidth="1"/>
    <col min="9995" max="10240" width="9.140625" style="53"/>
    <col min="10241" max="10241" width="9.28515625" style="53" customWidth="1"/>
    <col min="10242" max="10242" width="39.85546875" style="53" customWidth="1"/>
    <col min="10243" max="10243" width="18.28515625" style="53" customWidth="1"/>
    <col min="10244" max="10244" width="23.85546875" style="53" customWidth="1"/>
    <col min="10245" max="10245" width="16" style="53" bestFit="1" customWidth="1"/>
    <col min="10246" max="10246" width="13.7109375" style="53" bestFit="1" customWidth="1"/>
    <col min="10247" max="10247" width="15.7109375" style="53" bestFit="1" customWidth="1"/>
    <col min="10248" max="10248" width="13.140625" style="53" bestFit="1" customWidth="1"/>
    <col min="10249" max="10249" width="11.85546875" style="53" bestFit="1" customWidth="1"/>
    <col min="10250" max="10250" width="12.85546875" style="53" bestFit="1" customWidth="1"/>
    <col min="10251" max="10496" width="9.140625" style="53"/>
    <col min="10497" max="10497" width="9.28515625" style="53" customWidth="1"/>
    <col min="10498" max="10498" width="39.85546875" style="53" customWidth="1"/>
    <col min="10499" max="10499" width="18.28515625" style="53" customWidth="1"/>
    <col min="10500" max="10500" width="23.85546875" style="53" customWidth="1"/>
    <col min="10501" max="10501" width="16" style="53" bestFit="1" customWidth="1"/>
    <col min="10502" max="10502" width="13.7109375" style="53" bestFit="1" customWidth="1"/>
    <col min="10503" max="10503" width="15.7109375" style="53" bestFit="1" customWidth="1"/>
    <col min="10504" max="10504" width="13.140625" style="53" bestFit="1" customWidth="1"/>
    <col min="10505" max="10505" width="11.85546875" style="53" bestFit="1" customWidth="1"/>
    <col min="10506" max="10506" width="12.85546875" style="53" bestFit="1" customWidth="1"/>
    <col min="10507" max="10752" width="9.140625" style="53"/>
    <col min="10753" max="10753" width="9.28515625" style="53" customWidth="1"/>
    <col min="10754" max="10754" width="39.85546875" style="53" customWidth="1"/>
    <col min="10755" max="10755" width="18.28515625" style="53" customWidth="1"/>
    <col min="10756" max="10756" width="23.85546875" style="53" customWidth="1"/>
    <col min="10757" max="10757" width="16" style="53" bestFit="1" customWidth="1"/>
    <col min="10758" max="10758" width="13.7109375" style="53" bestFit="1" customWidth="1"/>
    <col min="10759" max="10759" width="15.7109375" style="53" bestFit="1" customWidth="1"/>
    <col min="10760" max="10760" width="13.140625" style="53" bestFit="1" customWidth="1"/>
    <col min="10761" max="10761" width="11.85546875" style="53" bestFit="1" customWidth="1"/>
    <col min="10762" max="10762" width="12.85546875" style="53" bestFit="1" customWidth="1"/>
    <col min="10763" max="11008" width="9.140625" style="53"/>
    <col min="11009" max="11009" width="9.28515625" style="53" customWidth="1"/>
    <col min="11010" max="11010" width="39.85546875" style="53" customWidth="1"/>
    <col min="11011" max="11011" width="18.28515625" style="53" customWidth="1"/>
    <col min="11012" max="11012" width="23.85546875" style="53" customWidth="1"/>
    <col min="11013" max="11013" width="16" style="53" bestFit="1" customWidth="1"/>
    <col min="11014" max="11014" width="13.7109375" style="53" bestFit="1" customWidth="1"/>
    <col min="11015" max="11015" width="15.7109375" style="53" bestFit="1" customWidth="1"/>
    <col min="11016" max="11016" width="13.140625" style="53" bestFit="1" customWidth="1"/>
    <col min="11017" max="11017" width="11.85546875" style="53" bestFit="1" customWidth="1"/>
    <col min="11018" max="11018" width="12.85546875" style="53" bestFit="1" customWidth="1"/>
    <col min="11019" max="11264" width="9.140625" style="53"/>
    <col min="11265" max="11265" width="9.28515625" style="53" customWidth="1"/>
    <col min="11266" max="11266" width="39.85546875" style="53" customWidth="1"/>
    <col min="11267" max="11267" width="18.28515625" style="53" customWidth="1"/>
    <col min="11268" max="11268" width="23.85546875" style="53" customWidth="1"/>
    <col min="11269" max="11269" width="16" style="53" bestFit="1" customWidth="1"/>
    <col min="11270" max="11270" width="13.7109375" style="53" bestFit="1" customWidth="1"/>
    <col min="11271" max="11271" width="15.7109375" style="53" bestFit="1" customWidth="1"/>
    <col min="11272" max="11272" width="13.140625" style="53" bestFit="1" customWidth="1"/>
    <col min="11273" max="11273" width="11.85546875" style="53" bestFit="1" customWidth="1"/>
    <col min="11274" max="11274" width="12.85546875" style="53" bestFit="1" customWidth="1"/>
    <col min="11275" max="11520" width="9.140625" style="53"/>
    <col min="11521" max="11521" width="9.28515625" style="53" customWidth="1"/>
    <col min="11522" max="11522" width="39.85546875" style="53" customWidth="1"/>
    <col min="11523" max="11523" width="18.28515625" style="53" customWidth="1"/>
    <col min="11524" max="11524" width="23.85546875" style="53" customWidth="1"/>
    <col min="11525" max="11525" width="16" style="53" bestFit="1" customWidth="1"/>
    <col min="11526" max="11526" width="13.7109375" style="53" bestFit="1" customWidth="1"/>
    <col min="11527" max="11527" width="15.7109375" style="53" bestFit="1" customWidth="1"/>
    <col min="11528" max="11528" width="13.140625" style="53" bestFit="1" customWidth="1"/>
    <col min="11529" max="11529" width="11.85546875" style="53" bestFit="1" customWidth="1"/>
    <col min="11530" max="11530" width="12.85546875" style="53" bestFit="1" customWidth="1"/>
    <col min="11531" max="11776" width="9.140625" style="53"/>
    <col min="11777" max="11777" width="9.28515625" style="53" customWidth="1"/>
    <col min="11778" max="11778" width="39.85546875" style="53" customWidth="1"/>
    <col min="11779" max="11779" width="18.28515625" style="53" customWidth="1"/>
    <col min="11780" max="11780" width="23.85546875" style="53" customWidth="1"/>
    <col min="11781" max="11781" width="16" style="53" bestFit="1" customWidth="1"/>
    <col min="11782" max="11782" width="13.7109375" style="53" bestFit="1" customWidth="1"/>
    <col min="11783" max="11783" width="15.7109375" style="53" bestFit="1" customWidth="1"/>
    <col min="11784" max="11784" width="13.140625" style="53" bestFit="1" customWidth="1"/>
    <col min="11785" max="11785" width="11.85546875" style="53" bestFit="1" customWidth="1"/>
    <col min="11786" max="11786" width="12.85546875" style="53" bestFit="1" customWidth="1"/>
    <col min="11787" max="12032" width="9.140625" style="53"/>
    <col min="12033" max="12033" width="9.28515625" style="53" customWidth="1"/>
    <col min="12034" max="12034" width="39.85546875" style="53" customWidth="1"/>
    <col min="12035" max="12035" width="18.28515625" style="53" customWidth="1"/>
    <col min="12036" max="12036" width="23.85546875" style="53" customWidth="1"/>
    <col min="12037" max="12037" width="16" style="53" bestFit="1" customWidth="1"/>
    <col min="12038" max="12038" width="13.7109375" style="53" bestFit="1" customWidth="1"/>
    <col min="12039" max="12039" width="15.7109375" style="53" bestFit="1" customWidth="1"/>
    <col min="12040" max="12040" width="13.140625" style="53" bestFit="1" customWidth="1"/>
    <col min="12041" max="12041" width="11.85546875" style="53" bestFit="1" customWidth="1"/>
    <col min="12042" max="12042" width="12.85546875" style="53" bestFit="1" customWidth="1"/>
    <col min="12043" max="12288" width="9.140625" style="53"/>
    <col min="12289" max="12289" width="9.28515625" style="53" customWidth="1"/>
    <col min="12290" max="12290" width="39.85546875" style="53" customWidth="1"/>
    <col min="12291" max="12291" width="18.28515625" style="53" customWidth="1"/>
    <col min="12292" max="12292" width="23.85546875" style="53" customWidth="1"/>
    <col min="12293" max="12293" width="16" style="53" bestFit="1" customWidth="1"/>
    <col min="12294" max="12294" width="13.7109375" style="53" bestFit="1" customWidth="1"/>
    <col min="12295" max="12295" width="15.7109375" style="53" bestFit="1" customWidth="1"/>
    <col min="12296" max="12296" width="13.140625" style="53" bestFit="1" customWidth="1"/>
    <col min="12297" max="12297" width="11.85546875" style="53" bestFit="1" customWidth="1"/>
    <col min="12298" max="12298" width="12.85546875" style="53" bestFit="1" customWidth="1"/>
    <col min="12299" max="12544" width="9.140625" style="53"/>
    <col min="12545" max="12545" width="9.28515625" style="53" customWidth="1"/>
    <col min="12546" max="12546" width="39.85546875" style="53" customWidth="1"/>
    <col min="12547" max="12547" width="18.28515625" style="53" customWidth="1"/>
    <col min="12548" max="12548" width="23.85546875" style="53" customWidth="1"/>
    <col min="12549" max="12549" width="16" style="53" bestFit="1" customWidth="1"/>
    <col min="12550" max="12550" width="13.7109375" style="53" bestFit="1" customWidth="1"/>
    <col min="12551" max="12551" width="15.7109375" style="53" bestFit="1" customWidth="1"/>
    <col min="12552" max="12552" width="13.140625" style="53" bestFit="1" customWidth="1"/>
    <col min="12553" max="12553" width="11.85546875" style="53" bestFit="1" customWidth="1"/>
    <col min="12554" max="12554" width="12.85546875" style="53" bestFit="1" customWidth="1"/>
    <col min="12555" max="12800" width="9.140625" style="53"/>
    <col min="12801" max="12801" width="9.28515625" style="53" customWidth="1"/>
    <col min="12802" max="12802" width="39.85546875" style="53" customWidth="1"/>
    <col min="12803" max="12803" width="18.28515625" style="53" customWidth="1"/>
    <col min="12804" max="12804" width="23.85546875" style="53" customWidth="1"/>
    <col min="12805" max="12805" width="16" style="53" bestFit="1" customWidth="1"/>
    <col min="12806" max="12806" width="13.7109375" style="53" bestFit="1" customWidth="1"/>
    <col min="12807" max="12807" width="15.7109375" style="53" bestFit="1" customWidth="1"/>
    <col min="12808" max="12808" width="13.140625" style="53" bestFit="1" customWidth="1"/>
    <col min="12809" max="12809" width="11.85546875" style="53" bestFit="1" customWidth="1"/>
    <col min="12810" max="12810" width="12.85546875" style="53" bestFit="1" customWidth="1"/>
    <col min="12811" max="13056" width="9.140625" style="53"/>
    <col min="13057" max="13057" width="9.28515625" style="53" customWidth="1"/>
    <col min="13058" max="13058" width="39.85546875" style="53" customWidth="1"/>
    <col min="13059" max="13059" width="18.28515625" style="53" customWidth="1"/>
    <col min="13060" max="13060" width="23.85546875" style="53" customWidth="1"/>
    <col min="13061" max="13061" width="16" style="53" bestFit="1" customWidth="1"/>
    <col min="13062" max="13062" width="13.7109375" style="53" bestFit="1" customWidth="1"/>
    <col min="13063" max="13063" width="15.7109375" style="53" bestFit="1" customWidth="1"/>
    <col min="13064" max="13064" width="13.140625" style="53" bestFit="1" customWidth="1"/>
    <col min="13065" max="13065" width="11.85546875" style="53" bestFit="1" customWidth="1"/>
    <col min="13066" max="13066" width="12.85546875" style="53" bestFit="1" customWidth="1"/>
    <col min="13067" max="13312" width="9.140625" style="53"/>
    <col min="13313" max="13313" width="9.28515625" style="53" customWidth="1"/>
    <col min="13314" max="13314" width="39.85546875" style="53" customWidth="1"/>
    <col min="13315" max="13315" width="18.28515625" style="53" customWidth="1"/>
    <col min="13316" max="13316" width="23.85546875" style="53" customWidth="1"/>
    <col min="13317" max="13317" width="16" style="53" bestFit="1" customWidth="1"/>
    <col min="13318" max="13318" width="13.7109375" style="53" bestFit="1" customWidth="1"/>
    <col min="13319" max="13319" width="15.7109375" style="53" bestFit="1" customWidth="1"/>
    <col min="13320" max="13320" width="13.140625" style="53" bestFit="1" customWidth="1"/>
    <col min="13321" max="13321" width="11.85546875" style="53" bestFit="1" customWidth="1"/>
    <col min="13322" max="13322" width="12.85546875" style="53" bestFit="1" customWidth="1"/>
    <col min="13323" max="13568" width="9.140625" style="53"/>
    <col min="13569" max="13569" width="9.28515625" style="53" customWidth="1"/>
    <col min="13570" max="13570" width="39.85546875" style="53" customWidth="1"/>
    <col min="13571" max="13571" width="18.28515625" style="53" customWidth="1"/>
    <col min="13572" max="13572" width="23.85546875" style="53" customWidth="1"/>
    <col min="13573" max="13573" width="16" style="53" bestFit="1" customWidth="1"/>
    <col min="13574" max="13574" width="13.7109375" style="53" bestFit="1" customWidth="1"/>
    <col min="13575" max="13575" width="15.7109375" style="53" bestFit="1" customWidth="1"/>
    <col min="13576" max="13576" width="13.140625" style="53" bestFit="1" customWidth="1"/>
    <col min="13577" max="13577" width="11.85546875" style="53" bestFit="1" customWidth="1"/>
    <col min="13578" max="13578" width="12.85546875" style="53" bestFit="1" customWidth="1"/>
    <col min="13579" max="13824" width="9.140625" style="53"/>
    <col min="13825" max="13825" width="9.28515625" style="53" customWidth="1"/>
    <col min="13826" max="13826" width="39.85546875" style="53" customWidth="1"/>
    <col min="13827" max="13827" width="18.28515625" style="53" customWidth="1"/>
    <col min="13828" max="13828" width="23.85546875" style="53" customWidth="1"/>
    <col min="13829" max="13829" width="16" style="53" bestFit="1" customWidth="1"/>
    <col min="13830" max="13830" width="13.7109375" style="53" bestFit="1" customWidth="1"/>
    <col min="13831" max="13831" width="15.7109375" style="53" bestFit="1" customWidth="1"/>
    <col min="13832" max="13832" width="13.140625" style="53" bestFit="1" customWidth="1"/>
    <col min="13833" max="13833" width="11.85546875" style="53" bestFit="1" customWidth="1"/>
    <col min="13834" max="13834" width="12.85546875" style="53" bestFit="1" customWidth="1"/>
    <col min="13835" max="14080" width="9.140625" style="53"/>
    <col min="14081" max="14081" width="9.28515625" style="53" customWidth="1"/>
    <col min="14082" max="14082" width="39.85546875" style="53" customWidth="1"/>
    <col min="14083" max="14083" width="18.28515625" style="53" customWidth="1"/>
    <col min="14084" max="14084" width="23.85546875" style="53" customWidth="1"/>
    <col min="14085" max="14085" width="16" style="53" bestFit="1" customWidth="1"/>
    <col min="14086" max="14086" width="13.7109375" style="53" bestFit="1" customWidth="1"/>
    <col min="14087" max="14087" width="15.7109375" style="53" bestFit="1" customWidth="1"/>
    <col min="14088" max="14088" width="13.140625" style="53" bestFit="1" customWidth="1"/>
    <col min="14089" max="14089" width="11.85546875" style="53" bestFit="1" customWidth="1"/>
    <col min="14090" max="14090" width="12.85546875" style="53" bestFit="1" customWidth="1"/>
    <col min="14091" max="14336" width="9.140625" style="53"/>
    <col min="14337" max="14337" width="9.28515625" style="53" customWidth="1"/>
    <col min="14338" max="14338" width="39.85546875" style="53" customWidth="1"/>
    <col min="14339" max="14339" width="18.28515625" style="53" customWidth="1"/>
    <col min="14340" max="14340" width="23.85546875" style="53" customWidth="1"/>
    <col min="14341" max="14341" width="16" style="53" bestFit="1" customWidth="1"/>
    <col min="14342" max="14342" width="13.7109375" style="53" bestFit="1" customWidth="1"/>
    <col min="14343" max="14343" width="15.7109375" style="53" bestFit="1" customWidth="1"/>
    <col min="14344" max="14344" width="13.140625" style="53" bestFit="1" customWidth="1"/>
    <col min="14345" max="14345" width="11.85546875" style="53" bestFit="1" customWidth="1"/>
    <col min="14346" max="14346" width="12.85546875" style="53" bestFit="1" customWidth="1"/>
    <col min="14347" max="14592" width="9.140625" style="53"/>
    <col min="14593" max="14593" width="9.28515625" style="53" customWidth="1"/>
    <col min="14594" max="14594" width="39.85546875" style="53" customWidth="1"/>
    <col min="14595" max="14595" width="18.28515625" style="53" customWidth="1"/>
    <col min="14596" max="14596" width="23.85546875" style="53" customWidth="1"/>
    <col min="14597" max="14597" width="16" style="53" bestFit="1" customWidth="1"/>
    <col min="14598" max="14598" width="13.7109375" style="53" bestFit="1" customWidth="1"/>
    <col min="14599" max="14599" width="15.7109375" style="53" bestFit="1" customWidth="1"/>
    <col min="14600" max="14600" width="13.140625" style="53" bestFit="1" customWidth="1"/>
    <col min="14601" max="14601" width="11.85546875" style="53" bestFit="1" customWidth="1"/>
    <col min="14602" max="14602" width="12.85546875" style="53" bestFit="1" customWidth="1"/>
    <col min="14603" max="14848" width="9.140625" style="53"/>
    <col min="14849" max="14849" width="9.28515625" style="53" customWidth="1"/>
    <col min="14850" max="14850" width="39.85546875" style="53" customWidth="1"/>
    <col min="14851" max="14851" width="18.28515625" style="53" customWidth="1"/>
    <col min="14852" max="14852" width="23.85546875" style="53" customWidth="1"/>
    <col min="14853" max="14853" width="16" style="53" bestFit="1" customWidth="1"/>
    <col min="14854" max="14854" width="13.7109375" style="53" bestFit="1" customWidth="1"/>
    <col min="14855" max="14855" width="15.7109375" style="53" bestFit="1" customWidth="1"/>
    <col min="14856" max="14856" width="13.140625" style="53" bestFit="1" customWidth="1"/>
    <col min="14857" max="14857" width="11.85546875" style="53" bestFit="1" customWidth="1"/>
    <col min="14858" max="14858" width="12.85546875" style="53" bestFit="1" customWidth="1"/>
    <col min="14859" max="15104" width="9.140625" style="53"/>
    <col min="15105" max="15105" width="9.28515625" style="53" customWidth="1"/>
    <col min="15106" max="15106" width="39.85546875" style="53" customWidth="1"/>
    <col min="15107" max="15107" width="18.28515625" style="53" customWidth="1"/>
    <col min="15108" max="15108" width="23.85546875" style="53" customWidth="1"/>
    <col min="15109" max="15109" width="16" style="53" bestFit="1" customWidth="1"/>
    <col min="15110" max="15110" width="13.7109375" style="53" bestFit="1" customWidth="1"/>
    <col min="15111" max="15111" width="15.7109375" style="53" bestFit="1" customWidth="1"/>
    <col min="15112" max="15112" width="13.140625" style="53" bestFit="1" customWidth="1"/>
    <col min="15113" max="15113" width="11.85546875" style="53" bestFit="1" customWidth="1"/>
    <col min="15114" max="15114" width="12.85546875" style="53" bestFit="1" customWidth="1"/>
    <col min="15115" max="15360" width="9.140625" style="53"/>
    <col min="15361" max="15361" width="9.28515625" style="53" customWidth="1"/>
    <col min="15362" max="15362" width="39.85546875" style="53" customWidth="1"/>
    <col min="15363" max="15363" width="18.28515625" style="53" customWidth="1"/>
    <col min="15364" max="15364" width="23.85546875" style="53" customWidth="1"/>
    <col min="15365" max="15365" width="16" style="53" bestFit="1" customWidth="1"/>
    <col min="15366" max="15366" width="13.7109375" style="53" bestFit="1" customWidth="1"/>
    <col min="15367" max="15367" width="15.7109375" style="53" bestFit="1" customWidth="1"/>
    <col min="15368" max="15368" width="13.140625" style="53" bestFit="1" customWidth="1"/>
    <col min="15369" max="15369" width="11.85546875" style="53" bestFit="1" customWidth="1"/>
    <col min="15370" max="15370" width="12.85546875" style="53" bestFit="1" customWidth="1"/>
    <col min="15371" max="15616" width="9.140625" style="53"/>
    <col min="15617" max="15617" width="9.28515625" style="53" customWidth="1"/>
    <col min="15618" max="15618" width="39.85546875" style="53" customWidth="1"/>
    <col min="15619" max="15619" width="18.28515625" style="53" customWidth="1"/>
    <col min="15620" max="15620" width="23.85546875" style="53" customWidth="1"/>
    <col min="15621" max="15621" width="16" style="53" bestFit="1" customWidth="1"/>
    <col min="15622" max="15622" width="13.7109375" style="53" bestFit="1" customWidth="1"/>
    <col min="15623" max="15623" width="15.7109375" style="53" bestFit="1" customWidth="1"/>
    <col min="15624" max="15624" width="13.140625" style="53" bestFit="1" customWidth="1"/>
    <col min="15625" max="15625" width="11.85546875" style="53" bestFit="1" customWidth="1"/>
    <col min="15626" max="15626" width="12.85546875" style="53" bestFit="1" customWidth="1"/>
    <col min="15627" max="15872" width="9.140625" style="53"/>
    <col min="15873" max="15873" width="9.28515625" style="53" customWidth="1"/>
    <col min="15874" max="15874" width="39.85546875" style="53" customWidth="1"/>
    <col min="15875" max="15875" width="18.28515625" style="53" customWidth="1"/>
    <col min="15876" max="15876" width="23.85546875" style="53" customWidth="1"/>
    <col min="15877" max="15877" width="16" style="53" bestFit="1" customWidth="1"/>
    <col min="15878" max="15878" width="13.7109375" style="53" bestFit="1" customWidth="1"/>
    <col min="15879" max="15879" width="15.7109375" style="53" bestFit="1" customWidth="1"/>
    <col min="15880" max="15880" width="13.140625" style="53" bestFit="1" customWidth="1"/>
    <col min="15881" max="15881" width="11.85546875" style="53" bestFit="1" customWidth="1"/>
    <col min="15882" max="15882" width="12.85546875" style="53" bestFit="1" customWidth="1"/>
    <col min="15883" max="16128" width="9.140625" style="53"/>
    <col min="16129" max="16129" width="9.28515625" style="53" customWidth="1"/>
    <col min="16130" max="16130" width="39.85546875" style="53" customWidth="1"/>
    <col min="16131" max="16131" width="18.28515625" style="53" customWidth="1"/>
    <col min="16132" max="16132" width="23.85546875" style="53" customWidth="1"/>
    <col min="16133" max="16133" width="16" style="53" bestFit="1" customWidth="1"/>
    <col min="16134" max="16134" width="13.7109375" style="53" bestFit="1" customWidth="1"/>
    <col min="16135" max="16135" width="15.7109375" style="53" bestFit="1" customWidth="1"/>
    <col min="16136" max="16136" width="13.140625" style="53" bestFit="1" customWidth="1"/>
    <col min="16137" max="16137" width="11.85546875" style="53" bestFit="1" customWidth="1"/>
    <col min="16138" max="16138" width="12.85546875" style="53" bestFit="1" customWidth="1"/>
    <col min="16139" max="16384" width="9.140625" style="53"/>
  </cols>
  <sheetData>
    <row r="3" spans="1:7" ht="15.75" customHeight="1">
      <c r="A3" s="543" t="s">
        <v>255</v>
      </c>
      <c r="B3" s="543"/>
      <c r="C3" s="543"/>
      <c r="D3" s="543"/>
      <c r="E3" s="52"/>
      <c r="F3" s="52"/>
      <c r="G3" s="52"/>
    </row>
    <row r="4" spans="1:7">
      <c r="A4" s="543"/>
      <c r="B4" s="543"/>
      <c r="C4" s="543"/>
      <c r="D4" s="543"/>
      <c r="E4" s="52"/>
      <c r="F4" s="52"/>
      <c r="G4" s="52"/>
    </row>
    <row r="5" spans="1:7">
      <c r="A5" s="54"/>
      <c r="B5" s="52"/>
      <c r="C5" s="52"/>
      <c r="D5" s="52"/>
      <c r="E5" s="52"/>
      <c r="F5" s="52"/>
      <c r="G5" s="52"/>
    </row>
    <row r="6" spans="1:7" ht="15.75" customHeight="1">
      <c r="A6" s="544" t="s">
        <v>550</v>
      </c>
      <c r="B6" s="544"/>
      <c r="C6" s="544"/>
      <c r="D6" s="544"/>
      <c r="E6" s="52"/>
      <c r="F6" s="52"/>
      <c r="G6" s="52"/>
    </row>
    <row r="7" spans="1:7">
      <c r="A7" s="522"/>
      <c r="B7" s="522"/>
      <c r="C7" s="522"/>
      <c r="D7" s="522"/>
    </row>
    <row r="8" spans="1:7">
      <c r="A8" s="237" t="s">
        <v>551</v>
      </c>
      <c r="B8" s="238"/>
      <c r="C8" s="187"/>
      <c r="D8" s="187"/>
    </row>
    <row r="9" spans="1:7">
      <c r="A9" s="522"/>
      <c r="B9" s="522"/>
      <c r="C9" s="522"/>
      <c r="D9" s="522"/>
    </row>
    <row r="10" spans="1:7">
      <c r="A10" s="57" t="s">
        <v>256</v>
      </c>
      <c r="B10" s="188"/>
      <c r="C10" s="187"/>
      <c r="D10" s="187"/>
    </row>
    <row r="11" spans="1:7">
      <c r="A11" s="59" t="s">
        <v>257</v>
      </c>
      <c r="B11" s="541" t="s">
        <v>258</v>
      </c>
      <c r="C11" s="542"/>
      <c r="D11" s="239">
        <v>42550</v>
      </c>
    </row>
    <row r="12" spans="1:7">
      <c r="A12" s="59" t="s">
        <v>259</v>
      </c>
      <c r="B12" s="62" t="s">
        <v>260</v>
      </c>
      <c r="C12" s="63"/>
      <c r="D12" s="240" t="s">
        <v>374</v>
      </c>
    </row>
    <row r="13" spans="1:7">
      <c r="A13" s="59" t="s">
        <v>261</v>
      </c>
      <c r="B13" s="541" t="s">
        <v>262</v>
      </c>
      <c r="C13" s="542"/>
      <c r="D13" s="240">
        <v>2016</v>
      </c>
    </row>
    <row r="14" spans="1:7">
      <c r="A14" s="64" t="s">
        <v>263</v>
      </c>
      <c r="B14" s="65" t="s">
        <v>555</v>
      </c>
      <c r="C14" s="66"/>
      <c r="D14" s="239">
        <v>42625</v>
      </c>
    </row>
    <row r="16" spans="1:7">
      <c r="A16" s="190"/>
    </row>
    <row r="17" spans="1:7">
      <c r="A17" s="523"/>
      <c r="B17" s="523"/>
      <c r="C17" s="523"/>
      <c r="D17" s="523"/>
      <c r="E17" s="523"/>
      <c r="F17" s="523"/>
      <c r="G17" s="523"/>
    </row>
    <row r="18" spans="1:7" ht="35.25" customHeight="1">
      <c r="A18" s="545" t="s">
        <v>264</v>
      </c>
      <c r="B18" s="545"/>
      <c r="C18" s="67" t="s">
        <v>265</v>
      </c>
      <c r="D18" s="67" t="s">
        <v>266</v>
      </c>
    </row>
    <row r="19" spans="1:7">
      <c r="A19" s="241">
        <v>1</v>
      </c>
      <c r="B19" s="242" t="s">
        <v>553</v>
      </c>
      <c r="C19" s="241" t="s">
        <v>267</v>
      </c>
      <c r="D19" s="243">
        <v>1</v>
      </c>
    </row>
    <row r="20" spans="1:7">
      <c r="A20" s="68"/>
      <c r="B20" s="69"/>
      <c r="C20" s="68"/>
      <c r="D20" s="70"/>
    </row>
    <row r="21" spans="1:7">
      <c r="A21" s="522" t="s">
        <v>268</v>
      </c>
      <c r="B21" s="522"/>
      <c r="C21" s="522"/>
      <c r="D21" s="522"/>
      <c r="E21" s="522"/>
      <c r="F21" s="522"/>
      <c r="G21" s="522"/>
    </row>
    <row r="22" spans="1:7">
      <c r="A22" s="71"/>
    </row>
    <row r="23" spans="1:7">
      <c r="A23" s="57" t="s">
        <v>269</v>
      </c>
    </row>
    <row r="24" spans="1:7">
      <c r="A24" s="57" t="s">
        <v>270</v>
      </c>
    </row>
    <row r="25" spans="1:7">
      <c r="A25" s="72" t="s">
        <v>271</v>
      </c>
      <c r="B25" s="60"/>
      <c r="C25" s="60"/>
      <c r="D25" s="61"/>
    </row>
    <row r="26" spans="1:7" ht="31.5">
      <c r="A26" s="73">
        <v>1</v>
      </c>
      <c r="B26" s="74" t="s">
        <v>272</v>
      </c>
      <c r="C26" s="74"/>
      <c r="D26" s="244" t="str">
        <f>B19</f>
        <v xml:space="preserve">AUXILIAR SERVIÇOS GERAIS </v>
      </c>
    </row>
    <row r="27" spans="1:7" ht="30.75" customHeight="1">
      <c r="A27" s="73">
        <v>2</v>
      </c>
      <c r="B27" s="539" t="s">
        <v>273</v>
      </c>
      <c r="C27" s="540"/>
      <c r="D27" s="175">
        <v>1070</v>
      </c>
    </row>
    <row r="28" spans="1:7" ht="31.5" customHeight="1">
      <c r="A28" s="73">
        <v>3</v>
      </c>
      <c r="B28" s="539" t="s">
        <v>274</v>
      </c>
      <c r="C28" s="540"/>
      <c r="D28" s="176" t="s">
        <v>375</v>
      </c>
    </row>
    <row r="29" spans="1:7">
      <c r="A29" s="75">
        <v>4</v>
      </c>
      <c r="B29" s="76" t="s">
        <v>275</v>
      </c>
      <c r="C29" s="76"/>
      <c r="D29" s="77">
        <v>42401</v>
      </c>
    </row>
    <row r="30" spans="1:7">
      <c r="A30" s="71"/>
    </row>
    <row r="31" spans="1:7">
      <c r="A31" s="71"/>
    </row>
    <row r="32" spans="1:7">
      <c r="A32" s="71"/>
    </row>
    <row r="33" spans="1:7" ht="16.5" customHeight="1" thickBot="1">
      <c r="A33" s="523" t="s">
        <v>276</v>
      </c>
      <c r="B33" s="523"/>
      <c r="C33" s="523"/>
      <c r="D33" s="523"/>
      <c r="E33" s="523"/>
      <c r="F33" s="52"/>
      <c r="G33" s="52"/>
    </row>
    <row r="34" spans="1:7" ht="16.5" thickBot="1">
      <c r="A34" s="78" t="s">
        <v>277</v>
      </c>
      <c r="B34" s="79" t="s">
        <v>278</v>
      </c>
      <c r="C34" s="80"/>
      <c r="D34" s="81" t="s">
        <v>279</v>
      </c>
    </row>
    <row r="35" spans="1:7">
      <c r="A35" s="82" t="s">
        <v>257</v>
      </c>
      <c r="B35" s="83" t="s">
        <v>280</v>
      </c>
      <c r="C35" s="84"/>
      <c r="D35" s="85">
        <f>ROUND(((D27/220)*(365.25/12)*(40/6)-1.57),2)</f>
        <v>985.34</v>
      </c>
    </row>
    <row r="36" spans="1:7">
      <c r="A36" s="191" t="s">
        <v>259</v>
      </c>
      <c r="B36" s="87" t="s">
        <v>281</v>
      </c>
      <c r="C36" s="88"/>
      <c r="D36" s="89">
        <v>0</v>
      </c>
    </row>
    <row r="37" spans="1:7">
      <c r="A37" s="191" t="s">
        <v>261</v>
      </c>
      <c r="B37" s="87" t="s">
        <v>282</v>
      </c>
      <c r="C37" s="90"/>
      <c r="D37" s="89">
        <v>0</v>
      </c>
    </row>
    <row r="38" spans="1:7">
      <c r="A38" s="191" t="s">
        <v>263</v>
      </c>
      <c r="B38" s="91" t="s">
        <v>552</v>
      </c>
      <c r="C38" s="88"/>
      <c r="D38" s="89">
        <v>0</v>
      </c>
    </row>
    <row r="39" spans="1:7">
      <c r="A39" s="191" t="s">
        <v>284</v>
      </c>
      <c r="B39" s="91" t="s">
        <v>285</v>
      </c>
      <c r="C39" s="92"/>
      <c r="D39" s="89">
        <v>0</v>
      </c>
    </row>
    <row r="40" spans="1:7">
      <c r="A40" s="191" t="s">
        <v>286</v>
      </c>
      <c r="B40" s="93" t="s">
        <v>287</v>
      </c>
      <c r="C40" s="92"/>
      <c r="D40" s="89">
        <v>0</v>
      </c>
    </row>
    <row r="41" spans="1:7">
      <c r="A41" s="191" t="s">
        <v>288</v>
      </c>
      <c r="B41" s="93" t="s">
        <v>289</v>
      </c>
      <c r="C41" s="92"/>
      <c r="D41" s="89">
        <v>0</v>
      </c>
    </row>
    <row r="42" spans="1:7" ht="16.5" thickBot="1">
      <c r="A42" s="191" t="s">
        <v>290</v>
      </c>
      <c r="B42" s="94" t="s">
        <v>376</v>
      </c>
      <c r="C42" s="95"/>
      <c r="D42" s="89">
        <v>0</v>
      </c>
    </row>
    <row r="43" spans="1:7" ht="16.5" thickBot="1">
      <c r="A43" s="96"/>
      <c r="B43" s="97" t="s">
        <v>292</v>
      </c>
      <c r="C43" s="98"/>
      <c r="D43" s="99">
        <f>SUM(D35:D42)</f>
        <v>985.34</v>
      </c>
    </row>
    <row r="44" spans="1:7">
      <c r="A44" s="190"/>
    </row>
    <row r="45" spans="1:7" ht="16.5" thickBot="1">
      <c r="A45" s="523" t="s">
        <v>293</v>
      </c>
      <c r="B45" s="523"/>
      <c r="C45" s="523"/>
      <c r="D45" s="523"/>
      <c r="E45" s="523"/>
      <c r="F45" s="523"/>
      <c r="G45" s="523"/>
    </row>
    <row r="46" spans="1:7" ht="16.5" thickBot="1">
      <c r="A46" s="100">
        <v>2</v>
      </c>
      <c r="B46" s="189" t="s">
        <v>294</v>
      </c>
      <c r="C46" s="102"/>
      <c r="D46" s="100" t="s">
        <v>279</v>
      </c>
    </row>
    <row r="47" spans="1:7">
      <c r="A47" s="82" t="s">
        <v>257</v>
      </c>
      <c r="B47" s="83" t="s">
        <v>295</v>
      </c>
      <c r="C47" s="103"/>
      <c r="D47" s="104">
        <f>(3.7*44)-(D35*6%)</f>
        <v>103.67960000000002</v>
      </c>
    </row>
    <row r="48" spans="1:7" ht="31.5">
      <c r="A48" s="105" t="s">
        <v>259</v>
      </c>
      <c r="B48" s="106" t="s">
        <v>296</v>
      </c>
      <c r="C48" s="90"/>
      <c r="D48" s="107">
        <f>330*(1-20%)</f>
        <v>264</v>
      </c>
    </row>
    <row r="49" spans="1:7">
      <c r="A49" s="191" t="s">
        <v>261</v>
      </c>
      <c r="B49" s="87" t="s">
        <v>389</v>
      </c>
      <c r="C49" s="90"/>
      <c r="D49" s="107">
        <v>50</v>
      </c>
    </row>
    <row r="50" spans="1:7">
      <c r="A50" s="191" t="s">
        <v>263</v>
      </c>
      <c r="B50" s="87" t="s">
        <v>297</v>
      </c>
      <c r="C50" s="88"/>
      <c r="D50" s="107">
        <v>0</v>
      </c>
    </row>
    <row r="51" spans="1:7">
      <c r="A51" s="191" t="s">
        <v>284</v>
      </c>
      <c r="B51" s="87" t="s">
        <v>390</v>
      </c>
      <c r="C51" s="92"/>
      <c r="D51" s="108">
        <v>16</v>
      </c>
    </row>
    <row r="52" spans="1:7" ht="16.5" customHeight="1">
      <c r="A52" s="191" t="s">
        <v>286</v>
      </c>
      <c r="B52" s="535" t="s">
        <v>377</v>
      </c>
      <c r="C52" s="536"/>
      <c r="D52" s="108">
        <v>16</v>
      </c>
    </row>
    <row r="53" spans="1:7" ht="16.5" thickBot="1">
      <c r="A53" s="109" t="s">
        <v>288</v>
      </c>
      <c r="B53" s="537" t="s">
        <v>291</v>
      </c>
      <c r="C53" s="538"/>
      <c r="D53" s="110">
        <v>0</v>
      </c>
    </row>
    <row r="54" spans="1:7" ht="16.5" thickBot="1">
      <c r="A54" s="111"/>
      <c r="B54" s="189" t="s">
        <v>298</v>
      </c>
      <c r="C54" s="112"/>
      <c r="D54" s="113">
        <f>SUM(D47:D53)</f>
        <v>449.67960000000005</v>
      </c>
    </row>
    <row r="55" spans="1:7" ht="33" customHeight="1">
      <c r="A55" s="522" t="s">
        <v>299</v>
      </c>
      <c r="B55" s="522"/>
      <c r="C55" s="522"/>
      <c r="D55" s="522"/>
    </row>
    <row r="56" spans="1:7">
      <c r="A56" s="190"/>
    </row>
    <row r="57" spans="1:7" ht="16.5" thickBot="1">
      <c r="A57" s="523" t="s">
        <v>300</v>
      </c>
      <c r="B57" s="523"/>
      <c r="C57" s="523"/>
      <c r="D57" s="523"/>
      <c r="E57" s="523"/>
      <c r="F57" s="523"/>
      <c r="G57" s="523"/>
    </row>
    <row r="58" spans="1:7" ht="16.5" thickBot="1">
      <c r="A58" s="114">
        <v>3</v>
      </c>
      <c r="B58" s="189" t="s">
        <v>301</v>
      </c>
      <c r="C58" s="102"/>
      <c r="D58" s="100" t="s">
        <v>279</v>
      </c>
    </row>
    <row r="59" spans="1:7">
      <c r="A59" s="82" t="s">
        <v>257</v>
      </c>
      <c r="B59" s="83" t="s">
        <v>302</v>
      </c>
      <c r="C59" s="115"/>
      <c r="D59" s="116">
        <f>'ANEXO IV'!D55</f>
        <v>33.333333333333336</v>
      </c>
    </row>
    <row r="60" spans="1:7">
      <c r="A60" s="105" t="s">
        <v>259</v>
      </c>
      <c r="B60" s="106" t="s">
        <v>15</v>
      </c>
      <c r="C60" s="90"/>
      <c r="D60" s="107">
        <v>0</v>
      </c>
    </row>
    <row r="61" spans="1:7">
      <c r="A61" s="191" t="s">
        <v>261</v>
      </c>
      <c r="B61" s="87" t="s">
        <v>21</v>
      </c>
      <c r="C61" s="90"/>
      <c r="D61" s="107">
        <v>0</v>
      </c>
    </row>
    <row r="62" spans="1:7">
      <c r="A62" s="191" t="s">
        <v>263</v>
      </c>
      <c r="B62" s="535" t="s">
        <v>18</v>
      </c>
      <c r="C62" s="536"/>
      <c r="D62" s="108">
        <v>0</v>
      </c>
    </row>
    <row r="63" spans="1:7" ht="16.5" thickBot="1">
      <c r="A63" s="109" t="s">
        <v>284</v>
      </c>
      <c r="B63" s="537" t="s">
        <v>291</v>
      </c>
      <c r="C63" s="538"/>
      <c r="D63" s="110">
        <v>0</v>
      </c>
    </row>
    <row r="64" spans="1:7" ht="16.5" thickBot="1">
      <c r="A64" s="111"/>
      <c r="B64" s="189" t="s">
        <v>303</v>
      </c>
      <c r="C64" s="112"/>
      <c r="D64" s="113">
        <f>SUM(D59:D63)</f>
        <v>33.333333333333336</v>
      </c>
    </row>
    <row r="65" spans="1:7">
      <c r="A65" s="522" t="s">
        <v>304</v>
      </c>
      <c r="B65" s="522"/>
      <c r="C65" s="522"/>
      <c r="D65" s="522"/>
      <c r="E65" s="522"/>
      <c r="F65" s="522"/>
      <c r="G65" s="522"/>
    </row>
    <row r="66" spans="1:7">
      <c r="A66" s="190"/>
    </row>
    <row r="67" spans="1:7">
      <c r="A67" s="523" t="s">
        <v>305</v>
      </c>
      <c r="B67" s="523"/>
      <c r="C67" s="523"/>
      <c r="D67" s="523"/>
      <c r="E67" s="523"/>
      <c r="F67" s="523"/>
      <c r="G67" s="523"/>
    </row>
    <row r="68" spans="1:7" ht="16.5" thickBot="1">
      <c r="A68" s="523" t="s">
        <v>306</v>
      </c>
      <c r="B68" s="523"/>
      <c r="C68" s="523"/>
      <c r="D68" s="523"/>
      <c r="E68" s="523"/>
      <c r="F68" s="523"/>
      <c r="G68" s="523"/>
    </row>
    <row r="69" spans="1:7" ht="16.5" thickBot="1">
      <c r="A69" s="117" t="s">
        <v>307</v>
      </c>
      <c r="B69" s="118" t="s">
        <v>308</v>
      </c>
      <c r="C69" s="117" t="s">
        <v>4</v>
      </c>
      <c r="D69" s="117" t="s">
        <v>279</v>
      </c>
    </row>
    <row r="70" spans="1:7">
      <c r="A70" s="82" t="s">
        <v>257</v>
      </c>
      <c r="B70" s="119" t="s">
        <v>8</v>
      </c>
      <c r="C70" s="120">
        <v>0.2</v>
      </c>
      <c r="D70" s="104">
        <f t="shared" ref="D70:D77" si="0">ROUND($D$43*C70,2)</f>
        <v>197.07</v>
      </c>
    </row>
    <row r="71" spans="1:7">
      <c r="A71" s="105" t="s">
        <v>259</v>
      </c>
      <c r="B71" s="121" t="s">
        <v>309</v>
      </c>
      <c r="C71" s="122">
        <v>1.4999999999999999E-2</v>
      </c>
      <c r="D71" s="107">
        <f t="shared" si="0"/>
        <v>14.78</v>
      </c>
    </row>
    <row r="72" spans="1:7">
      <c r="A72" s="191" t="s">
        <v>261</v>
      </c>
      <c r="B72" s="123" t="s">
        <v>310</v>
      </c>
      <c r="C72" s="122">
        <v>0.01</v>
      </c>
      <c r="D72" s="107">
        <f t="shared" si="0"/>
        <v>9.85</v>
      </c>
    </row>
    <row r="73" spans="1:7">
      <c r="A73" s="105" t="s">
        <v>263</v>
      </c>
      <c r="B73" s="121" t="s">
        <v>9</v>
      </c>
      <c r="C73" s="122">
        <v>2E-3</v>
      </c>
      <c r="D73" s="107">
        <f t="shared" si="0"/>
        <v>1.97</v>
      </c>
    </row>
    <row r="74" spans="1:7">
      <c r="A74" s="191" t="s">
        <v>284</v>
      </c>
      <c r="B74" s="123" t="s">
        <v>10</v>
      </c>
      <c r="C74" s="122">
        <v>2.5000000000000001E-2</v>
      </c>
      <c r="D74" s="107">
        <f t="shared" si="0"/>
        <v>24.63</v>
      </c>
    </row>
    <row r="75" spans="1:7">
      <c r="A75" s="105" t="s">
        <v>286</v>
      </c>
      <c r="B75" s="121" t="s">
        <v>11</v>
      </c>
      <c r="C75" s="122">
        <v>0.08</v>
      </c>
      <c r="D75" s="107">
        <f t="shared" si="0"/>
        <v>78.83</v>
      </c>
    </row>
    <row r="76" spans="1:7" ht="31.5">
      <c r="A76" s="191" t="s">
        <v>288</v>
      </c>
      <c r="B76" s="123" t="s">
        <v>378</v>
      </c>
      <c r="C76" s="141">
        <v>3.0499999999999999E-2</v>
      </c>
      <c r="D76" s="245">
        <f t="shared" si="0"/>
        <v>30.05</v>
      </c>
    </row>
    <row r="77" spans="1:7" ht="16.5" thickBot="1">
      <c r="A77" s="124" t="s">
        <v>290</v>
      </c>
      <c r="B77" s="125" t="s">
        <v>12</v>
      </c>
      <c r="C77" s="126">
        <v>6.0000000000000001E-3</v>
      </c>
      <c r="D77" s="110">
        <f t="shared" si="0"/>
        <v>5.91</v>
      </c>
    </row>
    <row r="78" spans="1:7" ht="16.5" thickBot="1">
      <c r="A78" s="530" t="s">
        <v>7</v>
      </c>
      <c r="B78" s="531"/>
      <c r="C78" s="127">
        <f>SUM(C70:C77)</f>
        <v>0.36850000000000005</v>
      </c>
      <c r="D78" s="113">
        <f>SUM(D70:D77)</f>
        <v>363.09000000000003</v>
      </c>
    </row>
    <row r="79" spans="1:7">
      <c r="A79" s="534" t="s">
        <v>311</v>
      </c>
      <c r="B79" s="534"/>
      <c r="C79" s="534"/>
      <c r="D79" s="534"/>
    </row>
    <row r="80" spans="1:7" ht="16.5" customHeight="1">
      <c r="A80" s="534" t="s">
        <v>312</v>
      </c>
      <c r="B80" s="534"/>
      <c r="C80" s="534"/>
      <c r="D80" s="534"/>
    </row>
    <row r="81" spans="1:7">
      <c r="A81" s="190"/>
    </row>
    <row r="82" spans="1:7" ht="16.5" thickBot="1">
      <c r="A82" s="523" t="s">
        <v>313</v>
      </c>
      <c r="B82" s="523"/>
      <c r="C82" s="523"/>
      <c r="D82" s="523"/>
      <c r="E82" s="523"/>
      <c r="F82" s="523"/>
      <c r="G82" s="523"/>
    </row>
    <row r="83" spans="1:7" ht="16.5" thickBot="1">
      <c r="A83" s="117" t="s">
        <v>314</v>
      </c>
      <c r="B83" s="118" t="s">
        <v>315</v>
      </c>
      <c r="C83" s="117" t="s">
        <v>4</v>
      </c>
      <c r="D83" s="117" t="s">
        <v>279</v>
      </c>
    </row>
    <row r="84" spans="1:7">
      <c r="A84" s="82" t="s">
        <v>257</v>
      </c>
      <c r="B84" s="119" t="s">
        <v>316</v>
      </c>
      <c r="C84" s="120">
        <f>((5/56)*100)/100</f>
        <v>8.9285714285714288E-2</v>
      </c>
      <c r="D84" s="104">
        <f>ROUND($D$43*C84,2)</f>
        <v>87.98</v>
      </c>
    </row>
    <row r="85" spans="1:7">
      <c r="A85" s="105" t="s">
        <v>259</v>
      </c>
      <c r="B85" s="121" t="s">
        <v>317</v>
      </c>
      <c r="C85" s="128">
        <f>(1/3)*(5/56)</f>
        <v>2.976190476190476E-2</v>
      </c>
      <c r="D85" s="129">
        <f>ROUND($D$43*C85,2)</f>
        <v>29.33</v>
      </c>
    </row>
    <row r="86" spans="1:7">
      <c r="A86" s="130" t="s">
        <v>318</v>
      </c>
      <c r="B86" s="121"/>
      <c r="C86" s="131">
        <f>SUM(C84:C85)</f>
        <v>0.11904761904761904</v>
      </c>
      <c r="D86" s="132">
        <f>SUM(D84:D85)</f>
        <v>117.31</v>
      </c>
    </row>
    <row r="87" spans="1:7" ht="32.25" thickBot="1">
      <c r="A87" s="105" t="s">
        <v>261</v>
      </c>
      <c r="B87" s="121" t="s">
        <v>319</v>
      </c>
      <c r="C87" s="122">
        <f>D87/D43</f>
        <v>4.3873180830982197E-2</v>
      </c>
      <c r="D87" s="107">
        <f>ROUND(D78*C86,2)</f>
        <v>43.23</v>
      </c>
    </row>
    <row r="88" spans="1:7" ht="16.5" thickBot="1">
      <c r="A88" s="530" t="s">
        <v>7</v>
      </c>
      <c r="B88" s="531"/>
      <c r="C88" s="127">
        <f>C87+C86</f>
        <v>0.16292079987860125</v>
      </c>
      <c r="D88" s="113">
        <f>D86+D87</f>
        <v>160.54</v>
      </c>
    </row>
    <row r="89" spans="1:7">
      <c r="A89" s="190"/>
    </row>
    <row r="90" spans="1:7" ht="16.5" thickBot="1">
      <c r="A90" s="523" t="s">
        <v>320</v>
      </c>
      <c r="B90" s="523"/>
      <c r="C90" s="523"/>
      <c r="D90" s="523"/>
      <c r="E90" s="523"/>
      <c r="F90" s="523"/>
      <c r="G90" s="523"/>
    </row>
    <row r="91" spans="1:7" ht="16.5" thickBot="1">
      <c r="A91" s="117" t="s">
        <v>321</v>
      </c>
      <c r="B91" s="118" t="s">
        <v>322</v>
      </c>
      <c r="C91" s="117" t="s">
        <v>4</v>
      </c>
      <c r="D91" s="117" t="s">
        <v>279</v>
      </c>
    </row>
    <row r="92" spans="1:7">
      <c r="A92" s="82" t="s">
        <v>257</v>
      </c>
      <c r="B92" s="133" t="s">
        <v>323</v>
      </c>
      <c r="C92" s="120">
        <f>0.1111*0.02*0.3333</f>
        <v>7.4059259999999997E-4</v>
      </c>
      <c r="D92" s="104">
        <f>ROUND($D$43*C92,2)</f>
        <v>0.73</v>
      </c>
    </row>
    <row r="93" spans="1:7" ht="32.25" thickBot="1">
      <c r="A93" s="109" t="s">
        <v>259</v>
      </c>
      <c r="B93" s="134" t="s">
        <v>324</v>
      </c>
      <c r="C93" s="126">
        <f>D93/D43</f>
        <v>2.7401709054742529E-4</v>
      </c>
      <c r="D93" s="110">
        <f>ROUND(D78*C92,2)</f>
        <v>0.27</v>
      </c>
    </row>
    <row r="94" spans="1:7" ht="16.5" thickBot="1">
      <c r="A94" s="530" t="s">
        <v>7</v>
      </c>
      <c r="B94" s="531"/>
      <c r="C94" s="127">
        <f>SUM(C92:C93)</f>
        <v>1.0146096905474253E-3</v>
      </c>
      <c r="D94" s="113">
        <f>SUM(D92:D93)</f>
        <v>1</v>
      </c>
    </row>
    <row r="95" spans="1:7">
      <c r="A95" s="190"/>
    </row>
    <row r="96" spans="1:7">
      <c r="A96" s="190"/>
    </row>
    <row r="97" spans="1:7" ht="16.5" thickBot="1">
      <c r="A97" s="523" t="s">
        <v>325</v>
      </c>
      <c r="B97" s="523"/>
      <c r="C97" s="523"/>
      <c r="D97" s="523"/>
      <c r="E97" s="523"/>
      <c r="F97" s="523"/>
      <c r="G97" s="523"/>
    </row>
    <row r="98" spans="1:7" ht="16.5" thickBot="1">
      <c r="A98" s="117" t="s">
        <v>326</v>
      </c>
      <c r="B98" s="118" t="s">
        <v>327</v>
      </c>
      <c r="C98" s="117" t="s">
        <v>4</v>
      </c>
      <c r="D98" s="117" t="s">
        <v>279</v>
      </c>
    </row>
    <row r="99" spans="1:7">
      <c r="A99" s="82" t="s">
        <v>257</v>
      </c>
      <c r="B99" s="133" t="s">
        <v>328</v>
      </c>
      <c r="C99" s="135">
        <f>((1/12)*0.05)</f>
        <v>4.1666666666666666E-3</v>
      </c>
      <c r="D99" s="104">
        <f>ROUND($D$43*C99,2)</f>
        <v>4.1100000000000003</v>
      </c>
    </row>
    <row r="100" spans="1:7" ht="31.5">
      <c r="A100" s="191" t="s">
        <v>259</v>
      </c>
      <c r="B100" s="91" t="s">
        <v>329</v>
      </c>
      <c r="C100" s="136">
        <f>D100/D43</f>
        <v>3.3490977733574199E-4</v>
      </c>
      <c r="D100" s="137">
        <f>ROUND(D75*C99,2)</f>
        <v>0.33</v>
      </c>
    </row>
    <row r="101" spans="1:7">
      <c r="A101" s="191" t="s">
        <v>261</v>
      </c>
      <c r="B101" s="138" t="s">
        <v>330</v>
      </c>
      <c r="C101" s="139">
        <f>0.08*0.5*0.9*(1+(5/56)+(5/56)+(1/3)*(5/56))</f>
        <v>4.3499999999999997E-2</v>
      </c>
      <c r="D101" s="107">
        <f>ROUND($D$43*C101,2)</f>
        <v>42.86</v>
      </c>
    </row>
    <row r="102" spans="1:7">
      <c r="A102" s="191" t="s">
        <v>263</v>
      </c>
      <c r="B102" s="138" t="s">
        <v>331</v>
      </c>
      <c r="C102" s="140">
        <f>(((7/30)/12))</f>
        <v>1.9444444444444445E-2</v>
      </c>
      <c r="D102" s="107">
        <f>ROUND($D$43*C102,2)</f>
        <v>19.16</v>
      </c>
    </row>
    <row r="103" spans="1:7" ht="31.5">
      <c r="A103" s="191" t="s">
        <v>284</v>
      </c>
      <c r="B103" s="138" t="s">
        <v>332</v>
      </c>
      <c r="C103" s="141">
        <f>D103/D43</f>
        <v>7.1650394787586003E-3</v>
      </c>
      <c r="D103" s="107">
        <f>ROUND(D78*C102,2)</f>
        <v>7.06</v>
      </c>
    </row>
    <row r="104" spans="1:7" ht="16.5" thickBot="1">
      <c r="A104" s="109" t="s">
        <v>286</v>
      </c>
      <c r="B104" s="134" t="s">
        <v>333</v>
      </c>
      <c r="C104" s="142">
        <f>(40%+10%)*C75*C102</f>
        <v>7.7777777777777784E-4</v>
      </c>
      <c r="D104" s="107">
        <f>ROUND($D$43*C104,2)</f>
        <v>0.77</v>
      </c>
    </row>
    <row r="105" spans="1:7" ht="16.5" thickBot="1">
      <c r="A105" s="525" t="s">
        <v>7</v>
      </c>
      <c r="B105" s="526"/>
      <c r="C105" s="127">
        <f>SUM(C99:C104)</f>
        <v>7.5388838144983233E-2</v>
      </c>
      <c r="D105" s="143">
        <f>SUM(D99:D104)</f>
        <v>74.289999999999992</v>
      </c>
    </row>
    <row r="106" spans="1:7">
      <c r="A106" s="71"/>
    </row>
    <row r="107" spans="1:7" ht="16.5" thickBot="1">
      <c r="A107" s="523" t="s">
        <v>334</v>
      </c>
      <c r="B107" s="523"/>
      <c r="C107" s="523"/>
      <c r="D107" s="523"/>
      <c r="E107" s="523"/>
      <c r="F107" s="523"/>
      <c r="G107" s="523"/>
    </row>
    <row r="108" spans="1:7" ht="32.25" thickBot="1">
      <c r="A108" s="117" t="s">
        <v>335</v>
      </c>
      <c r="B108" s="118" t="s">
        <v>336</v>
      </c>
      <c r="C108" s="117" t="s">
        <v>4</v>
      </c>
      <c r="D108" s="117" t="s">
        <v>279</v>
      </c>
    </row>
    <row r="109" spans="1:7">
      <c r="A109" s="82" t="s">
        <v>257</v>
      </c>
      <c r="B109" s="133" t="s">
        <v>13</v>
      </c>
      <c r="C109" s="144">
        <f>(5/56)</f>
        <v>8.9285714285714288E-2</v>
      </c>
      <c r="D109" s="107">
        <f t="shared" ref="D109:D114" si="1">ROUND($D$43*C109,2)</f>
        <v>87.98</v>
      </c>
    </row>
    <row r="110" spans="1:7">
      <c r="A110" s="191" t="s">
        <v>259</v>
      </c>
      <c r="B110" s="138" t="s">
        <v>379</v>
      </c>
      <c r="C110" s="122">
        <f>(10.96/30)/12</f>
        <v>3.0444444444444444E-2</v>
      </c>
      <c r="D110" s="107">
        <f t="shared" si="1"/>
        <v>30</v>
      </c>
      <c r="E110" s="184"/>
    </row>
    <row r="111" spans="1:7">
      <c r="A111" s="191" t="s">
        <v>261</v>
      </c>
      <c r="B111" s="138" t="s">
        <v>337</v>
      </c>
      <c r="C111" s="122">
        <f>((5/30)/12)*0.015</f>
        <v>2.0833333333333332E-4</v>
      </c>
      <c r="D111" s="107">
        <f t="shared" si="1"/>
        <v>0.21</v>
      </c>
    </row>
    <row r="112" spans="1:7">
      <c r="A112" s="191" t="s">
        <v>263</v>
      </c>
      <c r="B112" s="138" t="s">
        <v>338</v>
      </c>
      <c r="C112" s="122">
        <f>((1/30)/12)</f>
        <v>2.7777777777777779E-3</v>
      </c>
      <c r="D112" s="107">
        <f t="shared" si="1"/>
        <v>2.74</v>
      </c>
    </row>
    <row r="113" spans="1:7">
      <c r="A113" s="191" t="s">
        <v>284</v>
      </c>
      <c r="B113" s="138" t="s">
        <v>339</v>
      </c>
      <c r="C113" s="122">
        <f>((15/30)/12)*0.0078</f>
        <v>3.2499999999999999E-4</v>
      </c>
      <c r="D113" s="107">
        <f t="shared" si="1"/>
        <v>0.32</v>
      </c>
    </row>
    <row r="114" spans="1:7">
      <c r="A114" s="191" t="s">
        <v>286</v>
      </c>
      <c r="B114" s="138" t="s">
        <v>291</v>
      </c>
      <c r="C114" s="145"/>
      <c r="D114" s="107">
        <f t="shared" si="1"/>
        <v>0</v>
      </c>
    </row>
    <row r="115" spans="1:7">
      <c r="A115" s="532" t="s">
        <v>318</v>
      </c>
      <c r="B115" s="533"/>
      <c r="C115" s="122">
        <f>SUM(C109:C114)</f>
        <v>0.12304126984126985</v>
      </c>
      <c r="D115" s="107">
        <f>SUM(D109:D114)</f>
        <v>121.24999999999999</v>
      </c>
    </row>
    <row r="116" spans="1:7" ht="32.25" thickBot="1">
      <c r="A116" s="109" t="s">
        <v>288</v>
      </c>
      <c r="B116" s="134" t="s">
        <v>340</v>
      </c>
      <c r="C116" s="142">
        <f>D116/$D$43</f>
        <v>4.5344754095033184E-2</v>
      </c>
      <c r="D116" s="107">
        <f>ROUND(D78*C115,2)</f>
        <v>44.68</v>
      </c>
    </row>
    <row r="117" spans="1:7" ht="16.5" thickBot="1">
      <c r="A117" s="525" t="s">
        <v>7</v>
      </c>
      <c r="B117" s="526"/>
      <c r="C117" s="127">
        <f>C116+C115</f>
        <v>0.16838602393630303</v>
      </c>
      <c r="D117" s="146">
        <f>D116+D115</f>
        <v>165.92999999999998</v>
      </c>
    </row>
    <row r="118" spans="1:7">
      <c r="A118" s="190" t="s">
        <v>341</v>
      </c>
    </row>
    <row r="119" spans="1:7" ht="16.5" thickBot="1">
      <c r="A119" s="522" t="s">
        <v>342</v>
      </c>
      <c r="B119" s="522"/>
      <c r="C119" s="522"/>
      <c r="D119" s="522"/>
      <c r="E119" s="522"/>
      <c r="F119" s="522"/>
      <c r="G119" s="522"/>
    </row>
    <row r="120" spans="1:7" ht="32.25" customHeight="1" thickBot="1">
      <c r="A120" s="147">
        <v>4</v>
      </c>
      <c r="B120" s="148" t="s">
        <v>343</v>
      </c>
      <c r="C120" s="149" t="s">
        <v>4</v>
      </c>
      <c r="D120" s="150" t="s">
        <v>279</v>
      </c>
    </row>
    <row r="121" spans="1:7">
      <c r="A121" s="82" t="s">
        <v>307</v>
      </c>
      <c r="B121" s="133" t="s">
        <v>344</v>
      </c>
      <c r="C121" s="142">
        <f t="shared" ref="C121:C126" si="2">D121/$D$43</f>
        <v>0.16292853228327275</v>
      </c>
      <c r="D121" s="107">
        <f>D88</f>
        <v>160.54</v>
      </c>
    </row>
    <row r="122" spans="1:7">
      <c r="A122" s="191" t="s">
        <v>314</v>
      </c>
      <c r="B122" s="138" t="s">
        <v>308</v>
      </c>
      <c r="C122" s="142">
        <f t="shared" si="2"/>
        <v>0.36849209409949868</v>
      </c>
      <c r="D122" s="107">
        <f>D78</f>
        <v>363.09000000000003</v>
      </c>
    </row>
    <row r="123" spans="1:7">
      <c r="A123" s="191" t="s">
        <v>321</v>
      </c>
      <c r="B123" s="138" t="s">
        <v>323</v>
      </c>
      <c r="C123" s="142">
        <f t="shared" si="2"/>
        <v>1.0148781131386121E-3</v>
      </c>
      <c r="D123" s="107">
        <f>D94</f>
        <v>1</v>
      </c>
    </row>
    <row r="124" spans="1:7">
      <c r="A124" s="151" t="s">
        <v>326</v>
      </c>
      <c r="B124" s="152" t="s">
        <v>345</v>
      </c>
      <c r="C124" s="142">
        <f t="shared" si="2"/>
        <v>7.5395295025067477E-2</v>
      </c>
      <c r="D124" s="107">
        <f>D105</f>
        <v>74.289999999999992</v>
      </c>
    </row>
    <row r="125" spans="1:7">
      <c r="A125" s="153" t="s">
        <v>335</v>
      </c>
      <c r="B125" s="154" t="s">
        <v>346</v>
      </c>
      <c r="C125" s="142">
        <f t="shared" si="2"/>
        <v>0.16839872531308986</v>
      </c>
      <c r="D125" s="107">
        <f>D117</f>
        <v>165.92999999999998</v>
      </c>
    </row>
    <row r="126" spans="1:7" ht="16.5" thickBot="1">
      <c r="A126" s="191" t="s">
        <v>347</v>
      </c>
      <c r="B126" s="138" t="s">
        <v>291</v>
      </c>
      <c r="C126" s="142">
        <f t="shared" si="2"/>
        <v>0</v>
      </c>
      <c r="D126" s="107">
        <v>0</v>
      </c>
    </row>
    <row r="127" spans="1:7" ht="37.5" customHeight="1" thickBot="1">
      <c r="A127" s="530" t="s">
        <v>348</v>
      </c>
      <c r="B127" s="531"/>
      <c r="C127" s="127">
        <f>SUM(C121:C126)</f>
        <v>0.77622952483406737</v>
      </c>
      <c r="D127" s="113">
        <f>SUM(D121:D126)</f>
        <v>764.84999999999991</v>
      </c>
    </row>
    <row r="128" spans="1:7">
      <c r="A128" s="155"/>
      <c r="B128" s="155"/>
      <c r="C128" s="156"/>
      <c r="D128" s="157"/>
      <c r="E128" s="158"/>
      <c r="F128" s="159"/>
      <c r="G128" s="159"/>
    </row>
    <row r="129" spans="1:8" ht="16.5" thickBot="1">
      <c r="A129" s="522" t="s">
        <v>349</v>
      </c>
      <c r="B129" s="522"/>
      <c r="C129" s="522"/>
      <c r="D129" s="522"/>
      <c r="E129" s="522"/>
      <c r="F129" s="522"/>
      <c r="G129" s="522"/>
      <c r="H129" s="160"/>
    </row>
    <row r="130" spans="1:8" ht="16.5" thickBot="1">
      <c r="A130" s="147" t="s">
        <v>350</v>
      </c>
      <c r="B130" s="148" t="s">
        <v>351</v>
      </c>
      <c r="C130" s="149" t="s">
        <v>4</v>
      </c>
      <c r="D130" s="114" t="s">
        <v>279</v>
      </c>
      <c r="E130" s="161">
        <f>D43+D54+D64+D78+D88+D94+D105+D117</f>
        <v>2233.202933333333</v>
      </c>
      <c r="G130" s="160"/>
    </row>
    <row r="131" spans="1:8">
      <c r="A131" s="82" t="s">
        <v>257</v>
      </c>
      <c r="B131" s="133" t="s">
        <v>352</v>
      </c>
      <c r="C131" s="162">
        <v>7.2096999999999994E-2</v>
      </c>
      <c r="D131" s="163">
        <f>E130*C131</f>
        <v>161.0072318845333</v>
      </c>
      <c r="G131" s="160"/>
    </row>
    <row r="132" spans="1:8">
      <c r="A132" s="191" t="s">
        <v>259</v>
      </c>
      <c r="B132" s="138" t="s">
        <v>353</v>
      </c>
      <c r="C132" s="142"/>
      <c r="D132" s="164"/>
      <c r="F132" s="165"/>
    </row>
    <row r="133" spans="1:8">
      <c r="A133" s="191"/>
      <c r="B133" s="138" t="s">
        <v>354</v>
      </c>
      <c r="C133" s="142"/>
      <c r="D133" s="129"/>
      <c r="F133" s="182"/>
      <c r="G133" s="160"/>
    </row>
    <row r="134" spans="1:8">
      <c r="A134" s="191"/>
      <c r="B134" s="138" t="s">
        <v>355</v>
      </c>
      <c r="C134" s="142">
        <v>7.5999999999999998E-2</v>
      </c>
      <c r="D134" s="107">
        <f>$D$152*C134</f>
        <v>213.94680409977846</v>
      </c>
      <c r="E134" s="165">
        <f>D152</f>
        <v>2815.0895276286642</v>
      </c>
      <c r="G134" s="160"/>
    </row>
    <row r="135" spans="1:8">
      <c r="A135" s="191"/>
      <c r="B135" s="138" t="s">
        <v>356</v>
      </c>
      <c r="C135" s="142">
        <v>1.6500000000000001E-2</v>
      </c>
      <c r="D135" s="107">
        <f>$D$152*C135</f>
        <v>46.448977205872964</v>
      </c>
      <c r="E135" s="246"/>
      <c r="G135" s="160"/>
    </row>
    <row r="136" spans="1:8">
      <c r="A136" s="191"/>
      <c r="B136" s="138" t="s">
        <v>357</v>
      </c>
      <c r="C136" s="142"/>
      <c r="D136" s="107"/>
    </row>
    <row r="137" spans="1:8">
      <c r="A137" s="191"/>
      <c r="B137" s="138" t="s">
        <v>358</v>
      </c>
      <c r="C137" s="142">
        <v>0.04</v>
      </c>
      <c r="D137" s="107">
        <f>$D$152*C137</f>
        <v>112.60358110514657</v>
      </c>
      <c r="G137" s="160"/>
    </row>
    <row r="138" spans="1:8">
      <c r="A138" s="191"/>
      <c r="B138" s="138" t="s">
        <v>359</v>
      </c>
      <c r="C138" s="142"/>
      <c r="D138" s="107"/>
    </row>
    <row r="139" spans="1:8" ht="16.5" thickBot="1">
      <c r="A139" s="191" t="s">
        <v>261</v>
      </c>
      <c r="B139" s="138" t="s">
        <v>360</v>
      </c>
      <c r="C139" s="142">
        <v>0.02</v>
      </c>
      <c r="D139" s="107">
        <f>ROUND(E139*C139,2)</f>
        <v>47.88</v>
      </c>
      <c r="E139" s="132">
        <f>E130+D131</f>
        <v>2394.2101652178662</v>
      </c>
    </row>
    <row r="140" spans="1:8" ht="33" customHeight="1" thickBot="1">
      <c r="A140" s="527" t="s">
        <v>361</v>
      </c>
      <c r="B140" s="528"/>
      <c r="C140" s="529"/>
      <c r="D140" s="166">
        <f>D131+D134+D135+D137+D139</f>
        <v>581.88659429533129</v>
      </c>
    </row>
    <row r="141" spans="1:8">
      <c r="A141" s="522" t="s">
        <v>362</v>
      </c>
      <c r="B141" s="522"/>
      <c r="C141" s="522"/>
      <c r="D141" s="522"/>
      <c r="E141" s="522"/>
      <c r="F141" s="522"/>
      <c r="G141" s="522"/>
    </row>
    <row r="142" spans="1:8">
      <c r="A142" s="522" t="s">
        <v>363</v>
      </c>
      <c r="B142" s="522"/>
      <c r="C142" s="522"/>
      <c r="D142" s="522"/>
      <c r="E142" s="522"/>
      <c r="F142" s="522"/>
      <c r="G142" s="522"/>
    </row>
    <row r="143" spans="1:8">
      <c r="A143" s="190"/>
    </row>
    <row r="144" spans="1:8" ht="16.5" thickBot="1">
      <c r="A144" s="523" t="s">
        <v>364</v>
      </c>
      <c r="B144" s="523"/>
      <c r="C144" s="523"/>
      <c r="D144" s="523"/>
      <c r="E144" s="523"/>
      <c r="F144" s="523"/>
      <c r="G144" s="523"/>
    </row>
    <row r="145" spans="1:8" ht="32.25" customHeight="1" thickBot="1">
      <c r="A145" s="147"/>
      <c r="B145" s="524" t="s">
        <v>365</v>
      </c>
      <c r="C145" s="524"/>
      <c r="D145" s="167" t="s">
        <v>366</v>
      </c>
    </row>
    <row r="146" spans="1:8">
      <c r="A146" s="191" t="s">
        <v>257</v>
      </c>
      <c r="B146" s="138" t="s">
        <v>367</v>
      </c>
      <c r="C146" s="122">
        <f t="shared" ref="C146:C151" si="3">D146/$D$152</f>
        <v>0.35002083959653568</v>
      </c>
      <c r="D146" s="129">
        <f>D43</f>
        <v>985.34</v>
      </c>
    </row>
    <row r="147" spans="1:8">
      <c r="A147" s="191" t="s">
        <v>259</v>
      </c>
      <c r="B147" s="138" t="s">
        <v>368</v>
      </c>
      <c r="C147" s="122">
        <f t="shared" si="3"/>
        <v>0.15973900495406088</v>
      </c>
      <c r="D147" s="129">
        <f>D54</f>
        <v>449.67960000000005</v>
      </c>
    </row>
    <row r="148" spans="1:8" ht="31.5">
      <c r="A148" s="191" t="s">
        <v>261</v>
      </c>
      <c r="B148" s="138" t="s">
        <v>369</v>
      </c>
      <c r="C148" s="122">
        <f t="shared" si="3"/>
        <v>1.184094964163083E-2</v>
      </c>
      <c r="D148" s="129">
        <f>D64</f>
        <v>33.333333333333336</v>
      </c>
      <c r="E148" s="165">
        <f>D150+D131+D139</f>
        <v>2442.0901652178663</v>
      </c>
    </row>
    <row r="149" spans="1:8" ht="31.5">
      <c r="A149" s="191" t="s">
        <v>263</v>
      </c>
      <c r="B149" s="138" t="s">
        <v>370</v>
      </c>
      <c r="C149" s="122">
        <f t="shared" si="3"/>
        <v>0.27169651000204015</v>
      </c>
      <c r="D149" s="129">
        <f>D127</f>
        <v>764.84999999999991</v>
      </c>
      <c r="E149" s="174">
        <f>C137+C135+C134</f>
        <v>0.13250000000000001</v>
      </c>
    </row>
    <row r="150" spans="1:8" ht="16.5" customHeight="1">
      <c r="A150" s="168" t="s">
        <v>371</v>
      </c>
      <c r="B150" s="169"/>
      <c r="C150" s="131">
        <f t="shared" si="3"/>
        <v>0.79329730419426747</v>
      </c>
      <c r="D150" s="170">
        <f>SUM(D146:D149)</f>
        <v>2233.202933333333</v>
      </c>
      <c r="E150" s="174">
        <f>100%-E149</f>
        <v>0.86749999999999994</v>
      </c>
    </row>
    <row r="151" spans="1:8" ht="32.25" thickBot="1">
      <c r="A151" s="191" t="s">
        <v>284</v>
      </c>
      <c r="B151" s="138" t="s">
        <v>372</v>
      </c>
      <c r="C151" s="122">
        <f t="shared" si="3"/>
        <v>0.20670269580573261</v>
      </c>
      <c r="D151" s="129">
        <f>D140</f>
        <v>581.88659429533129</v>
      </c>
      <c r="G151" s="171"/>
    </row>
    <row r="152" spans="1:8" ht="16.5" customHeight="1" thickBot="1">
      <c r="A152" s="525" t="s">
        <v>373</v>
      </c>
      <c r="B152" s="526"/>
      <c r="C152" s="127">
        <f>C151+C150</f>
        <v>1</v>
      </c>
      <c r="D152" s="166">
        <f>(D150+D139+D131)/0.8675</f>
        <v>2815.0895276286642</v>
      </c>
      <c r="E152" s="171"/>
      <c r="F152" s="165">
        <f>D150+D151</f>
        <v>2815.0895276286642</v>
      </c>
      <c r="H152" s="172"/>
    </row>
    <row r="153" spans="1:8">
      <c r="E153" s="171"/>
    </row>
    <row r="154" spans="1:8">
      <c r="A154" s="186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1.299212598425197" right="0.51181102362204722" top="2.1653543307086616" bottom="0.98425196850393704" header="0.31496062992125984" footer="0.31496062992125984"/>
  <pageSetup paperSize="9" scale="80" fitToHeight="4" orientation="portrait" r:id="rId1"/>
  <headerFooter alignWithMargins="0"/>
  <rowBreaks count="3" manualBreakCount="3">
    <brk id="43" max="3" man="1"/>
    <brk id="88" max="3" man="1"/>
    <brk id="128" max="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154"/>
  <sheetViews>
    <sheetView showGridLines="0" view="pageBreakPreview" topLeftCell="A133" zoomScale="90" zoomScaleSheetLayoutView="90" workbookViewId="0">
      <selection activeCell="E135" sqref="E135"/>
    </sheetView>
  </sheetViews>
  <sheetFormatPr defaultRowHeight="15.75"/>
  <cols>
    <col min="1" max="1" width="9.28515625" style="53" customWidth="1"/>
    <col min="2" max="2" width="39.85546875" style="53" customWidth="1"/>
    <col min="3" max="3" width="18.28515625" style="53" customWidth="1"/>
    <col min="4" max="4" width="23.85546875" style="53" customWidth="1"/>
    <col min="5" max="5" width="16" style="53" bestFit="1" customWidth="1"/>
    <col min="6" max="6" width="13.7109375" style="53" bestFit="1" customWidth="1"/>
    <col min="7" max="7" width="15.7109375" style="53" bestFit="1" customWidth="1"/>
    <col min="8" max="8" width="13.140625" style="53" bestFit="1" customWidth="1"/>
    <col min="9" max="9" width="11.85546875" style="53" bestFit="1" customWidth="1"/>
    <col min="10" max="10" width="12.85546875" style="53" bestFit="1" customWidth="1"/>
    <col min="11" max="256" width="9.140625" style="53"/>
    <col min="257" max="257" width="9.28515625" style="53" customWidth="1"/>
    <col min="258" max="258" width="39.85546875" style="53" customWidth="1"/>
    <col min="259" max="259" width="18.28515625" style="53" customWidth="1"/>
    <col min="260" max="260" width="23.85546875" style="53" customWidth="1"/>
    <col min="261" max="261" width="16" style="53" bestFit="1" customWidth="1"/>
    <col min="262" max="262" width="13.7109375" style="53" bestFit="1" customWidth="1"/>
    <col min="263" max="263" width="15.7109375" style="53" bestFit="1" customWidth="1"/>
    <col min="264" max="264" width="13.140625" style="53" bestFit="1" customWidth="1"/>
    <col min="265" max="265" width="11.85546875" style="53" bestFit="1" customWidth="1"/>
    <col min="266" max="266" width="12.85546875" style="53" bestFit="1" customWidth="1"/>
    <col min="267" max="512" width="9.140625" style="53"/>
    <col min="513" max="513" width="9.28515625" style="53" customWidth="1"/>
    <col min="514" max="514" width="39.85546875" style="53" customWidth="1"/>
    <col min="515" max="515" width="18.28515625" style="53" customWidth="1"/>
    <col min="516" max="516" width="23.85546875" style="53" customWidth="1"/>
    <col min="517" max="517" width="16" style="53" bestFit="1" customWidth="1"/>
    <col min="518" max="518" width="13.7109375" style="53" bestFit="1" customWidth="1"/>
    <col min="519" max="519" width="15.7109375" style="53" bestFit="1" customWidth="1"/>
    <col min="520" max="520" width="13.140625" style="53" bestFit="1" customWidth="1"/>
    <col min="521" max="521" width="11.85546875" style="53" bestFit="1" customWidth="1"/>
    <col min="522" max="522" width="12.85546875" style="53" bestFit="1" customWidth="1"/>
    <col min="523" max="768" width="9.140625" style="53"/>
    <col min="769" max="769" width="9.28515625" style="53" customWidth="1"/>
    <col min="770" max="770" width="39.85546875" style="53" customWidth="1"/>
    <col min="771" max="771" width="18.28515625" style="53" customWidth="1"/>
    <col min="772" max="772" width="23.85546875" style="53" customWidth="1"/>
    <col min="773" max="773" width="16" style="53" bestFit="1" customWidth="1"/>
    <col min="774" max="774" width="13.7109375" style="53" bestFit="1" customWidth="1"/>
    <col min="775" max="775" width="15.7109375" style="53" bestFit="1" customWidth="1"/>
    <col min="776" max="776" width="13.140625" style="53" bestFit="1" customWidth="1"/>
    <col min="777" max="777" width="11.85546875" style="53" bestFit="1" customWidth="1"/>
    <col min="778" max="778" width="12.85546875" style="53" bestFit="1" customWidth="1"/>
    <col min="779" max="1024" width="9.140625" style="53"/>
    <col min="1025" max="1025" width="9.28515625" style="53" customWidth="1"/>
    <col min="1026" max="1026" width="39.85546875" style="53" customWidth="1"/>
    <col min="1027" max="1027" width="18.28515625" style="53" customWidth="1"/>
    <col min="1028" max="1028" width="23.85546875" style="53" customWidth="1"/>
    <col min="1029" max="1029" width="16" style="53" bestFit="1" customWidth="1"/>
    <col min="1030" max="1030" width="13.7109375" style="53" bestFit="1" customWidth="1"/>
    <col min="1031" max="1031" width="15.7109375" style="53" bestFit="1" customWidth="1"/>
    <col min="1032" max="1032" width="13.140625" style="53" bestFit="1" customWidth="1"/>
    <col min="1033" max="1033" width="11.85546875" style="53" bestFit="1" customWidth="1"/>
    <col min="1034" max="1034" width="12.85546875" style="53" bestFit="1" customWidth="1"/>
    <col min="1035" max="1280" width="9.140625" style="53"/>
    <col min="1281" max="1281" width="9.28515625" style="53" customWidth="1"/>
    <col min="1282" max="1282" width="39.85546875" style="53" customWidth="1"/>
    <col min="1283" max="1283" width="18.28515625" style="53" customWidth="1"/>
    <col min="1284" max="1284" width="23.85546875" style="53" customWidth="1"/>
    <col min="1285" max="1285" width="16" style="53" bestFit="1" customWidth="1"/>
    <col min="1286" max="1286" width="13.7109375" style="53" bestFit="1" customWidth="1"/>
    <col min="1287" max="1287" width="15.7109375" style="53" bestFit="1" customWidth="1"/>
    <col min="1288" max="1288" width="13.140625" style="53" bestFit="1" customWidth="1"/>
    <col min="1289" max="1289" width="11.85546875" style="53" bestFit="1" customWidth="1"/>
    <col min="1290" max="1290" width="12.85546875" style="53" bestFit="1" customWidth="1"/>
    <col min="1291" max="1536" width="9.140625" style="53"/>
    <col min="1537" max="1537" width="9.28515625" style="53" customWidth="1"/>
    <col min="1538" max="1538" width="39.85546875" style="53" customWidth="1"/>
    <col min="1539" max="1539" width="18.28515625" style="53" customWidth="1"/>
    <col min="1540" max="1540" width="23.85546875" style="53" customWidth="1"/>
    <col min="1541" max="1541" width="16" style="53" bestFit="1" customWidth="1"/>
    <col min="1542" max="1542" width="13.7109375" style="53" bestFit="1" customWidth="1"/>
    <col min="1543" max="1543" width="15.7109375" style="53" bestFit="1" customWidth="1"/>
    <col min="1544" max="1544" width="13.140625" style="53" bestFit="1" customWidth="1"/>
    <col min="1545" max="1545" width="11.85546875" style="53" bestFit="1" customWidth="1"/>
    <col min="1546" max="1546" width="12.85546875" style="53" bestFit="1" customWidth="1"/>
    <col min="1547" max="1792" width="9.140625" style="53"/>
    <col min="1793" max="1793" width="9.28515625" style="53" customWidth="1"/>
    <col min="1794" max="1794" width="39.85546875" style="53" customWidth="1"/>
    <col min="1795" max="1795" width="18.28515625" style="53" customWidth="1"/>
    <col min="1796" max="1796" width="23.85546875" style="53" customWidth="1"/>
    <col min="1797" max="1797" width="16" style="53" bestFit="1" customWidth="1"/>
    <col min="1798" max="1798" width="13.7109375" style="53" bestFit="1" customWidth="1"/>
    <col min="1799" max="1799" width="15.7109375" style="53" bestFit="1" customWidth="1"/>
    <col min="1800" max="1800" width="13.140625" style="53" bestFit="1" customWidth="1"/>
    <col min="1801" max="1801" width="11.85546875" style="53" bestFit="1" customWidth="1"/>
    <col min="1802" max="1802" width="12.85546875" style="53" bestFit="1" customWidth="1"/>
    <col min="1803" max="2048" width="9.140625" style="53"/>
    <col min="2049" max="2049" width="9.28515625" style="53" customWidth="1"/>
    <col min="2050" max="2050" width="39.85546875" style="53" customWidth="1"/>
    <col min="2051" max="2051" width="18.28515625" style="53" customWidth="1"/>
    <col min="2052" max="2052" width="23.85546875" style="53" customWidth="1"/>
    <col min="2053" max="2053" width="16" style="53" bestFit="1" customWidth="1"/>
    <col min="2054" max="2054" width="13.7109375" style="53" bestFit="1" customWidth="1"/>
    <col min="2055" max="2055" width="15.7109375" style="53" bestFit="1" customWidth="1"/>
    <col min="2056" max="2056" width="13.140625" style="53" bestFit="1" customWidth="1"/>
    <col min="2057" max="2057" width="11.85546875" style="53" bestFit="1" customWidth="1"/>
    <col min="2058" max="2058" width="12.85546875" style="53" bestFit="1" customWidth="1"/>
    <col min="2059" max="2304" width="9.140625" style="53"/>
    <col min="2305" max="2305" width="9.28515625" style="53" customWidth="1"/>
    <col min="2306" max="2306" width="39.85546875" style="53" customWidth="1"/>
    <col min="2307" max="2307" width="18.28515625" style="53" customWidth="1"/>
    <col min="2308" max="2308" width="23.85546875" style="53" customWidth="1"/>
    <col min="2309" max="2309" width="16" style="53" bestFit="1" customWidth="1"/>
    <col min="2310" max="2310" width="13.7109375" style="53" bestFit="1" customWidth="1"/>
    <col min="2311" max="2311" width="15.7109375" style="53" bestFit="1" customWidth="1"/>
    <col min="2312" max="2312" width="13.140625" style="53" bestFit="1" customWidth="1"/>
    <col min="2313" max="2313" width="11.85546875" style="53" bestFit="1" customWidth="1"/>
    <col min="2314" max="2314" width="12.85546875" style="53" bestFit="1" customWidth="1"/>
    <col min="2315" max="2560" width="9.140625" style="53"/>
    <col min="2561" max="2561" width="9.28515625" style="53" customWidth="1"/>
    <col min="2562" max="2562" width="39.85546875" style="53" customWidth="1"/>
    <col min="2563" max="2563" width="18.28515625" style="53" customWidth="1"/>
    <col min="2564" max="2564" width="23.85546875" style="53" customWidth="1"/>
    <col min="2565" max="2565" width="16" style="53" bestFit="1" customWidth="1"/>
    <col min="2566" max="2566" width="13.7109375" style="53" bestFit="1" customWidth="1"/>
    <col min="2567" max="2567" width="15.7109375" style="53" bestFit="1" customWidth="1"/>
    <col min="2568" max="2568" width="13.140625" style="53" bestFit="1" customWidth="1"/>
    <col min="2569" max="2569" width="11.85546875" style="53" bestFit="1" customWidth="1"/>
    <col min="2570" max="2570" width="12.85546875" style="53" bestFit="1" customWidth="1"/>
    <col min="2571" max="2816" width="9.140625" style="53"/>
    <col min="2817" max="2817" width="9.28515625" style="53" customWidth="1"/>
    <col min="2818" max="2818" width="39.85546875" style="53" customWidth="1"/>
    <col min="2819" max="2819" width="18.28515625" style="53" customWidth="1"/>
    <col min="2820" max="2820" width="23.85546875" style="53" customWidth="1"/>
    <col min="2821" max="2821" width="16" style="53" bestFit="1" customWidth="1"/>
    <col min="2822" max="2822" width="13.7109375" style="53" bestFit="1" customWidth="1"/>
    <col min="2823" max="2823" width="15.7109375" style="53" bestFit="1" customWidth="1"/>
    <col min="2824" max="2824" width="13.140625" style="53" bestFit="1" customWidth="1"/>
    <col min="2825" max="2825" width="11.85546875" style="53" bestFit="1" customWidth="1"/>
    <col min="2826" max="2826" width="12.85546875" style="53" bestFit="1" customWidth="1"/>
    <col min="2827" max="3072" width="9.140625" style="53"/>
    <col min="3073" max="3073" width="9.28515625" style="53" customWidth="1"/>
    <col min="3074" max="3074" width="39.85546875" style="53" customWidth="1"/>
    <col min="3075" max="3075" width="18.28515625" style="53" customWidth="1"/>
    <col min="3076" max="3076" width="23.85546875" style="53" customWidth="1"/>
    <col min="3077" max="3077" width="16" style="53" bestFit="1" customWidth="1"/>
    <col min="3078" max="3078" width="13.7109375" style="53" bestFit="1" customWidth="1"/>
    <col min="3079" max="3079" width="15.7109375" style="53" bestFit="1" customWidth="1"/>
    <col min="3080" max="3080" width="13.140625" style="53" bestFit="1" customWidth="1"/>
    <col min="3081" max="3081" width="11.85546875" style="53" bestFit="1" customWidth="1"/>
    <col min="3082" max="3082" width="12.85546875" style="53" bestFit="1" customWidth="1"/>
    <col min="3083" max="3328" width="9.140625" style="53"/>
    <col min="3329" max="3329" width="9.28515625" style="53" customWidth="1"/>
    <col min="3330" max="3330" width="39.85546875" style="53" customWidth="1"/>
    <col min="3331" max="3331" width="18.28515625" style="53" customWidth="1"/>
    <col min="3332" max="3332" width="23.85546875" style="53" customWidth="1"/>
    <col min="3333" max="3333" width="16" style="53" bestFit="1" customWidth="1"/>
    <col min="3334" max="3334" width="13.7109375" style="53" bestFit="1" customWidth="1"/>
    <col min="3335" max="3335" width="15.7109375" style="53" bestFit="1" customWidth="1"/>
    <col min="3336" max="3336" width="13.140625" style="53" bestFit="1" customWidth="1"/>
    <col min="3337" max="3337" width="11.85546875" style="53" bestFit="1" customWidth="1"/>
    <col min="3338" max="3338" width="12.85546875" style="53" bestFit="1" customWidth="1"/>
    <col min="3339" max="3584" width="9.140625" style="53"/>
    <col min="3585" max="3585" width="9.28515625" style="53" customWidth="1"/>
    <col min="3586" max="3586" width="39.85546875" style="53" customWidth="1"/>
    <col min="3587" max="3587" width="18.28515625" style="53" customWidth="1"/>
    <col min="3588" max="3588" width="23.85546875" style="53" customWidth="1"/>
    <col min="3589" max="3589" width="16" style="53" bestFit="1" customWidth="1"/>
    <col min="3590" max="3590" width="13.7109375" style="53" bestFit="1" customWidth="1"/>
    <col min="3591" max="3591" width="15.7109375" style="53" bestFit="1" customWidth="1"/>
    <col min="3592" max="3592" width="13.140625" style="53" bestFit="1" customWidth="1"/>
    <col min="3593" max="3593" width="11.85546875" style="53" bestFit="1" customWidth="1"/>
    <col min="3594" max="3594" width="12.85546875" style="53" bestFit="1" customWidth="1"/>
    <col min="3595" max="3840" width="9.140625" style="53"/>
    <col min="3841" max="3841" width="9.28515625" style="53" customWidth="1"/>
    <col min="3842" max="3842" width="39.85546875" style="53" customWidth="1"/>
    <col min="3843" max="3843" width="18.28515625" style="53" customWidth="1"/>
    <col min="3844" max="3844" width="23.85546875" style="53" customWidth="1"/>
    <col min="3845" max="3845" width="16" style="53" bestFit="1" customWidth="1"/>
    <col min="3846" max="3846" width="13.7109375" style="53" bestFit="1" customWidth="1"/>
    <col min="3847" max="3847" width="15.7109375" style="53" bestFit="1" customWidth="1"/>
    <col min="3848" max="3848" width="13.140625" style="53" bestFit="1" customWidth="1"/>
    <col min="3849" max="3849" width="11.85546875" style="53" bestFit="1" customWidth="1"/>
    <col min="3850" max="3850" width="12.85546875" style="53" bestFit="1" customWidth="1"/>
    <col min="3851" max="4096" width="9.140625" style="53"/>
    <col min="4097" max="4097" width="9.28515625" style="53" customWidth="1"/>
    <col min="4098" max="4098" width="39.85546875" style="53" customWidth="1"/>
    <col min="4099" max="4099" width="18.28515625" style="53" customWidth="1"/>
    <col min="4100" max="4100" width="23.85546875" style="53" customWidth="1"/>
    <col min="4101" max="4101" width="16" style="53" bestFit="1" customWidth="1"/>
    <col min="4102" max="4102" width="13.7109375" style="53" bestFit="1" customWidth="1"/>
    <col min="4103" max="4103" width="15.7109375" style="53" bestFit="1" customWidth="1"/>
    <col min="4104" max="4104" width="13.140625" style="53" bestFit="1" customWidth="1"/>
    <col min="4105" max="4105" width="11.85546875" style="53" bestFit="1" customWidth="1"/>
    <col min="4106" max="4106" width="12.85546875" style="53" bestFit="1" customWidth="1"/>
    <col min="4107" max="4352" width="9.140625" style="53"/>
    <col min="4353" max="4353" width="9.28515625" style="53" customWidth="1"/>
    <col min="4354" max="4354" width="39.85546875" style="53" customWidth="1"/>
    <col min="4355" max="4355" width="18.28515625" style="53" customWidth="1"/>
    <col min="4356" max="4356" width="23.85546875" style="53" customWidth="1"/>
    <col min="4357" max="4357" width="16" style="53" bestFit="1" customWidth="1"/>
    <col min="4358" max="4358" width="13.7109375" style="53" bestFit="1" customWidth="1"/>
    <col min="4359" max="4359" width="15.7109375" style="53" bestFit="1" customWidth="1"/>
    <col min="4360" max="4360" width="13.140625" style="53" bestFit="1" customWidth="1"/>
    <col min="4361" max="4361" width="11.85546875" style="53" bestFit="1" customWidth="1"/>
    <col min="4362" max="4362" width="12.85546875" style="53" bestFit="1" customWidth="1"/>
    <col min="4363" max="4608" width="9.140625" style="53"/>
    <col min="4609" max="4609" width="9.28515625" style="53" customWidth="1"/>
    <col min="4610" max="4610" width="39.85546875" style="53" customWidth="1"/>
    <col min="4611" max="4611" width="18.28515625" style="53" customWidth="1"/>
    <col min="4612" max="4612" width="23.85546875" style="53" customWidth="1"/>
    <col min="4613" max="4613" width="16" style="53" bestFit="1" customWidth="1"/>
    <col min="4614" max="4614" width="13.7109375" style="53" bestFit="1" customWidth="1"/>
    <col min="4615" max="4615" width="15.7109375" style="53" bestFit="1" customWidth="1"/>
    <col min="4616" max="4616" width="13.140625" style="53" bestFit="1" customWidth="1"/>
    <col min="4617" max="4617" width="11.85546875" style="53" bestFit="1" customWidth="1"/>
    <col min="4618" max="4618" width="12.85546875" style="53" bestFit="1" customWidth="1"/>
    <col min="4619" max="4864" width="9.140625" style="53"/>
    <col min="4865" max="4865" width="9.28515625" style="53" customWidth="1"/>
    <col min="4866" max="4866" width="39.85546875" style="53" customWidth="1"/>
    <col min="4867" max="4867" width="18.28515625" style="53" customWidth="1"/>
    <col min="4868" max="4868" width="23.85546875" style="53" customWidth="1"/>
    <col min="4869" max="4869" width="16" style="53" bestFit="1" customWidth="1"/>
    <col min="4870" max="4870" width="13.7109375" style="53" bestFit="1" customWidth="1"/>
    <col min="4871" max="4871" width="15.7109375" style="53" bestFit="1" customWidth="1"/>
    <col min="4872" max="4872" width="13.140625" style="53" bestFit="1" customWidth="1"/>
    <col min="4873" max="4873" width="11.85546875" style="53" bestFit="1" customWidth="1"/>
    <col min="4874" max="4874" width="12.85546875" style="53" bestFit="1" customWidth="1"/>
    <col min="4875" max="5120" width="9.140625" style="53"/>
    <col min="5121" max="5121" width="9.28515625" style="53" customWidth="1"/>
    <col min="5122" max="5122" width="39.85546875" style="53" customWidth="1"/>
    <col min="5123" max="5123" width="18.28515625" style="53" customWidth="1"/>
    <col min="5124" max="5124" width="23.85546875" style="53" customWidth="1"/>
    <col min="5125" max="5125" width="16" style="53" bestFit="1" customWidth="1"/>
    <col min="5126" max="5126" width="13.7109375" style="53" bestFit="1" customWidth="1"/>
    <col min="5127" max="5127" width="15.7109375" style="53" bestFit="1" customWidth="1"/>
    <col min="5128" max="5128" width="13.140625" style="53" bestFit="1" customWidth="1"/>
    <col min="5129" max="5129" width="11.85546875" style="53" bestFit="1" customWidth="1"/>
    <col min="5130" max="5130" width="12.85546875" style="53" bestFit="1" customWidth="1"/>
    <col min="5131" max="5376" width="9.140625" style="53"/>
    <col min="5377" max="5377" width="9.28515625" style="53" customWidth="1"/>
    <col min="5378" max="5378" width="39.85546875" style="53" customWidth="1"/>
    <col min="5379" max="5379" width="18.28515625" style="53" customWidth="1"/>
    <col min="5380" max="5380" width="23.85546875" style="53" customWidth="1"/>
    <col min="5381" max="5381" width="16" style="53" bestFit="1" customWidth="1"/>
    <col min="5382" max="5382" width="13.7109375" style="53" bestFit="1" customWidth="1"/>
    <col min="5383" max="5383" width="15.7109375" style="53" bestFit="1" customWidth="1"/>
    <col min="5384" max="5384" width="13.140625" style="53" bestFit="1" customWidth="1"/>
    <col min="5385" max="5385" width="11.85546875" style="53" bestFit="1" customWidth="1"/>
    <col min="5386" max="5386" width="12.85546875" style="53" bestFit="1" customWidth="1"/>
    <col min="5387" max="5632" width="9.140625" style="53"/>
    <col min="5633" max="5633" width="9.28515625" style="53" customWidth="1"/>
    <col min="5634" max="5634" width="39.85546875" style="53" customWidth="1"/>
    <col min="5635" max="5635" width="18.28515625" style="53" customWidth="1"/>
    <col min="5636" max="5636" width="23.85546875" style="53" customWidth="1"/>
    <col min="5637" max="5637" width="16" style="53" bestFit="1" customWidth="1"/>
    <col min="5638" max="5638" width="13.7109375" style="53" bestFit="1" customWidth="1"/>
    <col min="5639" max="5639" width="15.7109375" style="53" bestFit="1" customWidth="1"/>
    <col min="5640" max="5640" width="13.140625" style="53" bestFit="1" customWidth="1"/>
    <col min="5641" max="5641" width="11.85546875" style="53" bestFit="1" customWidth="1"/>
    <col min="5642" max="5642" width="12.85546875" style="53" bestFit="1" customWidth="1"/>
    <col min="5643" max="5888" width="9.140625" style="53"/>
    <col min="5889" max="5889" width="9.28515625" style="53" customWidth="1"/>
    <col min="5890" max="5890" width="39.85546875" style="53" customWidth="1"/>
    <col min="5891" max="5891" width="18.28515625" style="53" customWidth="1"/>
    <col min="5892" max="5892" width="23.85546875" style="53" customWidth="1"/>
    <col min="5893" max="5893" width="16" style="53" bestFit="1" customWidth="1"/>
    <col min="5894" max="5894" width="13.7109375" style="53" bestFit="1" customWidth="1"/>
    <col min="5895" max="5895" width="15.7109375" style="53" bestFit="1" customWidth="1"/>
    <col min="5896" max="5896" width="13.140625" style="53" bestFit="1" customWidth="1"/>
    <col min="5897" max="5897" width="11.85546875" style="53" bestFit="1" customWidth="1"/>
    <col min="5898" max="5898" width="12.85546875" style="53" bestFit="1" customWidth="1"/>
    <col min="5899" max="6144" width="9.140625" style="53"/>
    <col min="6145" max="6145" width="9.28515625" style="53" customWidth="1"/>
    <col min="6146" max="6146" width="39.85546875" style="53" customWidth="1"/>
    <col min="6147" max="6147" width="18.28515625" style="53" customWidth="1"/>
    <col min="6148" max="6148" width="23.85546875" style="53" customWidth="1"/>
    <col min="6149" max="6149" width="16" style="53" bestFit="1" customWidth="1"/>
    <col min="6150" max="6150" width="13.7109375" style="53" bestFit="1" customWidth="1"/>
    <col min="6151" max="6151" width="15.7109375" style="53" bestFit="1" customWidth="1"/>
    <col min="6152" max="6152" width="13.140625" style="53" bestFit="1" customWidth="1"/>
    <col min="6153" max="6153" width="11.85546875" style="53" bestFit="1" customWidth="1"/>
    <col min="6154" max="6154" width="12.85546875" style="53" bestFit="1" customWidth="1"/>
    <col min="6155" max="6400" width="9.140625" style="53"/>
    <col min="6401" max="6401" width="9.28515625" style="53" customWidth="1"/>
    <col min="6402" max="6402" width="39.85546875" style="53" customWidth="1"/>
    <col min="6403" max="6403" width="18.28515625" style="53" customWidth="1"/>
    <col min="6404" max="6404" width="23.85546875" style="53" customWidth="1"/>
    <col min="6405" max="6405" width="16" style="53" bestFit="1" customWidth="1"/>
    <col min="6406" max="6406" width="13.7109375" style="53" bestFit="1" customWidth="1"/>
    <col min="6407" max="6407" width="15.7109375" style="53" bestFit="1" customWidth="1"/>
    <col min="6408" max="6408" width="13.140625" style="53" bestFit="1" customWidth="1"/>
    <col min="6409" max="6409" width="11.85546875" style="53" bestFit="1" customWidth="1"/>
    <col min="6410" max="6410" width="12.85546875" style="53" bestFit="1" customWidth="1"/>
    <col min="6411" max="6656" width="9.140625" style="53"/>
    <col min="6657" max="6657" width="9.28515625" style="53" customWidth="1"/>
    <col min="6658" max="6658" width="39.85546875" style="53" customWidth="1"/>
    <col min="6659" max="6659" width="18.28515625" style="53" customWidth="1"/>
    <col min="6660" max="6660" width="23.85546875" style="53" customWidth="1"/>
    <col min="6661" max="6661" width="16" style="53" bestFit="1" customWidth="1"/>
    <col min="6662" max="6662" width="13.7109375" style="53" bestFit="1" customWidth="1"/>
    <col min="6663" max="6663" width="15.7109375" style="53" bestFit="1" customWidth="1"/>
    <col min="6664" max="6664" width="13.140625" style="53" bestFit="1" customWidth="1"/>
    <col min="6665" max="6665" width="11.85546875" style="53" bestFit="1" customWidth="1"/>
    <col min="6666" max="6666" width="12.85546875" style="53" bestFit="1" customWidth="1"/>
    <col min="6667" max="6912" width="9.140625" style="53"/>
    <col min="6913" max="6913" width="9.28515625" style="53" customWidth="1"/>
    <col min="6914" max="6914" width="39.85546875" style="53" customWidth="1"/>
    <col min="6915" max="6915" width="18.28515625" style="53" customWidth="1"/>
    <col min="6916" max="6916" width="23.85546875" style="53" customWidth="1"/>
    <col min="6917" max="6917" width="16" style="53" bestFit="1" customWidth="1"/>
    <col min="6918" max="6918" width="13.7109375" style="53" bestFit="1" customWidth="1"/>
    <col min="6919" max="6919" width="15.7109375" style="53" bestFit="1" customWidth="1"/>
    <col min="6920" max="6920" width="13.140625" style="53" bestFit="1" customWidth="1"/>
    <col min="6921" max="6921" width="11.85546875" style="53" bestFit="1" customWidth="1"/>
    <col min="6922" max="6922" width="12.85546875" style="53" bestFit="1" customWidth="1"/>
    <col min="6923" max="7168" width="9.140625" style="53"/>
    <col min="7169" max="7169" width="9.28515625" style="53" customWidth="1"/>
    <col min="7170" max="7170" width="39.85546875" style="53" customWidth="1"/>
    <col min="7171" max="7171" width="18.28515625" style="53" customWidth="1"/>
    <col min="7172" max="7172" width="23.85546875" style="53" customWidth="1"/>
    <col min="7173" max="7173" width="16" style="53" bestFit="1" customWidth="1"/>
    <col min="7174" max="7174" width="13.7109375" style="53" bestFit="1" customWidth="1"/>
    <col min="7175" max="7175" width="15.7109375" style="53" bestFit="1" customWidth="1"/>
    <col min="7176" max="7176" width="13.140625" style="53" bestFit="1" customWidth="1"/>
    <col min="7177" max="7177" width="11.85546875" style="53" bestFit="1" customWidth="1"/>
    <col min="7178" max="7178" width="12.85546875" style="53" bestFit="1" customWidth="1"/>
    <col min="7179" max="7424" width="9.140625" style="53"/>
    <col min="7425" max="7425" width="9.28515625" style="53" customWidth="1"/>
    <col min="7426" max="7426" width="39.85546875" style="53" customWidth="1"/>
    <col min="7427" max="7427" width="18.28515625" style="53" customWidth="1"/>
    <col min="7428" max="7428" width="23.85546875" style="53" customWidth="1"/>
    <col min="7429" max="7429" width="16" style="53" bestFit="1" customWidth="1"/>
    <col min="7430" max="7430" width="13.7109375" style="53" bestFit="1" customWidth="1"/>
    <col min="7431" max="7431" width="15.7109375" style="53" bestFit="1" customWidth="1"/>
    <col min="7432" max="7432" width="13.140625" style="53" bestFit="1" customWidth="1"/>
    <col min="7433" max="7433" width="11.85546875" style="53" bestFit="1" customWidth="1"/>
    <col min="7434" max="7434" width="12.85546875" style="53" bestFit="1" customWidth="1"/>
    <col min="7435" max="7680" width="9.140625" style="53"/>
    <col min="7681" max="7681" width="9.28515625" style="53" customWidth="1"/>
    <col min="7682" max="7682" width="39.85546875" style="53" customWidth="1"/>
    <col min="7683" max="7683" width="18.28515625" style="53" customWidth="1"/>
    <col min="7684" max="7684" width="23.85546875" style="53" customWidth="1"/>
    <col min="7685" max="7685" width="16" style="53" bestFit="1" customWidth="1"/>
    <col min="7686" max="7686" width="13.7109375" style="53" bestFit="1" customWidth="1"/>
    <col min="7687" max="7687" width="15.7109375" style="53" bestFit="1" customWidth="1"/>
    <col min="7688" max="7688" width="13.140625" style="53" bestFit="1" customWidth="1"/>
    <col min="7689" max="7689" width="11.85546875" style="53" bestFit="1" customWidth="1"/>
    <col min="7690" max="7690" width="12.85546875" style="53" bestFit="1" customWidth="1"/>
    <col min="7691" max="7936" width="9.140625" style="53"/>
    <col min="7937" max="7937" width="9.28515625" style="53" customWidth="1"/>
    <col min="7938" max="7938" width="39.85546875" style="53" customWidth="1"/>
    <col min="7939" max="7939" width="18.28515625" style="53" customWidth="1"/>
    <col min="7940" max="7940" width="23.85546875" style="53" customWidth="1"/>
    <col min="7941" max="7941" width="16" style="53" bestFit="1" customWidth="1"/>
    <col min="7942" max="7942" width="13.7109375" style="53" bestFit="1" customWidth="1"/>
    <col min="7943" max="7943" width="15.7109375" style="53" bestFit="1" customWidth="1"/>
    <col min="7944" max="7944" width="13.140625" style="53" bestFit="1" customWidth="1"/>
    <col min="7945" max="7945" width="11.85546875" style="53" bestFit="1" customWidth="1"/>
    <col min="7946" max="7946" width="12.85546875" style="53" bestFit="1" customWidth="1"/>
    <col min="7947" max="8192" width="9.140625" style="53"/>
    <col min="8193" max="8193" width="9.28515625" style="53" customWidth="1"/>
    <col min="8194" max="8194" width="39.85546875" style="53" customWidth="1"/>
    <col min="8195" max="8195" width="18.28515625" style="53" customWidth="1"/>
    <col min="8196" max="8196" width="23.85546875" style="53" customWidth="1"/>
    <col min="8197" max="8197" width="16" style="53" bestFit="1" customWidth="1"/>
    <col min="8198" max="8198" width="13.7109375" style="53" bestFit="1" customWidth="1"/>
    <col min="8199" max="8199" width="15.7109375" style="53" bestFit="1" customWidth="1"/>
    <col min="8200" max="8200" width="13.140625" style="53" bestFit="1" customWidth="1"/>
    <col min="8201" max="8201" width="11.85546875" style="53" bestFit="1" customWidth="1"/>
    <col min="8202" max="8202" width="12.85546875" style="53" bestFit="1" customWidth="1"/>
    <col min="8203" max="8448" width="9.140625" style="53"/>
    <col min="8449" max="8449" width="9.28515625" style="53" customWidth="1"/>
    <col min="8450" max="8450" width="39.85546875" style="53" customWidth="1"/>
    <col min="8451" max="8451" width="18.28515625" style="53" customWidth="1"/>
    <col min="8452" max="8452" width="23.85546875" style="53" customWidth="1"/>
    <col min="8453" max="8453" width="16" style="53" bestFit="1" customWidth="1"/>
    <col min="8454" max="8454" width="13.7109375" style="53" bestFit="1" customWidth="1"/>
    <col min="8455" max="8455" width="15.7109375" style="53" bestFit="1" customWidth="1"/>
    <col min="8456" max="8456" width="13.140625" style="53" bestFit="1" customWidth="1"/>
    <col min="8457" max="8457" width="11.85546875" style="53" bestFit="1" customWidth="1"/>
    <col min="8458" max="8458" width="12.85546875" style="53" bestFit="1" customWidth="1"/>
    <col min="8459" max="8704" width="9.140625" style="53"/>
    <col min="8705" max="8705" width="9.28515625" style="53" customWidth="1"/>
    <col min="8706" max="8706" width="39.85546875" style="53" customWidth="1"/>
    <col min="8707" max="8707" width="18.28515625" style="53" customWidth="1"/>
    <col min="8708" max="8708" width="23.85546875" style="53" customWidth="1"/>
    <col min="8709" max="8709" width="16" style="53" bestFit="1" customWidth="1"/>
    <col min="8710" max="8710" width="13.7109375" style="53" bestFit="1" customWidth="1"/>
    <col min="8711" max="8711" width="15.7109375" style="53" bestFit="1" customWidth="1"/>
    <col min="8712" max="8712" width="13.140625" style="53" bestFit="1" customWidth="1"/>
    <col min="8713" max="8713" width="11.85546875" style="53" bestFit="1" customWidth="1"/>
    <col min="8714" max="8714" width="12.85546875" style="53" bestFit="1" customWidth="1"/>
    <col min="8715" max="8960" width="9.140625" style="53"/>
    <col min="8961" max="8961" width="9.28515625" style="53" customWidth="1"/>
    <col min="8962" max="8962" width="39.85546875" style="53" customWidth="1"/>
    <col min="8963" max="8963" width="18.28515625" style="53" customWidth="1"/>
    <col min="8964" max="8964" width="23.85546875" style="53" customWidth="1"/>
    <col min="8965" max="8965" width="16" style="53" bestFit="1" customWidth="1"/>
    <col min="8966" max="8966" width="13.7109375" style="53" bestFit="1" customWidth="1"/>
    <col min="8967" max="8967" width="15.7109375" style="53" bestFit="1" customWidth="1"/>
    <col min="8968" max="8968" width="13.140625" style="53" bestFit="1" customWidth="1"/>
    <col min="8969" max="8969" width="11.85546875" style="53" bestFit="1" customWidth="1"/>
    <col min="8970" max="8970" width="12.85546875" style="53" bestFit="1" customWidth="1"/>
    <col min="8971" max="9216" width="9.140625" style="53"/>
    <col min="9217" max="9217" width="9.28515625" style="53" customWidth="1"/>
    <col min="9218" max="9218" width="39.85546875" style="53" customWidth="1"/>
    <col min="9219" max="9219" width="18.28515625" style="53" customWidth="1"/>
    <col min="9220" max="9220" width="23.85546875" style="53" customWidth="1"/>
    <col min="9221" max="9221" width="16" style="53" bestFit="1" customWidth="1"/>
    <col min="9222" max="9222" width="13.7109375" style="53" bestFit="1" customWidth="1"/>
    <col min="9223" max="9223" width="15.7109375" style="53" bestFit="1" customWidth="1"/>
    <col min="9224" max="9224" width="13.140625" style="53" bestFit="1" customWidth="1"/>
    <col min="9225" max="9225" width="11.85546875" style="53" bestFit="1" customWidth="1"/>
    <col min="9226" max="9226" width="12.85546875" style="53" bestFit="1" customWidth="1"/>
    <col min="9227" max="9472" width="9.140625" style="53"/>
    <col min="9473" max="9473" width="9.28515625" style="53" customWidth="1"/>
    <col min="9474" max="9474" width="39.85546875" style="53" customWidth="1"/>
    <col min="9475" max="9475" width="18.28515625" style="53" customWidth="1"/>
    <col min="9476" max="9476" width="23.85546875" style="53" customWidth="1"/>
    <col min="9477" max="9477" width="16" style="53" bestFit="1" customWidth="1"/>
    <col min="9478" max="9478" width="13.7109375" style="53" bestFit="1" customWidth="1"/>
    <col min="9479" max="9479" width="15.7109375" style="53" bestFit="1" customWidth="1"/>
    <col min="9480" max="9480" width="13.140625" style="53" bestFit="1" customWidth="1"/>
    <col min="9481" max="9481" width="11.85546875" style="53" bestFit="1" customWidth="1"/>
    <col min="9482" max="9482" width="12.85546875" style="53" bestFit="1" customWidth="1"/>
    <col min="9483" max="9728" width="9.140625" style="53"/>
    <col min="9729" max="9729" width="9.28515625" style="53" customWidth="1"/>
    <col min="9730" max="9730" width="39.85546875" style="53" customWidth="1"/>
    <col min="9731" max="9731" width="18.28515625" style="53" customWidth="1"/>
    <col min="9732" max="9732" width="23.85546875" style="53" customWidth="1"/>
    <col min="9733" max="9733" width="16" style="53" bestFit="1" customWidth="1"/>
    <col min="9734" max="9734" width="13.7109375" style="53" bestFit="1" customWidth="1"/>
    <col min="9735" max="9735" width="15.7109375" style="53" bestFit="1" customWidth="1"/>
    <col min="9736" max="9736" width="13.140625" style="53" bestFit="1" customWidth="1"/>
    <col min="9737" max="9737" width="11.85546875" style="53" bestFit="1" customWidth="1"/>
    <col min="9738" max="9738" width="12.85546875" style="53" bestFit="1" customWidth="1"/>
    <col min="9739" max="9984" width="9.140625" style="53"/>
    <col min="9985" max="9985" width="9.28515625" style="53" customWidth="1"/>
    <col min="9986" max="9986" width="39.85546875" style="53" customWidth="1"/>
    <col min="9987" max="9987" width="18.28515625" style="53" customWidth="1"/>
    <col min="9988" max="9988" width="23.85546875" style="53" customWidth="1"/>
    <col min="9989" max="9989" width="16" style="53" bestFit="1" customWidth="1"/>
    <col min="9990" max="9990" width="13.7109375" style="53" bestFit="1" customWidth="1"/>
    <col min="9991" max="9991" width="15.7109375" style="53" bestFit="1" customWidth="1"/>
    <col min="9992" max="9992" width="13.140625" style="53" bestFit="1" customWidth="1"/>
    <col min="9993" max="9993" width="11.85546875" style="53" bestFit="1" customWidth="1"/>
    <col min="9994" max="9994" width="12.85546875" style="53" bestFit="1" customWidth="1"/>
    <col min="9995" max="10240" width="9.140625" style="53"/>
    <col min="10241" max="10241" width="9.28515625" style="53" customWidth="1"/>
    <col min="10242" max="10242" width="39.85546875" style="53" customWidth="1"/>
    <col min="10243" max="10243" width="18.28515625" style="53" customWidth="1"/>
    <col min="10244" max="10244" width="23.85546875" style="53" customWidth="1"/>
    <col min="10245" max="10245" width="16" style="53" bestFit="1" customWidth="1"/>
    <col min="10246" max="10246" width="13.7109375" style="53" bestFit="1" customWidth="1"/>
    <col min="10247" max="10247" width="15.7109375" style="53" bestFit="1" customWidth="1"/>
    <col min="10248" max="10248" width="13.140625" style="53" bestFit="1" customWidth="1"/>
    <col min="10249" max="10249" width="11.85546875" style="53" bestFit="1" customWidth="1"/>
    <col min="10250" max="10250" width="12.85546875" style="53" bestFit="1" customWidth="1"/>
    <col min="10251" max="10496" width="9.140625" style="53"/>
    <col min="10497" max="10497" width="9.28515625" style="53" customWidth="1"/>
    <col min="10498" max="10498" width="39.85546875" style="53" customWidth="1"/>
    <col min="10499" max="10499" width="18.28515625" style="53" customWidth="1"/>
    <col min="10500" max="10500" width="23.85546875" style="53" customWidth="1"/>
    <col min="10501" max="10501" width="16" style="53" bestFit="1" customWidth="1"/>
    <col min="10502" max="10502" width="13.7109375" style="53" bestFit="1" customWidth="1"/>
    <col min="10503" max="10503" width="15.7109375" style="53" bestFit="1" customWidth="1"/>
    <col min="10504" max="10504" width="13.140625" style="53" bestFit="1" customWidth="1"/>
    <col min="10505" max="10505" width="11.85546875" style="53" bestFit="1" customWidth="1"/>
    <col min="10506" max="10506" width="12.85546875" style="53" bestFit="1" customWidth="1"/>
    <col min="10507" max="10752" width="9.140625" style="53"/>
    <col min="10753" max="10753" width="9.28515625" style="53" customWidth="1"/>
    <col min="10754" max="10754" width="39.85546875" style="53" customWidth="1"/>
    <col min="10755" max="10755" width="18.28515625" style="53" customWidth="1"/>
    <col min="10756" max="10756" width="23.85546875" style="53" customWidth="1"/>
    <col min="10757" max="10757" width="16" style="53" bestFit="1" customWidth="1"/>
    <col min="10758" max="10758" width="13.7109375" style="53" bestFit="1" customWidth="1"/>
    <col min="10759" max="10759" width="15.7109375" style="53" bestFit="1" customWidth="1"/>
    <col min="10760" max="10760" width="13.140625" style="53" bestFit="1" customWidth="1"/>
    <col min="10761" max="10761" width="11.85546875" style="53" bestFit="1" customWidth="1"/>
    <col min="10762" max="10762" width="12.85546875" style="53" bestFit="1" customWidth="1"/>
    <col min="10763" max="11008" width="9.140625" style="53"/>
    <col min="11009" max="11009" width="9.28515625" style="53" customWidth="1"/>
    <col min="11010" max="11010" width="39.85546875" style="53" customWidth="1"/>
    <col min="11011" max="11011" width="18.28515625" style="53" customWidth="1"/>
    <col min="11012" max="11012" width="23.85546875" style="53" customWidth="1"/>
    <col min="11013" max="11013" width="16" style="53" bestFit="1" customWidth="1"/>
    <col min="11014" max="11014" width="13.7109375" style="53" bestFit="1" customWidth="1"/>
    <col min="11015" max="11015" width="15.7109375" style="53" bestFit="1" customWidth="1"/>
    <col min="11016" max="11016" width="13.140625" style="53" bestFit="1" customWidth="1"/>
    <col min="11017" max="11017" width="11.85546875" style="53" bestFit="1" customWidth="1"/>
    <col min="11018" max="11018" width="12.85546875" style="53" bestFit="1" customWidth="1"/>
    <col min="11019" max="11264" width="9.140625" style="53"/>
    <col min="11265" max="11265" width="9.28515625" style="53" customWidth="1"/>
    <col min="11266" max="11266" width="39.85546875" style="53" customWidth="1"/>
    <col min="11267" max="11267" width="18.28515625" style="53" customWidth="1"/>
    <col min="11268" max="11268" width="23.85546875" style="53" customWidth="1"/>
    <col min="11269" max="11269" width="16" style="53" bestFit="1" customWidth="1"/>
    <col min="11270" max="11270" width="13.7109375" style="53" bestFit="1" customWidth="1"/>
    <col min="11271" max="11271" width="15.7109375" style="53" bestFit="1" customWidth="1"/>
    <col min="11272" max="11272" width="13.140625" style="53" bestFit="1" customWidth="1"/>
    <col min="11273" max="11273" width="11.85546875" style="53" bestFit="1" customWidth="1"/>
    <col min="11274" max="11274" width="12.85546875" style="53" bestFit="1" customWidth="1"/>
    <col min="11275" max="11520" width="9.140625" style="53"/>
    <col min="11521" max="11521" width="9.28515625" style="53" customWidth="1"/>
    <col min="11522" max="11522" width="39.85546875" style="53" customWidth="1"/>
    <col min="11523" max="11523" width="18.28515625" style="53" customWidth="1"/>
    <col min="11524" max="11524" width="23.85546875" style="53" customWidth="1"/>
    <col min="11525" max="11525" width="16" style="53" bestFit="1" customWidth="1"/>
    <col min="11526" max="11526" width="13.7109375" style="53" bestFit="1" customWidth="1"/>
    <col min="11527" max="11527" width="15.7109375" style="53" bestFit="1" customWidth="1"/>
    <col min="11528" max="11528" width="13.140625" style="53" bestFit="1" customWidth="1"/>
    <col min="11529" max="11529" width="11.85546875" style="53" bestFit="1" customWidth="1"/>
    <col min="11530" max="11530" width="12.85546875" style="53" bestFit="1" customWidth="1"/>
    <col min="11531" max="11776" width="9.140625" style="53"/>
    <col min="11777" max="11777" width="9.28515625" style="53" customWidth="1"/>
    <col min="11778" max="11778" width="39.85546875" style="53" customWidth="1"/>
    <col min="11779" max="11779" width="18.28515625" style="53" customWidth="1"/>
    <col min="11780" max="11780" width="23.85546875" style="53" customWidth="1"/>
    <col min="11781" max="11781" width="16" style="53" bestFit="1" customWidth="1"/>
    <col min="11782" max="11782" width="13.7109375" style="53" bestFit="1" customWidth="1"/>
    <col min="11783" max="11783" width="15.7109375" style="53" bestFit="1" customWidth="1"/>
    <col min="11784" max="11784" width="13.140625" style="53" bestFit="1" customWidth="1"/>
    <col min="11785" max="11785" width="11.85546875" style="53" bestFit="1" customWidth="1"/>
    <col min="11786" max="11786" width="12.85546875" style="53" bestFit="1" customWidth="1"/>
    <col min="11787" max="12032" width="9.140625" style="53"/>
    <col min="12033" max="12033" width="9.28515625" style="53" customWidth="1"/>
    <col min="12034" max="12034" width="39.85546875" style="53" customWidth="1"/>
    <col min="12035" max="12035" width="18.28515625" style="53" customWidth="1"/>
    <col min="12036" max="12036" width="23.85546875" style="53" customWidth="1"/>
    <col min="12037" max="12037" width="16" style="53" bestFit="1" customWidth="1"/>
    <col min="12038" max="12038" width="13.7109375" style="53" bestFit="1" customWidth="1"/>
    <col min="12039" max="12039" width="15.7109375" style="53" bestFit="1" customWidth="1"/>
    <col min="12040" max="12040" width="13.140625" style="53" bestFit="1" customWidth="1"/>
    <col min="12041" max="12041" width="11.85546875" style="53" bestFit="1" customWidth="1"/>
    <col min="12042" max="12042" width="12.85546875" style="53" bestFit="1" customWidth="1"/>
    <col min="12043" max="12288" width="9.140625" style="53"/>
    <col min="12289" max="12289" width="9.28515625" style="53" customWidth="1"/>
    <col min="12290" max="12290" width="39.85546875" style="53" customWidth="1"/>
    <col min="12291" max="12291" width="18.28515625" style="53" customWidth="1"/>
    <col min="12292" max="12292" width="23.85546875" style="53" customWidth="1"/>
    <col min="12293" max="12293" width="16" style="53" bestFit="1" customWidth="1"/>
    <col min="12294" max="12294" width="13.7109375" style="53" bestFit="1" customWidth="1"/>
    <col min="12295" max="12295" width="15.7109375" style="53" bestFit="1" customWidth="1"/>
    <col min="12296" max="12296" width="13.140625" style="53" bestFit="1" customWidth="1"/>
    <col min="12297" max="12297" width="11.85546875" style="53" bestFit="1" customWidth="1"/>
    <col min="12298" max="12298" width="12.85546875" style="53" bestFit="1" customWidth="1"/>
    <col min="12299" max="12544" width="9.140625" style="53"/>
    <col min="12545" max="12545" width="9.28515625" style="53" customWidth="1"/>
    <col min="12546" max="12546" width="39.85546875" style="53" customWidth="1"/>
    <col min="12547" max="12547" width="18.28515625" style="53" customWidth="1"/>
    <col min="12548" max="12548" width="23.85546875" style="53" customWidth="1"/>
    <col min="12549" max="12549" width="16" style="53" bestFit="1" customWidth="1"/>
    <col min="12550" max="12550" width="13.7109375" style="53" bestFit="1" customWidth="1"/>
    <col min="12551" max="12551" width="15.7109375" style="53" bestFit="1" customWidth="1"/>
    <col min="12552" max="12552" width="13.140625" style="53" bestFit="1" customWidth="1"/>
    <col min="12553" max="12553" width="11.85546875" style="53" bestFit="1" customWidth="1"/>
    <col min="12554" max="12554" width="12.85546875" style="53" bestFit="1" customWidth="1"/>
    <col min="12555" max="12800" width="9.140625" style="53"/>
    <col min="12801" max="12801" width="9.28515625" style="53" customWidth="1"/>
    <col min="12802" max="12802" width="39.85546875" style="53" customWidth="1"/>
    <col min="12803" max="12803" width="18.28515625" style="53" customWidth="1"/>
    <col min="12804" max="12804" width="23.85546875" style="53" customWidth="1"/>
    <col min="12805" max="12805" width="16" style="53" bestFit="1" customWidth="1"/>
    <col min="12806" max="12806" width="13.7109375" style="53" bestFit="1" customWidth="1"/>
    <col min="12807" max="12807" width="15.7109375" style="53" bestFit="1" customWidth="1"/>
    <col min="12808" max="12808" width="13.140625" style="53" bestFit="1" customWidth="1"/>
    <col min="12809" max="12809" width="11.85546875" style="53" bestFit="1" customWidth="1"/>
    <col min="12810" max="12810" width="12.85546875" style="53" bestFit="1" customWidth="1"/>
    <col min="12811" max="13056" width="9.140625" style="53"/>
    <col min="13057" max="13057" width="9.28515625" style="53" customWidth="1"/>
    <col min="13058" max="13058" width="39.85546875" style="53" customWidth="1"/>
    <col min="13059" max="13059" width="18.28515625" style="53" customWidth="1"/>
    <col min="13060" max="13060" width="23.85546875" style="53" customWidth="1"/>
    <col min="13061" max="13061" width="16" style="53" bestFit="1" customWidth="1"/>
    <col min="13062" max="13062" width="13.7109375" style="53" bestFit="1" customWidth="1"/>
    <col min="13063" max="13063" width="15.7109375" style="53" bestFit="1" customWidth="1"/>
    <col min="13064" max="13064" width="13.140625" style="53" bestFit="1" customWidth="1"/>
    <col min="13065" max="13065" width="11.85546875" style="53" bestFit="1" customWidth="1"/>
    <col min="13066" max="13066" width="12.85546875" style="53" bestFit="1" customWidth="1"/>
    <col min="13067" max="13312" width="9.140625" style="53"/>
    <col min="13313" max="13313" width="9.28515625" style="53" customWidth="1"/>
    <col min="13314" max="13314" width="39.85546875" style="53" customWidth="1"/>
    <col min="13315" max="13315" width="18.28515625" style="53" customWidth="1"/>
    <col min="13316" max="13316" width="23.85546875" style="53" customWidth="1"/>
    <col min="13317" max="13317" width="16" style="53" bestFit="1" customWidth="1"/>
    <col min="13318" max="13318" width="13.7109375" style="53" bestFit="1" customWidth="1"/>
    <col min="13319" max="13319" width="15.7109375" style="53" bestFit="1" customWidth="1"/>
    <col min="13320" max="13320" width="13.140625" style="53" bestFit="1" customWidth="1"/>
    <col min="13321" max="13321" width="11.85546875" style="53" bestFit="1" customWidth="1"/>
    <col min="13322" max="13322" width="12.85546875" style="53" bestFit="1" customWidth="1"/>
    <col min="13323" max="13568" width="9.140625" style="53"/>
    <col min="13569" max="13569" width="9.28515625" style="53" customWidth="1"/>
    <col min="13570" max="13570" width="39.85546875" style="53" customWidth="1"/>
    <col min="13571" max="13571" width="18.28515625" style="53" customWidth="1"/>
    <col min="13572" max="13572" width="23.85546875" style="53" customWidth="1"/>
    <col min="13573" max="13573" width="16" style="53" bestFit="1" customWidth="1"/>
    <col min="13574" max="13574" width="13.7109375" style="53" bestFit="1" customWidth="1"/>
    <col min="13575" max="13575" width="15.7109375" style="53" bestFit="1" customWidth="1"/>
    <col min="13576" max="13576" width="13.140625" style="53" bestFit="1" customWidth="1"/>
    <col min="13577" max="13577" width="11.85546875" style="53" bestFit="1" customWidth="1"/>
    <col min="13578" max="13578" width="12.85546875" style="53" bestFit="1" customWidth="1"/>
    <col min="13579" max="13824" width="9.140625" style="53"/>
    <col min="13825" max="13825" width="9.28515625" style="53" customWidth="1"/>
    <col min="13826" max="13826" width="39.85546875" style="53" customWidth="1"/>
    <col min="13827" max="13827" width="18.28515625" style="53" customWidth="1"/>
    <col min="13828" max="13828" width="23.85546875" style="53" customWidth="1"/>
    <col min="13829" max="13829" width="16" style="53" bestFit="1" customWidth="1"/>
    <col min="13830" max="13830" width="13.7109375" style="53" bestFit="1" customWidth="1"/>
    <col min="13831" max="13831" width="15.7109375" style="53" bestFit="1" customWidth="1"/>
    <col min="13832" max="13832" width="13.140625" style="53" bestFit="1" customWidth="1"/>
    <col min="13833" max="13833" width="11.85546875" style="53" bestFit="1" customWidth="1"/>
    <col min="13834" max="13834" width="12.85546875" style="53" bestFit="1" customWidth="1"/>
    <col min="13835" max="14080" width="9.140625" style="53"/>
    <col min="14081" max="14081" width="9.28515625" style="53" customWidth="1"/>
    <col min="14082" max="14082" width="39.85546875" style="53" customWidth="1"/>
    <col min="14083" max="14083" width="18.28515625" style="53" customWidth="1"/>
    <col min="14084" max="14084" width="23.85546875" style="53" customWidth="1"/>
    <col min="14085" max="14085" width="16" style="53" bestFit="1" customWidth="1"/>
    <col min="14086" max="14086" width="13.7109375" style="53" bestFit="1" customWidth="1"/>
    <col min="14087" max="14087" width="15.7109375" style="53" bestFit="1" customWidth="1"/>
    <col min="14088" max="14088" width="13.140625" style="53" bestFit="1" customWidth="1"/>
    <col min="14089" max="14089" width="11.85546875" style="53" bestFit="1" customWidth="1"/>
    <col min="14090" max="14090" width="12.85546875" style="53" bestFit="1" customWidth="1"/>
    <col min="14091" max="14336" width="9.140625" style="53"/>
    <col min="14337" max="14337" width="9.28515625" style="53" customWidth="1"/>
    <col min="14338" max="14338" width="39.85546875" style="53" customWidth="1"/>
    <col min="14339" max="14339" width="18.28515625" style="53" customWidth="1"/>
    <col min="14340" max="14340" width="23.85546875" style="53" customWidth="1"/>
    <col min="14341" max="14341" width="16" style="53" bestFit="1" customWidth="1"/>
    <col min="14342" max="14342" width="13.7109375" style="53" bestFit="1" customWidth="1"/>
    <col min="14343" max="14343" width="15.7109375" style="53" bestFit="1" customWidth="1"/>
    <col min="14344" max="14344" width="13.140625" style="53" bestFit="1" customWidth="1"/>
    <col min="14345" max="14345" width="11.85546875" style="53" bestFit="1" customWidth="1"/>
    <col min="14346" max="14346" width="12.85546875" style="53" bestFit="1" customWidth="1"/>
    <col min="14347" max="14592" width="9.140625" style="53"/>
    <col min="14593" max="14593" width="9.28515625" style="53" customWidth="1"/>
    <col min="14594" max="14594" width="39.85546875" style="53" customWidth="1"/>
    <col min="14595" max="14595" width="18.28515625" style="53" customWidth="1"/>
    <col min="14596" max="14596" width="23.85546875" style="53" customWidth="1"/>
    <col min="14597" max="14597" width="16" style="53" bestFit="1" customWidth="1"/>
    <col min="14598" max="14598" width="13.7109375" style="53" bestFit="1" customWidth="1"/>
    <col min="14599" max="14599" width="15.7109375" style="53" bestFit="1" customWidth="1"/>
    <col min="14600" max="14600" width="13.140625" style="53" bestFit="1" customWidth="1"/>
    <col min="14601" max="14601" width="11.85546875" style="53" bestFit="1" customWidth="1"/>
    <col min="14602" max="14602" width="12.85546875" style="53" bestFit="1" customWidth="1"/>
    <col min="14603" max="14848" width="9.140625" style="53"/>
    <col min="14849" max="14849" width="9.28515625" style="53" customWidth="1"/>
    <col min="14850" max="14850" width="39.85546875" style="53" customWidth="1"/>
    <col min="14851" max="14851" width="18.28515625" style="53" customWidth="1"/>
    <col min="14852" max="14852" width="23.85546875" style="53" customWidth="1"/>
    <col min="14853" max="14853" width="16" style="53" bestFit="1" customWidth="1"/>
    <col min="14854" max="14854" width="13.7109375" style="53" bestFit="1" customWidth="1"/>
    <col min="14855" max="14855" width="15.7109375" style="53" bestFit="1" customWidth="1"/>
    <col min="14856" max="14856" width="13.140625" style="53" bestFit="1" customWidth="1"/>
    <col min="14857" max="14857" width="11.85546875" style="53" bestFit="1" customWidth="1"/>
    <col min="14858" max="14858" width="12.85546875" style="53" bestFit="1" customWidth="1"/>
    <col min="14859" max="15104" width="9.140625" style="53"/>
    <col min="15105" max="15105" width="9.28515625" style="53" customWidth="1"/>
    <col min="15106" max="15106" width="39.85546875" style="53" customWidth="1"/>
    <col min="15107" max="15107" width="18.28515625" style="53" customWidth="1"/>
    <col min="15108" max="15108" width="23.85546875" style="53" customWidth="1"/>
    <col min="15109" max="15109" width="16" style="53" bestFit="1" customWidth="1"/>
    <col min="15110" max="15110" width="13.7109375" style="53" bestFit="1" customWidth="1"/>
    <col min="15111" max="15111" width="15.7109375" style="53" bestFit="1" customWidth="1"/>
    <col min="15112" max="15112" width="13.140625" style="53" bestFit="1" customWidth="1"/>
    <col min="15113" max="15113" width="11.85546875" style="53" bestFit="1" customWidth="1"/>
    <col min="15114" max="15114" width="12.85546875" style="53" bestFit="1" customWidth="1"/>
    <col min="15115" max="15360" width="9.140625" style="53"/>
    <col min="15361" max="15361" width="9.28515625" style="53" customWidth="1"/>
    <col min="15362" max="15362" width="39.85546875" style="53" customWidth="1"/>
    <col min="15363" max="15363" width="18.28515625" style="53" customWidth="1"/>
    <col min="15364" max="15364" width="23.85546875" style="53" customWidth="1"/>
    <col min="15365" max="15365" width="16" style="53" bestFit="1" customWidth="1"/>
    <col min="15366" max="15366" width="13.7109375" style="53" bestFit="1" customWidth="1"/>
    <col min="15367" max="15367" width="15.7109375" style="53" bestFit="1" customWidth="1"/>
    <col min="15368" max="15368" width="13.140625" style="53" bestFit="1" customWidth="1"/>
    <col min="15369" max="15369" width="11.85546875" style="53" bestFit="1" customWidth="1"/>
    <col min="15370" max="15370" width="12.85546875" style="53" bestFit="1" customWidth="1"/>
    <col min="15371" max="15616" width="9.140625" style="53"/>
    <col min="15617" max="15617" width="9.28515625" style="53" customWidth="1"/>
    <col min="15618" max="15618" width="39.85546875" style="53" customWidth="1"/>
    <col min="15619" max="15619" width="18.28515625" style="53" customWidth="1"/>
    <col min="15620" max="15620" width="23.85546875" style="53" customWidth="1"/>
    <col min="15621" max="15621" width="16" style="53" bestFit="1" customWidth="1"/>
    <col min="15622" max="15622" width="13.7109375" style="53" bestFit="1" customWidth="1"/>
    <col min="15623" max="15623" width="15.7109375" style="53" bestFit="1" customWidth="1"/>
    <col min="15624" max="15624" width="13.140625" style="53" bestFit="1" customWidth="1"/>
    <col min="15625" max="15625" width="11.85546875" style="53" bestFit="1" customWidth="1"/>
    <col min="15626" max="15626" width="12.85546875" style="53" bestFit="1" customWidth="1"/>
    <col min="15627" max="15872" width="9.140625" style="53"/>
    <col min="15873" max="15873" width="9.28515625" style="53" customWidth="1"/>
    <col min="15874" max="15874" width="39.85546875" style="53" customWidth="1"/>
    <col min="15875" max="15875" width="18.28515625" style="53" customWidth="1"/>
    <col min="15876" max="15876" width="23.85546875" style="53" customWidth="1"/>
    <col min="15877" max="15877" width="16" style="53" bestFit="1" customWidth="1"/>
    <col min="15878" max="15878" width="13.7109375" style="53" bestFit="1" customWidth="1"/>
    <col min="15879" max="15879" width="15.7109375" style="53" bestFit="1" customWidth="1"/>
    <col min="15880" max="15880" width="13.140625" style="53" bestFit="1" customWidth="1"/>
    <col min="15881" max="15881" width="11.85546875" style="53" bestFit="1" customWidth="1"/>
    <col min="15882" max="15882" width="12.85546875" style="53" bestFit="1" customWidth="1"/>
    <col min="15883" max="16128" width="9.140625" style="53"/>
    <col min="16129" max="16129" width="9.28515625" style="53" customWidth="1"/>
    <col min="16130" max="16130" width="39.85546875" style="53" customWidth="1"/>
    <col min="16131" max="16131" width="18.28515625" style="53" customWidth="1"/>
    <col min="16132" max="16132" width="23.85546875" style="53" customWidth="1"/>
    <col min="16133" max="16133" width="16" style="53" bestFit="1" customWidth="1"/>
    <col min="16134" max="16134" width="13.7109375" style="53" bestFit="1" customWidth="1"/>
    <col min="16135" max="16135" width="15.7109375" style="53" bestFit="1" customWidth="1"/>
    <col min="16136" max="16136" width="13.140625" style="53" bestFit="1" customWidth="1"/>
    <col min="16137" max="16137" width="11.85546875" style="53" bestFit="1" customWidth="1"/>
    <col min="16138" max="16138" width="12.85546875" style="53" bestFit="1" customWidth="1"/>
    <col min="16139" max="16384" width="9.140625" style="53"/>
  </cols>
  <sheetData>
    <row r="3" spans="1:7" ht="15.75" customHeight="1">
      <c r="A3" s="543" t="s">
        <v>255</v>
      </c>
      <c r="B3" s="543"/>
      <c r="C3" s="543"/>
      <c r="D3" s="543"/>
      <c r="E3" s="52"/>
      <c r="F3" s="52"/>
      <c r="G3" s="52"/>
    </row>
    <row r="4" spans="1:7">
      <c r="A4" s="543"/>
      <c r="B4" s="543"/>
      <c r="C4" s="543"/>
      <c r="D4" s="543"/>
      <c r="E4" s="52"/>
      <c r="F4" s="52"/>
      <c r="G4" s="52"/>
    </row>
    <row r="5" spans="1:7">
      <c r="A5" s="54"/>
      <c r="B5" s="52"/>
      <c r="C5" s="52"/>
      <c r="D5" s="52"/>
      <c r="E5" s="52"/>
      <c r="F5" s="52"/>
      <c r="G5" s="52"/>
    </row>
    <row r="6" spans="1:7" ht="15.75" customHeight="1">
      <c r="A6" s="544" t="s">
        <v>550</v>
      </c>
      <c r="B6" s="544"/>
      <c r="C6" s="544"/>
      <c r="D6" s="544"/>
      <c r="E6" s="52"/>
      <c r="F6" s="52"/>
      <c r="G6" s="52"/>
    </row>
    <row r="7" spans="1:7">
      <c r="A7" s="522"/>
      <c r="B7" s="522"/>
      <c r="C7" s="522"/>
      <c r="D7" s="522"/>
    </row>
    <row r="8" spans="1:7">
      <c r="A8" s="237" t="s">
        <v>551</v>
      </c>
      <c r="B8" s="238"/>
      <c r="C8" s="187"/>
      <c r="D8" s="187"/>
    </row>
    <row r="9" spans="1:7">
      <c r="A9" s="522"/>
      <c r="B9" s="522"/>
      <c r="C9" s="522"/>
      <c r="D9" s="522"/>
    </row>
    <row r="10" spans="1:7">
      <c r="A10" s="57" t="s">
        <v>256</v>
      </c>
      <c r="B10" s="188"/>
      <c r="C10" s="187"/>
      <c r="D10" s="187"/>
    </row>
    <row r="11" spans="1:7">
      <c r="A11" s="59" t="s">
        <v>257</v>
      </c>
      <c r="B11" s="541" t="s">
        <v>258</v>
      </c>
      <c r="C11" s="542"/>
      <c r="D11" s="239">
        <v>42550</v>
      </c>
    </row>
    <row r="12" spans="1:7">
      <c r="A12" s="59" t="s">
        <v>259</v>
      </c>
      <c r="B12" s="62" t="s">
        <v>260</v>
      </c>
      <c r="C12" s="63"/>
      <c r="D12" s="240" t="s">
        <v>374</v>
      </c>
    </row>
    <row r="13" spans="1:7">
      <c r="A13" s="59" t="s">
        <v>261</v>
      </c>
      <c r="B13" s="541" t="s">
        <v>262</v>
      </c>
      <c r="C13" s="542"/>
      <c r="D13" s="240">
        <v>2016</v>
      </c>
    </row>
    <row r="14" spans="1:7">
      <c r="A14" s="64" t="s">
        <v>263</v>
      </c>
      <c r="B14" s="65" t="s">
        <v>555</v>
      </c>
      <c r="C14" s="66"/>
      <c r="D14" s="239">
        <v>42625</v>
      </c>
    </row>
    <row r="16" spans="1:7">
      <c r="A16" s="190"/>
    </row>
    <row r="17" spans="1:7">
      <c r="A17" s="523"/>
      <c r="B17" s="523"/>
      <c r="C17" s="523"/>
      <c r="D17" s="523"/>
      <c r="E17" s="523"/>
      <c r="F17" s="523"/>
      <c r="G17" s="523"/>
    </row>
    <row r="18" spans="1:7" ht="35.25" customHeight="1">
      <c r="A18" s="545" t="s">
        <v>264</v>
      </c>
      <c r="B18" s="545"/>
      <c r="C18" s="67" t="s">
        <v>265</v>
      </c>
      <c r="D18" s="67" t="s">
        <v>266</v>
      </c>
    </row>
    <row r="19" spans="1:7">
      <c r="A19" s="241">
        <v>1</v>
      </c>
      <c r="B19" s="242" t="s">
        <v>553</v>
      </c>
      <c r="C19" s="241" t="s">
        <v>267</v>
      </c>
      <c r="D19" s="243">
        <v>2</v>
      </c>
    </row>
    <row r="20" spans="1:7">
      <c r="A20" s="68"/>
      <c r="B20" s="69"/>
      <c r="C20" s="68"/>
      <c r="D20" s="70"/>
    </row>
    <row r="21" spans="1:7">
      <c r="A21" s="522" t="s">
        <v>268</v>
      </c>
      <c r="B21" s="522"/>
      <c r="C21" s="522"/>
      <c r="D21" s="522"/>
      <c r="E21" s="522"/>
      <c r="F21" s="522"/>
      <c r="G21" s="522"/>
    </row>
    <row r="22" spans="1:7">
      <c r="A22" s="71"/>
    </row>
    <row r="23" spans="1:7">
      <c r="A23" s="57" t="s">
        <v>269</v>
      </c>
    </row>
    <row r="24" spans="1:7">
      <c r="A24" s="57" t="s">
        <v>270</v>
      </c>
    </row>
    <row r="25" spans="1:7">
      <c r="A25" s="72" t="s">
        <v>271</v>
      </c>
      <c r="B25" s="60"/>
      <c r="C25" s="60"/>
      <c r="D25" s="61"/>
    </row>
    <row r="26" spans="1:7" ht="31.5">
      <c r="A26" s="73">
        <v>1</v>
      </c>
      <c r="B26" s="74" t="s">
        <v>272</v>
      </c>
      <c r="C26" s="74"/>
      <c r="D26" s="244" t="str">
        <f>B19</f>
        <v xml:space="preserve">AUXILIAR SERVIÇOS GERAIS </v>
      </c>
    </row>
    <row r="27" spans="1:7" ht="30.75" customHeight="1">
      <c r="A27" s="73">
        <v>2</v>
      </c>
      <c r="B27" s="539" t="s">
        <v>273</v>
      </c>
      <c r="C27" s="540"/>
      <c r="D27" s="175">
        <v>1070</v>
      </c>
    </row>
    <row r="28" spans="1:7" ht="31.5" customHeight="1">
      <c r="A28" s="73">
        <v>3</v>
      </c>
      <c r="B28" s="539" t="s">
        <v>274</v>
      </c>
      <c r="C28" s="540"/>
      <c r="D28" s="176" t="s">
        <v>375</v>
      </c>
    </row>
    <row r="29" spans="1:7">
      <c r="A29" s="75">
        <v>4</v>
      </c>
      <c r="B29" s="76" t="s">
        <v>275</v>
      </c>
      <c r="C29" s="76"/>
      <c r="D29" s="77">
        <v>42401</v>
      </c>
    </row>
    <row r="30" spans="1:7">
      <c r="A30" s="71"/>
    </row>
    <row r="31" spans="1:7">
      <c r="A31" s="71"/>
    </row>
    <row r="32" spans="1:7">
      <c r="A32" s="71"/>
    </row>
    <row r="33" spans="1:7" ht="16.5" customHeight="1" thickBot="1">
      <c r="A33" s="523" t="s">
        <v>276</v>
      </c>
      <c r="B33" s="523"/>
      <c r="C33" s="523"/>
      <c r="D33" s="523"/>
      <c r="E33" s="523"/>
      <c r="F33" s="52"/>
      <c r="G33" s="52"/>
    </row>
    <row r="34" spans="1:7" ht="16.5" thickBot="1">
      <c r="A34" s="78" t="s">
        <v>277</v>
      </c>
      <c r="B34" s="79" t="s">
        <v>278</v>
      </c>
      <c r="C34" s="80"/>
      <c r="D34" s="81" t="s">
        <v>279</v>
      </c>
    </row>
    <row r="35" spans="1:7">
      <c r="A35" s="82" t="s">
        <v>257</v>
      </c>
      <c r="B35" s="83" t="s">
        <v>280</v>
      </c>
      <c r="C35" s="84"/>
      <c r="D35" s="85">
        <f>ROUND(((D27/220)*(365.25/12)*(40/6)-1.57),2)</f>
        <v>985.34</v>
      </c>
    </row>
    <row r="36" spans="1:7">
      <c r="A36" s="191" t="s">
        <v>259</v>
      </c>
      <c r="B36" s="87" t="s">
        <v>281</v>
      </c>
      <c r="C36" s="88"/>
      <c r="D36" s="89">
        <v>0</v>
      </c>
    </row>
    <row r="37" spans="1:7">
      <c r="A37" s="191" t="s">
        <v>261</v>
      </c>
      <c r="B37" s="87" t="s">
        <v>282</v>
      </c>
      <c r="C37" s="90"/>
      <c r="D37" s="89">
        <v>0</v>
      </c>
    </row>
    <row r="38" spans="1:7">
      <c r="A38" s="191" t="s">
        <v>263</v>
      </c>
      <c r="B38" s="91" t="s">
        <v>552</v>
      </c>
      <c r="C38" s="88"/>
      <c r="D38" s="89">
        <v>0</v>
      </c>
    </row>
    <row r="39" spans="1:7">
      <c r="A39" s="191" t="s">
        <v>284</v>
      </c>
      <c r="B39" s="91" t="s">
        <v>285</v>
      </c>
      <c r="C39" s="92"/>
      <c r="D39" s="89">
        <v>0</v>
      </c>
    </row>
    <row r="40" spans="1:7">
      <c r="A40" s="191" t="s">
        <v>286</v>
      </c>
      <c r="B40" s="93" t="s">
        <v>287</v>
      </c>
      <c r="C40" s="92"/>
      <c r="D40" s="89">
        <v>0</v>
      </c>
    </row>
    <row r="41" spans="1:7">
      <c r="A41" s="191" t="s">
        <v>288</v>
      </c>
      <c r="B41" s="93" t="s">
        <v>289</v>
      </c>
      <c r="C41" s="92"/>
      <c r="D41" s="89">
        <v>0</v>
      </c>
    </row>
    <row r="42" spans="1:7" ht="16.5" thickBot="1">
      <c r="A42" s="191" t="s">
        <v>290</v>
      </c>
      <c r="B42" s="94" t="s">
        <v>376</v>
      </c>
      <c r="C42" s="95"/>
      <c r="D42" s="89">
        <v>0</v>
      </c>
    </row>
    <row r="43" spans="1:7" ht="16.5" thickBot="1">
      <c r="A43" s="96"/>
      <c r="B43" s="97" t="s">
        <v>292</v>
      </c>
      <c r="C43" s="98"/>
      <c r="D43" s="99">
        <f>SUM(D35:D42)</f>
        <v>985.34</v>
      </c>
    </row>
    <row r="44" spans="1:7">
      <c r="A44" s="190"/>
    </row>
    <row r="45" spans="1:7" ht="16.5" thickBot="1">
      <c r="A45" s="523" t="s">
        <v>293</v>
      </c>
      <c r="B45" s="523"/>
      <c r="C45" s="523"/>
      <c r="D45" s="523"/>
      <c r="E45" s="523"/>
      <c r="F45" s="523"/>
      <c r="G45" s="523"/>
    </row>
    <row r="46" spans="1:7" ht="16.5" thickBot="1">
      <c r="A46" s="100">
        <v>2</v>
      </c>
      <c r="B46" s="189" t="s">
        <v>294</v>
      </c>
      <c r="C46" s="102"/>
      <c r="D46" s="100" t="s">
        <v>279</v>
      </c>
    </row>
    <row r="47" spans="1:7">
      <c r="A47" s="82" t="s">
        <v>257</v>
      </c>
      <c r="B47" s="83" t="s">
        <v>295</v>
      </c>
      <c r="C47" s="103"/>
      <c r="D47" s="104">
        <f>(3.7*44)-(D35*6%)</f>
        <v>103.67960000000002</v>
      </c>
    </row>
    <row r="48" spans="1:7" ht="31.5">
      <c r="A48" s="105" t="s">
        <v>259</v>
      </c>
      <c r="B48" s="106" t="s">
        <v>296</v>
      </c>
      <c r="C48" s="90"/>
      <c r="D48" s="107">
        <f>330*(1-20%)</f>
        <v>264</v>
      </c>
    </row>
    <row r="49" spans="1:7">
      <c r="A49" s="191" t="s">
        <v>261</v>
      </c>
      <c r="B49" s="87" t="s">
        <v>389</v>
      </c>
      <c r="C49" s="90"/>
      <c r="D49" s="107">
        <v>50</v>
      </c>
    </row>
    <row r="50" spans="1:7">
      <c r="A50" s="191" t="s">
        <v>263</v>
      </c>
      <c r="B50" s="87" t="s">
        <v>297</v>
      </c>
      <c r="C50" s="88"/>
      <c r="D50" s="107">
        <v>0</v>
      </c>
    </row>
    <row r="51" spans="1:7">
      <c r="A51" s="191" t="s">
        <v>284</v>
      </c>
      <c r="B51" s="87" t="s">
        <v>390</v>
      </c>
      <c r="C51" s="92"/>
      <c r="D51" s="108">
        <v>16</v>
      </c>
    </row>
    <row r="52" spans="1:7" ht="16.5" customHeight="1">
      <c r="A52" s="191" t="s">
        <v>286</v>
      </c>
      <c r="B52" s="535" t="s">
        <v>377</v>
      </c>
      <c r="C52" s="536"/>
      <c r="D52" s="108">
        <v>16</v>
      </c>
    </row>
    <row r="53" spans="1:7" ht="16.5" thickBot="1">
      <c r="A53" s="109" t="s">
        <v>288</v>
      </c>
      <c r="B53" s="537" t="s">
        <v>291</v>
      </c>
      <c r="C53" s="538"/>
      <c r="D53" s="110">
        <v>0</v>
      </c>
    </row>
    <row r="54" spans="1:7" ht="16.5" thickBot="1">
      <c r="A54" s="111"/>
      <c r="B54" s="189" t="s">
        <v>298</v>
      </c>
      <c r="C54" s="112"/>
      <c r="D54" s="113">
        <f>SUM(D47:D53)</f>
        <v>449.67960000000005</v>
      </c>
    </row>
    <row r="55" spans="1:7" ht="33" customHeight="1">
      <c r="A55" s="522" t="s">
        <v>299</v>
      </c>
      <c r="B55" s="522"/>
      <c r="C55" s="522"/>
      <c r="D55" s="522"/>
    </row>
    <row r="56" spans="1:7">
      <c r="A56" s="190"/>
    </row>
    <row r="57" spans="1:7" ht="16.5" thickBot="1">
      <c r="A57" s="523" t="s">
        <v>300</v>
      </c>
      <c r="B57" s="523"/>
      <c r="C57" s="523"/>
      <c r="D57" s="523"/>
      <c r="E57" s="523"/>
      <c r="F57" s="523"/>
      <c r="G57" s="523"/>
    </row>
    <row r="58" spans="1:7" ht="16.5" thickBot="1">
      <c r="A58" s="114">
        <v>3</v>
      </c>
      <c r="B58" s="189" t="s">
        <v>301</v>
      </c>
      <c r="C58" s="102"/>
      <c r="D58" s="100" t="s">
        <v>279</v>
      </c>
    </row>
    <row r="59" spans="1:7">
      <c r="A59" s="82" t="s">
        <v>257</v>
      </c>
      <c r="B59" s="83" t="s">
        <v>302</v>
      </c>
      <c r="C59" s="115"/>
      <c r="D59" s="116">
        <f>'ANEXO IV'!D55</f>
        <v>33.333333333333336</v>
      </c>
    </row>
    <row r="60" spans="1:7">
      <c r="A60" s="105" t="s">
        <v>259</v>
      </c>
      <c r="B60" s="106" t="s">
        <v>15</v>
      </c>
      <c r="C60" s="90"/>
      <c r="D60" s="107">
        <v>0</v>
      </c>
    </row>
    <row r="61" spans="1:7">
      <c r="A61" s="191" t="s">
        <v>261</v>
      </c>
      <c r="B61" s="87" t="s">
        <v>21</v>
      </c>
      <c r="C61" s="90"/>
      <c r="D61" s="107">
        <v>0</v>
      </c>
    </row>
    <row r="62" spans="1:7">
      <c r="A62" s="191" t="s">
        <v>263</v>
      </c>
      <c r="B62" s="535" t="s">
        <v>18</v>
      </c>
      <c r="C62" s="536"/>
      <c r="D62" s="108">
        <v>0</v>
      </c>
    </row>
    <row r="63" spans="1:7" ht="16.5" thickBot="1">
      <c r="A63" s="109" t="s">
        <v>284</v>
      </c>
      <c r="B63" s="537" t="s">
        <v>291</v>
      </c>
      <c r="C63" s="538"/>
      <c r="D63" s="110">
        <v>0</v>
      </c>
    </row>
    <row r="64" spans="1:7" ht="16.5" thickBot="1">
      <c r="A64" s="111"/>
      <c r="B64" s="189" t="s">
        <v>303</v>
      </c>
      <c r="C64" s="112"/>
      <c r="D64" s="113">
        <f>SUM(D59:D63)</f>
        <v>33.333333333333336</v>
      </c>
    </row>
    <row r="65" spans="1:7">
      <c r="A65" s="522" t="s">
        <v>304</v>
      </c>
      <c r="B65" s="522"/>
      <c r="C65" s="522"/>
      <c r="D65" s="522"/>
      <c r="E65" s="522"/>
      <c r="F65" s="522"/>
      <c r="G65" s="522"/>
    </row>
    <row r="66" spans="1:7">
      <c r="A66" s="190"/>
    </row>
    <row r="67" spans="1:7">
      <c r="A67" s="523" t="s">
        <v>305</v>
      </c>
      <c r="B67" s="523"/>
      <c r="C67" s="523"/>
      <c r="D67" s="523"/>
      <c r="E67" s="523"/>
      <c r="F67" s="523"/>
      <c r="G67" s="523"/>
    </row>
    <row r="68" spans="1:7" ht="16.5" thickBot="1">
      <c r="A68" s="523" t="s">
        <v>306</v>
      </c>
      <c r="B68" s="523"/>
      <c r="C68" s="523"/>
      <c r="D68" s="523"/>
      <c r="E68" s="523"/>
      <c r="F68" s="523"/>
      <c r="G68" s="523"/>
    </row>
    <row r="69" spans="1:7" ht="16.5" thickBot="1">
      <c r="A69" s="117" t="s">
        <v>307</v>
      </c>
      <c r="B69" s="118" t="s">
        <v>308</v>
      </c>
      <c r="C69" s="117" t="s">
        <v>4</v>
      </c>
      <c r="D69" s="117" t="s">
        <v>279</v>
      </c>
    </row>
    <row r="70" spans="1:7">
      <c r="A70" s="82" t="s">
        <v>257</v>
      </c>
      <c r="B70" s="119" t="s">
        <v>8</v>
      </c>
      <c r="C70" s="120">
        <v>0.2</v>
      </c>
      <c r="D70" s="104">
        <f t="shared" ref="D70:D77" si="0">ROUND($D$43*C70,2)</f>
        <v>197.07</v>
      </c>
    </row>
    <row r="71" spans="1:7">
      <c r="A71" s="105" t="s">
        <v>259</v>
      </c>
      <c r="B71" s="121" t="s">
        <v>309</v>
      </c>
      <c r="C71" s="122">
        <v>1.4999999999999999E-2</v>
      </c>
      <c r="D71" s="107">
        <f t="shared" si="0"/>
        <v>14.78</v>
      </c>
    </row>
    <row r="72" spans="1:7">
      <c r="A72" s="191" t="s">
        <v>261</v>
      </c>
      <c r="B72" s="123" t="s">
        <v>310</v>
      </c>
      <c r="C72" s="122">
        <v>0.01</v>
      </c>
      <c r="D72" s="107">
        <f t="shared" si="0"/>
        <v>9.85</v>
      </c>
    </row>
    <row r="73" spans="1:7">
      <c r="A73" s="105" t="s">
        <v>263</v>
      </c>
      <c r="B73" s="121" t="s">
        <v>9</v>
      </c>
      <c r="C73" s="122">
        <v>2E-3</v>
      </c>
      <c r="D73" s="107">
        <f t="shared" si="0"/>
        <v>1.97</v>
      </c>
    </row>
    <row r="74" spans="1:7">
      <c r="A74" s="191" t="s">
        <v>284</v>
      </c>
      <c r="B74" s="123" t="s">
        <v>10</v>
      </c>
      <c r="C74" s="122">
        <v>2.5000000000000001E-2</v>
      </c>
      <c r="D74" s="107">
        <f t="shared" si="0"/>
        <v>24.63</v>
      </c>
    </row>
    <row r="75" spans="1:7">
      <c r="A75" s="105" t="s">
        <v>286</v>
      </c>
      <c r="B75" s="121" t="s">
        <v>11</v>
      </c>
      <c r="C75" s="122">
        <v>0.08</v>
      </c>
      <c r="D75" s="107">
        <f t="shared" si="0"/>
        <v>78.83</v>
      </c>
    </row>
    <row r="76" spans="1:7" ht="31.5">
      <c r="A76" s="191" t="s">
        <v>288</v>
      </c>
      <c r="B76" s="123" t="s">
        <v>378</v>
      </c>
      <c r="C76" s="141">
        <v>3.0499999999999999E-2</v>
      </c>
      <c r="D76" s="245">
        <f t="shared" si="0"/>
        <v>30.05</v>
      </c>
    </row>
    <row r="77" spans="1:7" ht="16.5" thickBot="1">
      <c r="A77" s="124" t="s">
        <v>290</v>
      </c>
      <c r="B77" s="125" t="s">
        <v>12</v>
      </c>
      <c r="C77" s="126">
        <v>6.0000000000000001E-3</v>
      </c>
      <c r="D77" s="110">
        <f t="shared" si="0"/>
        <v>5.91</v>
      </c>
    </row>
    <row r="78" spans="1:7" ht="16.5" thickBot="1">
      <c r="A78" s="530" t="s">
        <v>7</v>
      </c>
      <c r="B78" s="531"/>
      <c r="C78" s="127">
        <f>SUM(C70:C77)</f>
        <v>0.36850000000000005</v>
      </c>
      <c r="D78" s="113">
        <f>SUM(D70:D77)</f>
        <v>363.09000000000003</v>
      </c>
    </row>
    <row r="79" spans="1:7">
      <c r="A79" s="534" t="s">
        <v>311</v>
      </c>
      <c r="B79" s="534"/>
      <c r="C79" s="534"/>
      <c r="D79" s="534"/>
    </row>
    <row r="80" spans="1:7" ht="16.5" customHeight="1">
      <c r="A80" s="534" t="s">
        <v>312</v>
      </c>
      <c r="B80" s="534"/>
      <c r="C80" s="534"/>
      <c r="D80" s="534"/>
    </row>
    <row r="81" spans="1:7">
      <c r="A81" s="190"/>
    </row>
    <row r="82" spans="1:7" ht="16.5" thickBot="1">
      <c r="A82" s="523" t="s">
        <v>313</v>
      </c>
      <c r="B82" s="523"/>
      <c r="C82" s="523"/>
      <c r="D82" s="523"/>
      <c r="E82" s="523"/>
      <c r="F82" s="523"/>
      <c r="G82" s="523"/>
    </row>
    <row r="83" spans="1:7" ht="16.5" thickBot="1">
      <c r="A83" s="117" t="s">
        <v>314</v>
      </c>
      <c r="B83" s="118" t="s">
        <v>315</v>
      </c>
      <c r="C83" s="117" t="s">
        <v>4</v>
      </c>
      <c r="D83" s="117" t="s">
        <v>279</v>
      </c>
    </row>
    <row r="84" spans="1:7">
      <c r="A84" s="82" t="s">
        <v>257</v>
      </c>
      <c r="B84" s="119" t="s">
        <v>316</v>
      </c>
      <c r="C84" s="120">
        <f>((5/56)*100)/100</f>
        <v>8.9285714285714288E-2</v>
      </c>
      <c r="D84" s="104">
        <f>ROUND($D$43*C84,2)</f>
        <v>87.98</v>
      </c>
    </row>
    <row r="85" spans="1:7">
      <c r="A85" s="105" t="s">
        <v>259</v>
      </c>
      <c r="B85" s="121" t="s">
        <v>317</v>
      </c>
      <c r="C85" s="128">
        <f>(1/3)*(5/56)</f>
        <v>2.976190476190476E-2</v>
      </c>
      <c r="D85" s="129">
        <f>ROUND($D$43*C85,2)</f>
        <v>29.33</v>
      </c>
    </row>
    <row r="86" spans="1:7">
      <c r="A86" s="130" t="s">
        <v>318</v>
      </c>
      <c r="B86" s="121"/>
      <c r="C86" s="131">
        <f>SUM(C84:C85)</f>
        <v>0.11904761904761904</v>
      </c>
      <c r="D86" s="132">
        <f>SUM(D84:D85)</f>
        <v>117.31</v>
      </c>
    </row>
    <row r="87" spans="1:7" ht="32.25" thickBot="1">
      <c r="A87" s="105" t="s">
        <v>261</v>
      </c>
      <c r="B87" s="121" t="s">
        <v>319</v>
      </c>
      <c r="C87" s="122">
        <f>D87/D43</f>
        <v>4.3873180830982197E-2</v>
      </c>
      <c r="D87" s="107">
        <f>ROUND(D78*C86,2)</f>
        <v>43.23</v>
      </c>
    </row>
    <row r="88" spans="1:7" ht="16.5" thickBot="1">
      <c r="A88" s="530" t="s">
        <v>7</v>
      </c>
      <c r="B88" s="531"/>
      <c r="C88" s="127">
        <f>C87+C86</f>
        <v>0.16292079987860125</v>
      </c>
      <c r="D88" s="113">
        <f>D86+D87</f>
        <v>160.54</v>
      </c>
    </row>
    <row r="89" spans="1:7">
      <c r="A89" s="190"/>
    </row>
    <row r="90" spans="1:7" ht="16.5" thickBot="1">
      <c r="A90" s="523" t="s">
        <v>320</v>
      </c>
      <c r="B90" s="523"/>
      <c r="C90" s="523"/>
      <c r="D90" s="523"/>
      <c r="E90" s="523"/>
      <c r="F90" s="523"/>
      <c r="G90" s="523"/>
    </row>
    <row r="91" spans="1:7" ht="16.5" thickBot="1">
      <c r="A91" s="117" t="s">
        <v>321</v>
      </c>
      <c r="B91" s="118" t="s">
        <v>322</v>
      </c>
      <c r="C91" s="117" t="s">
        <v>4</v>
      </c>
      <c r="D91" s="117" t="s">
        <v>279</v>
      </c>
    </row>
    <row r="92" spans="1:7">
      <c r="A92" s="82" t="s">
        <v>257</v>
      </c>
      <c r="B92" s="133" t="s">
        <v>323</v>
      </c>
      <c r="C92" s="120">
        <f>0.1111*0.02*0.3333</f>
        <v>7.4059259999999997E-4</v>
      </c>
      <c r="D92" s="104">
        <f>ROUND($D$43*C92,2)</f>
        <v>0.73</v>
      </c>
    </row>
    <row r="93" spans="1:7" ht="32.25" thickBot="1">
      <c r="A93" s="109" t="s">
        <v>259</v>
      </c>
      <c r="B93" s="134" t="s">
        <v>324</v>
      </c>
      <c r="C93" s="126">
        <f>D93/D43</f>
        <v>2.7401709054742529E-4</v>
      </c>
      <c r="D93" s="110">
        <f>ROUND(D78*C92,2)</f>
        <v>0.27</v>
      </c>
    </row>
    <row r="94" spans="1:7" ht="16.5" thickBot="1">
      <c r="A94" s="530" t="s">
        <v>7</v>
      </c>
      <c r="B94" s="531"/>
      <c r="C94" s="127">
        <f>SUM(C92:C93)</f>
        <v>1.0146096905474253E-3</v>
      </c>
      <c r="D94" s="113">
        <f>SUM(D92:D93)</f>
        <v>1</v>
      </c>
    </row>
    <row r="95" spans="1:7">
      <c r="A95" s="190"/>
    </row>
    <row r="96" spans="1:7">
      <c r="A96" s="190"/>
    </row>
    <row r="97" spans="1:7" ht="16.5" thickBot="1">
      <c r="A97" s="523" t="s">
        <v>325</v>
      </c>
      <c r="B97" s="523"/>
      <c r="C97" s="523"/>
      <c r="D97" s="523"/>
      <c r="E97" s="523"/>
      <c r="F97" s="523"/>
      <c r="G97" s="523"/>
    </row>
    <row r="98" spans="1:7" ht="16.5" thickBot="1">
      <c r="A98" s="117" t="s">
        <v>326</v>
      </c>
      <c r="B98" s="118" t="s">
        <v>327</v>
      </c>
      <c r="C98" s="117" t="s">
        <v>4</v>
      </c>
      <c r="D98" s="117" t="s">
        <v>279</v>
      </c>
    </row>
    <row r="99" spans="1:7">
      <c r="A99" s="82" t="s">
        <v>257</v>
      </c>
      <c r="B99" s="133" t="s">
        <v>328</v>
      </c>
      <c r="C99" s="135">
        <f>((1/12)*0.05)</f>
        <v>4.1666666666666666E-3</v>
      </c>
      <c r="D99" s="104">
        <f>ROUND($D$43*C99,2)</f>
        <v>4.1100000000000003</v>
      </c>
    </row>
    <row r="100" spans="1:7" ht="31.5">
      <c r="A100" s="191" t="s">
        <v>259</v>
      </c>
      <c r="B100" s="91" t="s">
        <v>329</v>
      </c>
      <c r="C100" s="136">
        <f>D100/D43</f>
        <v>3.3490977733574199E-4</v>
      </c>
      <c r="D100" s="137">
        <f>ROUND(D75*C99,2)</f>
        <v>0.33</v>
      </c>
    </row>
    <row r="101" spans="1:7">
      <c r="A101" s="191" t="s">
        <v>261</v>
      </c>
      <c r="B101" s="138" t="s">
        <v>330</v>
      </c>
      <c r="C101" s="139">
        <f>0.08*0.5*0.9*(1+(5/56)+(5/56)+(1/3)*(5/56))</f>
        <v>4.3499999999999997E-2</v>
      </c>
      <c r="D101" s="107">
        <f>ROUND($D$43*C101,2)</f>
        <v>42.86</v>
      </c>
    </row>
    <row r="102" spans="1:7">
      <c r="A102" s="191" t="s">
        <v>263</v>
      </c>
      <c r="B102" s="138" t="s">
        <v>331</v>
      </c>
      <c r="C102" s="140">
        <f>(((7/30)/12))</f>
        <v>1.9444444444444445E-2</v>
      </c>
      <c r="D102" s="107">
        <f>ROUND($D$43*C102,2)</f>
        <v>19.16</v>
      </c>
    </row>
    <row r="103" spans="1:7" ht="31.5">
      <c r="A103" s="191" t="s">
        <v>284</v>
      </c>
      <c r="B103" s="138" t="s">
        <v>332</v>
      </c>
      <c r="C103" s="141">
        <f>D103/D43</f>
        <v>7.1650394787586003E-3</v>
      </c>
      <c r="D103" s="107">
        <f>ROUND(D78*C102,2)</f>
        <v>7.06</v>
      </c>
    </row>
    <row r="104" spans="1:7" ht="16.5" thickBot="1">
      <c r="A104" s="109" t="s">
        <v>286</v>
      </c>
      <c r="B104" s="134" t="s">
        <v>333</v>
      </c>
      <c r="C104" s="142">
        <f>(40%+10%)*C75*C102</f>
        <v>7.7777777777777784E-4</v>
      </c>
      <c r="D104" s="107">
        <f>ROUND($D$43*C104,2)</f>
        <v>0.77</v>
      </c>
    </row>
    <row r="105" spans="1:7" ht="16.5" thickBot="1">
      <c r="A105" s="525" t="s">
        <v>7</v>
      </c>
      <c r="B105" s="526"/>
      <c r="C105" s="127">
        <f>SUM(C99:C104)</f>
        <v>7.5388838144983233E-2</v>
      </c>
      <c r="D105" s="143">
        <f>SUM(D99:D104)</f>
        <v>74.289999999999992</v>
      </c>
    </row>
    <row r="106" spans="1:7">
      <c r="A106" s="71"/>
    </row>
    <row r="107" spans="1:7" ht="16.5" thickBot="1">
      <c r="A107" s="523" t="s">
        <v>334</v>
      </c>
      <c r="B107" s="523"/>
      <c r="C107" s="523"/>
      <c r="D107" s="523"/>
      <c r="E107" s="523"/>
      <c r="F107" s="523"/>
      <c r="G107" s="523"/>
    </row>
    <row r="108" spans="1:7" ht="32.25" thickBot="1">
      <c r="A108" s="117" t="s">
        <v>335</v>
      </c>
      <c r="B108" s="118" t="s">
        <v>336</v>
      </c>
      <c r="C108" s="117" t="s">
        <v>4</v>
      </c>
      <c r="D108" s="117" t="s">
        <v>279</v>
      </c>
    </row>
    <row r="109" spans="1:7">
      <c r="A109" s="82" t="s">
        <v>257</v>
      </c>
      <c r="B109" s="133" t="s">
        <v>13</v>
      </c>
      <c r="C109" s="144">
        <f>(5/56)</f>
        <v>8.9285714285714288E-2</v>
      </c>
      <c r="D109" s="107">
        <f t="shared" ref="D109:D114" si="1">ROUND($D$43*C109,2)</f>
        <v>87.98</v>
      </c>
    </row>
    <row r="110" spans="1:7">
      <c r="A110" s="191" t="s">
        <v>259</v>
      </c>
      <c r="B110" s="138" t="s">
        <v>379</v>
      </c>
      <c r="C110" s="122">
        <f>(10.96/30)/12</f>
        <v>3.0444444444444444E-2</v>
      </c>
      <c r="D110" s="107">
        <f t="shared" si="1"/>
        <v>30</v>
      </c>
      <c r="E110" s="184"/>
    </row>
    <row r="111" spans="1:7">
      <c r="A111" s="191" t="s">
        <v>261</v>
      </c>
      <c r="B111" s="138" t="s">
        <v>337</v>
      </c>
      <c r="C111" s="122">
        <f>((5/30)/12)*0.015</f>
        <v>2.0833333333333332E-4</v>
      </c>
      <c r="D111" s="107">
        <f t="shared" si="1"/>
        <v>0.21</v>
      </c>
    </row>
    <row r="112" spans="1:7">
      <c r="A112" s="191" t="s">
        <v>263</v>
      </c>
      <c r="B112" s="138" t="s">
        <v>338</v>
      </c>
      <c r="C112" s="122">
        <f>((1/30)/12)</f>
        <v>2.7777777777777779E-3</v>
      </c>
      <c r="D112" s="107">
        <f t="shared" si="1"/>
        <v>2.74</v>
      </c>
    </row>
    <row r="113" spans="1:7">
      <c r="A113" s="191" t="s">
        <v>284</v>
      </c>
      <c r="B113" s="138" t="s">
        <v>339</v>
      </c>
      <c r="C113" s="122">
        <f>((15/30)/12)*0.0078</f>
        <v>3.2499999999999999E-4</v>
      </c>
      <c r="D113" s="107">
        <f t="shared" si="1"/>
        <v>0.32</v>
      </c>
    </row>
    <row r="114" spans="1:7">
      <c r="A114" s="191" t="s">
        <v>286</v>
      </c>
      <c r="B114" s="138" t="s">
        <v>291</v>
      </c>
      <c r="C114" s="145"/>
      <c r="D114" s="107">
        <f t="shared" si="1"/>
        <v>0</v>
      </c>
    </row>
    <row r="115" spans="1:7">
      <c r="A115" s="532" t="s">
        <v>318</v>
      </c>
      <c r="B115" s="533"/>
      <c r="C115" s="122">
        <f>SUM(C109:C114)</f>
        <v>0.12304126984126985</v>
      </c>
      <c r="D115" s="107">
        <f>SUM(D109:D114)</f>
        <v>121.24999999999999</v>
      </c>
    </row>
    <row r="116" spans="1:7" ht="32.25" thickBot="1">
      <c r="A116" s="109" t="s">
        <v>288</v>
      </c>
      <c r="B116" s="134" t="s">
        <v>340</v>
      </c>
      <c r="C116" s="142">
        <f>D116/$D$43</f>
        <v>4.5344754095033184E-2</v>
      </c>
      <c r="D116" s="107">
        <f>ROUND(D78*C115,2)</f>
        <v>44.68</v>
      </c>
    </row>
    <row r="117" spans="1:7" ht="16.5" thickBot="1">
      <c r="A117" s="525" t="s">
        <v>7</v>
      </c>
      <c r="B117" s="526"/>
      <c r="C117" s="127">
        <f>C116+C115</f>
        <v>0.16838602393630303</v>
      </c>
      <c r="D117" s="146">
        <f>D116+D115</f>
        <v>165.92999999999998</v>
      </c>
    </row>
    <row r="118" spans="1:7">
      <c r="A118" s="190" t="s">
        <v>341</v>
      </c>
    </row>
    <row r="119" spans="1:7" ht="16.5" thickBot="1">
      <c r="A119" s="522" t="s">
        <v>342</v>
      </c>
      <c r="B119" s="522"/>
      <c r="C119" s="522"/>
      <c r="D119" s="522"/>
      <c r="E119" s="522"/>
      <c r="F119" s="522"/>
      <c r="G119" s="522"/>
    </row>
    <row r="120" spans="1:7" ht="32.25" customHeight="1" thickBot="1">
      <c r="A120" s="147">
        <v>4</v>
      </c>
      <c r="B120" s="148" t="s">
        <v>343</v>
      </c>
      <c r="C120" s="149" t="s">
        <v>4</v>
      </c>
      <c r="D120" s="150" t="s">
        <v>279</v>
      </c>
    </row>
    <row r="121" spans="1:7">
      <c r="A121" s="82" t="s">
        <v>307</v>
      </c>
      <c r="B121" s="133" t="s">
        <v>344</v>
      </c>
      <c r="C121" s="142">
        <f t="shared" ref="C121:C126" si="2">D121/$D$43</f>
        <v>0.16292853228327275</v>
      </c>
      <c r="D121" s="107">
        <f>D88</f>
        <v>160.54</v>
      </c>
    </row>
    <row r="122" spans="1:7">
      <c r="A122" s="191" t="s">
        <v>314</v>
      </c>
      <c r="B122" s="138" t="s">
        <v>308</v>
      </c>
      <c r="C122" s="142">
        <f t="shared" si="2"/>
        <v>0.36849209409949868</v>
      </c>
      <c r="D122" s="107">
        <f>D78</f>
        <v>363.09000000000003</v>
      </c>
    </row>
    <row r="123" spans="1:7">
      <c r="A123" s="191" t="s">
        <v>321</v>
      </c>
      <c r="B123" s="138" t="s">
        <v>323</v>
      </c>
      <c r="C123" s="142">
        <f t="shared" si="2"/>
        <v>1.0148781131386121E-3</v>
      </c>
      <c r="D123" s="107">
        <f>D94</f>
        <v>1</v>
      </c>
    </row>
    <row r="124" spans="1:7">
      <c r="A124" s="151" t="s">
        <v>326</v>
      </c>
      <c r="B124" s="152" t="s">
        <v>345</v>
      </c>
      <c r="C124" s="142">
        <f t="shared" si="2"/>
        <v>7.5395295025067477E-2</v>
      </c>
      <c r="D124" s="107">
        <f>D105</f>
        <v>74.289999999999992</v>
      </c>
    </row>
    <row r="125" spans="1:7">
      <c r="A125" s="153" t="s">
        <v>335</v>
      </c>
      <c r="B125" s="154" t="s">
        <v>346</v>
      </c>
      <c r="C125" s="142">
        <f t="shared" si="2"/>
        <v>0.16839872531308986</v>
      </c>
      <c r="D125" s="107">
        <f>D117</f>
        <v>165.92999999999998</v>
      </c>
    </row>
    <row r="126" spans="1:7" ht="16.5" thickBot="1">
      <c r="A126" s="191" t="s">
        <v>347</v>
      </c>
      <c r="B126" s="138" t="s">
        <v>291</v>
      </c>
      <c r="C126" s="142">
        <f t="shared" si="2"/>
        <v>0</v>
      </c>
      <c r="D126" s="107">
        <v>0</v>
      </c>
    </row>
    <row r="127" spans="1:7" ht="37.5" customHeight="1" thickBot="1">
      <c r="A127" s="530" t="s">
        <v>348</v>
      </c>
      <c r="B127" s="531"/>
      <c r="C127" s="127">
        <f>SUM(C121:C126)</f>
        <v>0.77622952483406737</v>
      </c>
      <c r="D127" s="113">
        <f>SUM(D121:D126)</f>
        <v>764.84999999999991</v>
      </c>
    </row>
    <row r="128" spans="1:7">
      <c r="A128" s="155"/>
      <c r="B128" s="155"/>
      <c r="C128" s="156"/>
      <c r="D128" s="157"/>
      <c r="E128" s="158"/>
      <c r="F128" s="159"/>
      <c r="G128" s="159"/>
    </row>
    <row r="129" spans="1:8" ht="16.5" thickBot="1">
      <c r="A129" s="522" t="s">
        <v>349</v>
      </c>
      <c r="B129" s="522"/>
      <c r="C129" s="522"/>
      <c r="D129" s="522"/>
      <c r="E129" s="522"/>
      <c r="F129" s="522"/>
      <c r="G129" s="522"/>
      <c r="H129" s="160"/>
    </row>
    <row r="130" spans="1:8" ht="16.5" thickBot="1">
      <c r="A130" s="147" t="s">
        <v>350</v>
      </c>
      <c r="B130" s="148" t="s">
        <v>351</v>
      </c>
      <c r="C130" s="149" t="s">
        <v>4</v>
      </c>
      <c r="D130" s="114" t="s">
        <v>279</v>
      </c>
      <c r="E130" s="161">
        <f>D43+D54+D64+D78+D88+D94+D105+D117</f>
        <v>2233.202933333333</v>
      </c>
      <c r="G130" s="160"/>
    </row>
    <row r="131" spans="1:8">
      <c r="A131" s="82" t="s">
        <v>257</v>
      </c>
      <c r="B131" s="133" t="s">
        <v>352</v>
      </c>
      <c r="C131" s="162">
        <v>7.2190000000000004E-2</v>
      </c>
      <c r="D131" s="163">
        <f>E130*C131</f>
        <v>161.21491975733332</v>
      </c>
      <c r="G131" s="160"/>
    </row>
    <row r="132" spans="1:8">
      <c r="A132" s="191" t="s">
        <v>259</v>
      </c>
      <c r="B132" s="138" t="s">
        <v>353</v>
      </c>
      <c r="C132" s="142"/>
      <c r="D132" s="164"/>
      <c r="F132" s="165"/>
    </row>
    <row r="133" spans="1:8">
      <c r="A133" s="191"/>
      <c r="B133" s="138" t="s">
        <v>354</v>
      </c>
      <c r="C133" s="142"/>
      <c r="D133" s="129"/>
      <c r="F133" s="182"/>
      <c r="G133" s="160"/>
    </row>
    <row r="134" spans="1:8">
      <c r="A134" s="191"/>
      <c r="B134" s="138" t="s">
        <v>355</v>
      </c>
      <c r="C134" s="142">
        <v>7.5999999999999998E-2</v>
      </c>
      <c r="D134" s="107">
        <f>$D$152*C134</f>
        <v>216.46110418063046</v>
      </c>
      <c r="E134" s="165">
        <f>D152</f>
        <v>2848.1724234293483</v>
      </c>
      <c r="G134" s="160"/>
    </row>
    <row r="135" spans="1:8">
      <c r="A135" s="191"/>
      <c r="B135" s="138" t="s">
        <v>356</v>
      </c>
      <c r="C135" s="142">
        <v>1.6500000000000001E-2</v>
      </c>
      <c r="D135" s="107">
        <f>$D$152*C135</f>
        <v>46.994844986584248</v>
      </c>
      <c r="E135" s="246"/>
      <c r="G135" s="160"/>
    </row>
    <row r="136" spans="1:8">
      <c r="A136" s="191"/>
      <c r="B136" s="138" t="s">
        <v>357</v>
      </c>
      <c r="C136" s="142"/>
      <c r="D136" s="107"/>
    </row>
    <row r="137" spans="1:8">
      <c r="A137" s="191"/>
      <c r="B137" s="138" t="s">
        <v>358</v>
      </c>
      <c r="C137" s="142">
        <v>0.05</v>
      </c>
      <c r="D137" s="107">
        <f>$D$152*C137</f>
        <v>142.40862117146742</v>
      </c>
      <c r="G137" s="160"/>
    </row>
    <row r="138" spans="1:8">
      <c r="A138" s="191"/>
      <c r="B138" s="138" t="s">
        <v>359</v>
      </c>
      <c r="C138" s="142"/>
      <c r="D138" s="107"/>
    </row>
    <row r="139" spans="1:8" ht="16.5" thickBot="1">
      <c r="A139" s="191" t="s">
        <v>261</v>
      </c>
      <c r="B139" s="138" t="s">
        <v>360</v>
      </c>
      <c r="C139" s="142">
        <v>0.02</v>
      </c>
      <c r="D139" s="107">
        <f>ROUND(E139*C139,2)</f>
        <v>47.89</v>
      </c>
      <c r="E139" s="132">
        <f>E130+D131</f>
        <v>2394.4178530906665</v>
      </c>
    </row>
    <row r="140" spans="1:8" ht="33" customHeight="1" thickBot="1">
      <c r="A140" s="527" t="s">
        <v>361</v>
      </c>
      <c r="B140" s="528"/>
      <c r="C140" s="529"/>
      <c r="D140" s="166">
        <f>D131+D134+D135+D137+D139</f>
        <v>614.96949009601542</v>
      </c>
    </row>
    <row r="141" spans="1:8">
      <c r="A141" s="522" t="s">
        <v>362</v>
      </c>
      <c r="B141" s="522"/>
      <c r="C141" s="522"/>
      <c r="D141" s="522"/>
      <c r="E141" s="522"/>
      <c r="F141" s="522"/>
      <c r="G141" s="522"/>
    </row>
    <row r="142" spans="1:8">
      <c r="A142" s="522" t="s">
        <v>363</v>
      </c>
      <c r="B142" s="522"/>
      <c r="C142" s="522"/>
      <c r="D142" s="522"/>
      <c r="E142" s="522"/>
      <c r="F142" s="522"/>
      <c r="G142" s="522"/>
    </row>
    <row r="143" spans="1:8">
      <c r="A143" s="190"/>
    </row>
    <row r="144" spans="1:8" ht="16.5" thickBot="1">
      <c r="A144" s="523" t="s">
        <v>364</v>
      </c>
      <c r="B144" s="523"/>
      <c r="C144" s="523"/>
      <c r="D144" s="523"/>
      <c r="E144" s="523"/>
      <c r="F144" s="523"/>
      <c r="G144" s="523"/>
    </row>
    <row r="145" spans="1:8" ht="32.25" customHeight="1" thickBot="1">
      <c r="A145" s="147"/>
      <c r="B145" s="524" t="s">
        <v>365</v>
      </c>
      <c r="C145" s="524"/>
      <c r="D145" s="167" t="s">
        <v>366</v>
      </c>
    </row>
    <row r="146" spans="1:8">
      <c r="A146" s="191" t="s">
        <v>257</v>
      </c>
      <c r="B146" s="138" t="s">
        <v>367</v>
      </c>
      <c r="C146" s="122">
        <f t="shared" ref="C146:C151" si="3">D146/$D$152</f>
        <v>0.34595517879974386</v>
      </c>
      <c r="D146" s="129">
        <f>D43</f>
        <v>985.34</v>
      </c>
    </row>
    <row r="147" spans="1:8">
      <c r="A147" s="191" t="s">
        <v>259</v>
      </c>
      <c r="B147" s="138" t="s">
        <v>368</v>
      </c>
      <c r="C147" s="122">
        <f t="shared" si="3"/>
        <v>0.15788355940142218</v>
      </c>
      <c r="D147" s="129">
        <f>D54</f>
        <v>449.67960000000005</v>
      </c>
    </row>
    <row r="148" spans="1:8" ht="31.5">
      <c r="A148" s="191" t="s">
        <v>261</v>
      </c>
      <c r="B148" s="138" t="s">
        <v>369</v>
      </c>
      <c r="C148" s="122">
        <f t="shared" si="3"/>
        <v>1.1703411303027175E-2</v>
      </c>
      <c r="D148" s="129">
        <f>D64</f>
        <v>33.333333333333336</v>
      </c>
      <c r="E148" s="165">
        <f>D150+D131+D139</f>
        <v>2442.3078530906664</v>
      </c>
    </row>
    <row r="149" spans="1:8" ht="31.5">
      <c r="A149" s="191" t="s">
        <v>263</v>
      </c>
      <c r="B149" s="138" t="s">
        <v>370</v>
      </c>
      <c r="C149" s="122">
        <f t="shared" si="3"/>
        <v>0.26854062405361001</v>
      </c>
      <c r="D149" s="129">
        <f>D127</f>
        <v>764.84999999999991</v>
      </c>
      <c r="E149" s="174">
        <f>C137+C135+C134</f>
        <v>0.14250000000000002</v>
      </c>
    </row>
    <row r="150" spans="1:8" ht="16.5" customHeight="1">
      <c r="A150" s="168" t="s">
        <v>371</v>
      </c>
      <c r="B150" s="169"/>
      <c r="C150" s="131">
        <f t="shared" si="3"/>
        <v>0.78408277355780309</v>
      </c>
      <c r="D150" s="170">
        <f>SUM(D146:D149)</f>
        <v>2233.202933333333</v>
      </c>
      <c r="E150" s="174">
        <f>100%-E149</f>
        <v>0.85749999999999993</v>
      </c>
    </row>
    <row r="151" spans="1:8" ht="32.25" thickBot="1">
      <c r="A151" s="191" t="s">
        <v>284</v>
      </c>
      <c r="B151" s="138" t="s">
        <v>372</v>
      </c>
      <c r="C151" s="122">
        <f t="shared" si="3"/>
        <v>0.21591722644219694</v>
      </c>
      <c r="D151" s="129">
        <f>D140</f>
        <v>614.96949009601542</v>
      </c>
      <c r="G151" s="171"/>
    </row>
    <row r="152" spans="1:8" ht="16.5" customHeight="1" thickBot="1">
      <c r="A152" s="525" t="s">
        <v>373</v>
      </c>
      <c r="B152" s="526"/>
      <c r="C152" s="127">
        <f>C151+C150</f>
        <v>1</v>
      </c>
      <c r="D152" s="166">
        <f>(D150+D139+D131)/0.8575</f>
        <v>2848.1724234293483</v>
      </c>
      <c r="E152" s="171"/>
      <c r="F152" s="165">
        <f>D150+D151</f>
        <v>2848.1724234293483</v>
      </c>
      <c r="H152" s="172"/>
    </row>
    <row r="153" spans="1:8">
      <c r="E153" s="171"/>
    </row>
    <row r="154" spans="1:8">
      <c r="A154" s="186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1.299212598425197" right="0.51181102362204722" top="2.1653543307086616" bottom="0.98425196850393704" header="0.31496062992125984" footer="0.31496062992125984"/>
  <pageSetup paperSize="9" scale="79" fitToHeight="4" orientation="portrait" r:id="rId1"/>
  <headerFooter alignWithMargins="0"/>
  <rowBreaks count="3" manualBreakCount="3">
    <brk id="43" max="3" man="1"/>
    <brk id="88" max="3" man="1"/>
    <brk id="12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B192"/>
  <sheetViews>
    <sheetView showGridLines="0" zoomScale="90" zoomScaleNormal="90" workbookViewId="0">
      <pane ySplit="4" topLeftCell="A5" activePane="bottomLeft" state="frozen"/>
      <selection activeCell="F20" sqref="F20"/>
      <selection pane="bottomLeft" activeCell="F20" sqref="F20"/>
    </sheetView>
  </sheetViews>
  <sheetFormatPr defaultRowHeight="15"/>
  <cols>
    <col min="1" max="1" width="2.5703125" style="3" customWidth="1"/>
    <col min="2" max="2" width="10.42578125" style="3" bestFit="1" customWidth="1"/>
    <col min="3" max="3" width="31.140625" style="3" customWidth="1"/>
    <col min="4" max="4" width="10.42578125" style="3" hidden="1" customWidth="1"/>
    <col min="5" max="5" width="10.140625" style="3" customWidth="1"/>
    <col min="6" max="6" width="11" style="3" customWidth="1"/>
    <col min="7" max="7" width="11.140625" style="3" customWidth="1"/>
    <col min="8" max="8" width="15" style="48" customWidth="1"/>
    <col min="9" max="9" width="2.85546875" style="3" customWidth="1"/>
    <col min="10" max="10" width="9.140625" style="3"/>
    <col min="11" max="11" width="12.5703125" style="3" customWidth="1"/>
    <col min="12" max="12" width="2.42578125" style="3" customWidth="1"/>
    <col min="13" max="13" width="20.85546875" style="3" customWidth="1"/>
    <col min="14" max="14" width="9.140625" style="3"/>
    <col min="15" max="15" width="18.42578125" style="3" bestFit="1" customWidth="1"/>
    <col min="16" max="16" width="9.140625" style="3"/>
    <col min="17" max="17" width="18.42578125" style="3" bestFit="1" customWidth="1"/>
    <col min="18" max="256" width="9.140625" style="3"/>
    <col min="257" max="257" width="2.5703125" style="3" customWidth="1"/>
    <col min="258" max="258" width="10.42578125" style="3" bestFit="1" customWidth="1"/>
    <col min="259" max="259" width="31.140625" style="3" customWidth="1"/>
    <col min="260" max="260" width="0" style="3" hidden="1" customWidth="1"/>
    <col min="261" max="261" width="10.140625" style="3" customWidth="1"/>
    <col min="262" max="262" width="11" style="3" customWidth="1"/>
    <col min="263" max="263" width="11.140625" style="3" customWidth="1"/>
    <col min="264" max="264" width="15" style="3" customWidth="1"/>
    <col min="265" max="265" width="2.85546875" style="3" customWidth="1"/>
    <col min="266" max="266" width="9.140625" style="3"/>
    <col min="267" max="267" width="12.5703125" style="3" customWidth="1"/>
    <col min="268" max="268" width="2.42578125" style="3" customWidth="1"/>
    <col min="269" max="269" width="20.85546875" style="3" customWidth="1"/>
    <col min="270" max="512" width="9.140625" style="3"/>
    <col min="513" max="513" width="2.5703125" style="3" customWidth="1"/>
    <col min="514" max="514" width="10.42578125" style="3" bestFit="1" customWidth="1"/>
    <col min="515" max="515" width="31.140625" style="3" customWidth="1"/>
    <col min="516" max="516" width="0" style="3" hidden="1" customWidth="1"/>
    <col min="517" max="517" width="10.140625" style="3" customWidth="1"/>
    <col min="518" max="518" width="11" style="3" customWidth="1"/>
    <col min="519" max="519" width="11.140625" style="3" customWidth="1"/>
    <col min="520" max="520" width="15" style="3" customWidth="1"/>
    <col min="521" max="521" width="2.85546875" style="3" customWidth="1"/>
    <col min="522" max="522" width="9.140625" style="3"/>
    <col min="523" max="523" width="12.5703125" style="3" customWidth="1"/>
    <col min="524" max="524" width="2.42578125" style="3" customWidth="1"/>
    <col min="525" max="525" width="20.85546875" style="3" customWidth="1"/>
    <col min="526" max="768" width="9.140625" style="3"/>
    <col min="769" max="769" width="2.5703125" style="3" customWidth="1"/>
    <col min="770" max="770" width="10.42578125" style="3" bestFit="1" customWidth="1"/>
    <col min="771" max="771" width="31.140625" style="3" customWidth="1"/>
    <col min="772" max="772" width="0" style="3" hidden="1" customWidth="1"/>
    <col min="773" max="773" width="10.140625" style="3" customWidth="1"/>
    <col min="774" max="774" width="11" style="3" customWidth="1"/>
    <col min="775" max="775" width="11.140625" style="3" customWidth="1"/>
    <col min="776" max="776" width="15" style="3" customWidth="1"/>
    <col min="777" max="777" width="2.85546875" style="3" customWidth="1"/>
    <col min="778" max="778" width="9.140625" style="3"/>
    <col min="779" max="779" width="12.5703125" style="3" customWidth="1"/>
    <col min="780" max="780" width="2.42578125" style="3" customWidth="1"/>
    <col min="781" max="781" width="20.85546875" style="3" customWidth="1"/>
    <col min="782" max="1024" width="9.140625" style="3"/>
    <col min="1025" max="1025" width="2.5703125" style="3" customWidth="1"/>
    <col min="1026" max="1026" width="10.42578125" style="3" bestFit="1" customWidth="1"/>
    <col min="1027" max="1027" width="31.140625" style="3" customWidth="1"/>
    <col min="1028" max="1028" width="0" style="3" hidden="1" customWidth="1"/>
    <col min="1029" max="1029" width="10.140625" style="3" customWidth="1"/>
    <col min="1030" max="1030" width="11" style="3" customWidth="1"/>
    <col min="1031" max="1031" width="11.140625" style="3" customWidth="1"/>
    <col min="1032" max="1032" width="15" style="3" customWidth="1"/>
    <col min="1033" max="1033" width="2.85546875" style="3" customWidth="1"/>
    <col min="1034" max="1034" width="9.140625" style="3"/>
    <col min="1035" max="1035" width="12.5703125" style="3" customWidth="1"/>
    <col min="1036" max="1036" width="2.42578125" style="3" customWidth="1"/>
    <col min="1037" max="1037" width="20.85546875" style="3" customWidth="1"/>
    <col min="1038" max="1280" width="9.140625" style="3"/>
    <col min="1281" max="1281" width="2.5703125" style="3" customWidth="1"/>
    <col min="1282" max="1282" width="10.42578125" style="3" bestFit="1" customWidth="1"/>
    <col min="1283" max="1283" width="31.140625" style="3" customWidth="1"/>
    <col min="1284" max="1284" width="0" style="3" hidden="1" customWidth="1"/>
    <col min="1285" max="1285" width="10.140625" style="3" customWidth="1"/>
    <col min="1286" max="1286" width="11" style="3" customWidth="1"/>
    <col min="1287" max="1287" width="11.140625" style="3" customWidth="1"/>
    <col min="1288" max="1288" width="15" style="3" customWidth="1"/>
    <col min="1289" max="1289" width="2.85546875" style="3" customWidth="1"/>
    <col min="1290" max="1290" width="9.140625" style="3"/>
    <col min="1291" max="1291" width="12.5703125" style="3" customWidth="1"/>
    <col min="1292" max="1292" width="2.42578125" style="3" customWidth="1"/>
    <col min="1293" max="1293" width="20.85546875" style="3" customWidth="1"/>
    <col min="1294" max="1536" width="9.140625" style="3"/>
    <col min="1537" max="1537" width="2.5703125" style="3" customWidth="1"/>
    <col min="1538" max="1538" width="10.42578125" style="3" bestFit="1" customWidth="1"/>
    <col min="1539" max="1539" width="31.140625" style="3" customWidth="1"/>
    <col min="1540" max="1540" width="0" style="3" hidden="1" customWidth="1"/>
    <col min="1541" max="1541" width="10.140625" style="3" customWidth="1"/>
    <col min="1542" max="1542" width="11" style="3" customWidth="1"/>
    <col min="1543" max="1543" width="11.140625" style="3" customWidth="1"/>
    <col min="1544" max="1544" width="15" style="3" customWidth="1"/>
    <col min="1545" max="1545" width="2.85546875" style="3" customWidth="1"/>
    <col min="1546" max="1546" width="9.140625" style="3"/>
    <col min="1547" max="1547" width="12.5703125" style="3" customWidth="1"/>
    <col min="1548" max="1548" width="2.42578125" style="3" customWidth="1"/>
    <col min="1549" max="1549" width="20.85546875" style="3" customWidth="1"/>
    <col min="1550" max="1792" width="9.140625" style="3"/>
    <col min="1793" max="1793" width="2.5703125" style="3" customWidth="1"/>
    <col min="1794" max="1794" width="10.42578125" style="3" bestFit="1" customWidth="1"/>
    <col min="1795" max="1795" width="31.140625" style="3" customWidth="1"/>
    <col min="1796" max="1796" width="0" style="3" hidden="1" customWidth="1"/>
    <col min="1797" max="1797" width="10.140625" style="3" customWidth="1"/>
    <col min="1798" max="1798" width="11" style="3" customWidth="1"/>
    <col min="1799" max="1799" width="11.140625" style="3" customWidth="1"/>
    <col min="1800" max="1800" width="15" style="3" customWidth="1"/>
    <col min="1801" max="1801" width="2.85546875" style="3" customWidth="1"/>
    <col min="1802" max="1802" width="9.140625" style="3"/>
    <col min="1803" max="1803" width="12.5703125" style="3" customWidth="1"/>
    <col min="1804" max="1804" width="2.42578125" style="3" customWidth="1"/>
    <col min="1805" max="1805" width="20.85546875" style="3" customWidth="1"/>
    <col min="1806" max="2048" width="9.140625" style="3"/>
    <col min="2049" max="2049" width="2.5703125" style="3" customWidth="1"/>
    <col min="2050" max="2050" width="10.42578125" style="3" bestFit="1" customWidth="1"/>
    <col min="2051" max="2051" width="31.140625" style="3" customWidth="1"/>
    <col min="2052" max="2052" width="0" style="3" hidden="1" customWidth="1"/>
    <col min="2053" max="2053" width="10.140625" style="3" customWidth="1"/>
    <col min="2054" max="2054" width="11" style="3" customWidth="1"/>
    <col min="2055" max="2055" width="11.140625" style="3" customWidth="1"/>
    <col min="2056" max="2056" width="15" style="3" customWidth="1"/>
    <col min="2057" max="2057" width="2.85546875" style="3" customWidth="1"/>
    <col min="2058" max="2058" width="9.140625" style="3"/>
    <col min="2059" max="2059" width="12.5703125" style="3" customWidth="1"/>
    <col min="2060" max="2060" width="2.42578125" style="3" customWidth="1"/>
    <col min="2061" max="2061" width="20.85546875" style="3" customWidth="1"/>
    <col min="2062" max="2304" width="9.140625" style="3"/>
    <col min="2305" max="2305" width="2.5703125" style="3" customWidth="1"/>
    <col min="2306" max="2306" width="10.42578125" style="3" bestFit="1" customWidth="1"/>
    <col min="2307" max="2307" width="31.140625" style="3" customWidth="1"/>
    <col min="2308" max="2308" width="0" style="3" hidden="1" customWidth="1"/>
    <col min="2309" max="2309" width="10.140625" style="3" customWidth="1"/>
    <col min="2310" max="2310" width="11" style="3" customWidth="1"/>
    <col min="2311" max="2311" width="11.140625" style="3" customWidth="1"/>
    <col min="2312" max="2312" width="15" style="3" customWidth="1"/>
    <col min="2313" max="2313" width="2.85546875" style="3" customWidth="1"/>
    <col min="2314" max="2314" width="9.140625" style="3"/>
    <col min="2315" max="2315" width="12.5703125" style="3" customWidth="1"/>
    <col min="2316" max="2316" width="2.42578125" style="3" customWidth="1"/>
    <col min="2317" max="2317" width="20.85546875" style="3" customWidth="1"/>
    <col min="2318" max="2560" width="9.140625" style="3"/>
    <col min="2561" max="2561" width="2.5703125" style="3" customWidth="1"/>
    <col min="2562" max="2562" width="10.42578125" style="3" bestFit="1" customWidth="1"/>
    <col min="2563" max="2563" width="31.140625" style="3" customWidth="1"/>
    <col min="2564" max="2564" width="0" style="3" hidden="1" customWidth="1"/>
    <col min="2565" max="2565" width="10.140625" style="3" customWidth="1"/>
    <col min="2566" max="2566" width="11" style="3" customWidth="1"/>
    <col min="2567" max="2567" width="11.140625" style="3" customWidth="1"/>
    <col min="2568" max="2568" width="15" style="3" customWidth="1"/>
    <col min="2569" max="2569" width="2.85546875" style="3" customWidth="1"/>
    <col min="2570" max="2570" width="9.140625" style="3"/>
    <col min="2571" max="2571" width="12.5703125" style="3" customWidth="1"/>
    <col min="2572" max="2572" width="2.42578125" style="3" customWidth="1"/>
    <col min="2573" max="2573" width="20.85546875" style="3" customWidth="1"/>
    <col min="2574" max="2816" width="9.140625" style="3"/>
    <col min="2817" max="2817" width="2.5703125" style="3" customWidth="1"/>
    <col min="2818" max="2818" width="10.42578125" style="3" bestFit="1" customWidth="1"/>
    <col min="2819" max="2819" width="31.140625" style="3" customWidth="1"/>
    <col min="2820" max="2820" width="0" style="3" hidden="1" customWidth="1"/>
    <col min="2821" max="2821" width="10.140625" style="3" customWidth="1"/>
    <col min="2822" max="2822" width="11" style="3" customWidth="1"/>
    <col min="2823" max="2823" width="11.140625" style="3" customWidth="1"/>
    <col min="2824" max="2824" width="15" style="3" customWidth="1"/>
    <col min="2825" max="2825" width="2.85546875" style="3" customWidth="1"/>
    <col min="2826" max="2826" width="9.140625" style="3"/>
    <col min="2827" max="2827" width="12.5703125" style="3" customWidth="1"/>
    <col min="2828" max="2828" width="2.42578125" style="3" customWidth="1"/>
    <col min="2829" max="2829" width="20.85546875" style="3" customWidth="1"/>
    <col min="2830" max="3072" width="9.140625" style="3"/>
    <col min="3073" max="3073" width="2.5703125" style="3" customWidth="1"/>
    <col min="3074" max="3074" width="10.42578125" style="3" bestFit="1" customWidth="1"/>
    <col min="3075" max="3075" width="31.140625" style="3" customWidth="1"/>
    <col min="3076" max="3076" width="0" style="3" hidden="1" customWidth="1"/>
    <col min="3077" max="3077" width="10.140625" style="3" customWidth="1"/>
    <col min="3078" max="3078" width="11" style="3" customWidth="1"/>
    <col min="3079" max="3079" width="11.140625" style="3" customWidth="1"/>
    <col min="3080" max="3080" width="15" style="3" customWidth="1"/>
    <col min="3081" max="3081" width="2.85546875" style="3" customWidth="1"/>
    <col min="3082" max="3082" width="9.140625" style="3"/>
    <col min="3083" max="3083" width="12.5703125" style="3" customWidth="1"/>
    <col min="3084" max="3084" width="2.42578125" style="3" customWidth="1"/>
    <col min="3085" max="3085" width="20.85546875" style="3" customWidth="1"/>
    <col min="3086" max="3328" width="9.140625" style="3"/>
    <col min="3329" max="3329" width="2.5703125" style="3" customWidth="1"/>
    <col min="3330" max="3330" width="10.42578125" style="3" bestFit="1" customWidth="1"/>
    <col min="3331" max="3331" width="31.140625" style="3" customWidth="1"/>
    <col min="3332" max="3332" width="0" style="3" hidden="1" customWidth="1"/>
    <col min="3333" max="3333" width="10.140625" style="3" customWidth="1"/>
    <col min="3334" max="3334" width="11" style="3" customWidth="1"/>
    <col min="3335" max="3335" width="11.140625" style="3" customWidth="1"/>
    <col min="3336" max="3336" width="15" style="3" customWidth="1"/>
    <col min="3337" max="3337" width="2.85546875" style="3" customWidth="1"/>
    <col min="3338" max="3338" width="9.140625" style="3"/>
    <col min="3339" max="3339" width="12.5703125" style="3" customWidth="1"/>
    <col min="3340" max="3340" width="2.42578125" style="3" customWidth="1"/>
    <col min="3341" max="3341" width="20.85546875" style="3" customWidth="1"/>
    <col min="3342" max="3584" width="9.140625" style="3"/>
    <col min="3585" max="3585" width="2.5703125" style="3" customWidth="1"/>
    <col min="3586" max="3586" width="10.42578125" style="3" bestFit="1" customWidth="1"/>
    <col min="3587" max="3587" width="31.140625" style="3" customWidth="1"/>
    <col min="3588" max="3588" width="0" style="3" hidden="1" customWidth="1"/>
    <col min="3589" max="3589" width="10.140625" style="3" customWidth="1"/>
    <col min="3590" max="3590" width="11" style="3" customWidth="1"/>
    <col min="3591" max="3591" width="11.140625" style="3" customWidth="1"/>
    <col min="3592" max="3592" width="15" style="3" customWidth="1"/>
    <col min="3593" max="3593" width="2.85546875" style="3" customWidth="1"/>
    <col min="3594" max="3594" width="9.140625" style="3"/>
    <col min="3595" max="3595" width="12.5703125" style="3" customWidth="1"/>
    <col min="3596" max="3596" width="2.42578125" style="3" customWidth="1"/>
    <col min="3597" max="3597" width="20.85546875" style="3" customWidth="1"/>
    <col min="3598" max="3840" width="9.140625" style="3"/>
    <col min="3841" max="3841" width="2.5703125" style="3" customWidth="1"/>
    <col min="3842" max="3842" width="10.42578125" style="3" bestFit="1" customWidth="1"/>
    <col min="3843" max="3843" width="31.140625" style="3" customWidth="1"/>
    <col min="3844" max="3844" width="0" style="3" hidden="1" customWidth="1"/>
    <col min="3845" max="3845" width="10.140625" style="3" customWidth="1"/>
    <col min="3846" max="3846" width="11" style="3" customWidth="1"/>
    <col min="3847" max="3847" width="11.140625" style="3" customWidth="1"/>
    <col min="3848" max="3848" width="15" style="3" customWidth="1"/>
    <col min="3849" max="3849" width="2.85546875" style="3" customWidth="1"/>
    <col min="3850" max="3850" width="9.140625" style="3"/>
    <col min="3851" max="3851" width="12.5703125" style="3" customWidth="1"/>
    <col min="3852" max="3852" width="2.42578125" style="3" customWidth="1"/>
    <col min="3853" max="3853" width="20.85546875" style="3" customWidth="1"/>
    <col min="3854" max="4096" width="9.140625" style="3"/>
    <col min="4097" max="4097" width="2.5703125" style="3" customWidth="1"/>
    <col min="4098" max="4098" width="10.42578125" style="3" bestFit="1" customWidth="1"/>
    <col min="4099" max="4099" width="31.140625" style="3" customWidth="1"/>
    <col min="4100" max="4100" width="0" style="3" hidden="1" customWidth="1"/>
    <col min="4101" max="4101" width="10.140625" style="3" customWidth="1"/>
    <col min="4102" max="4102" width="11" style="3" customWidth="1"/>
    <col min="4103" max="4103" width="11.140625" style="3" customWidth="1"/>
    <col min="4104" max="4104" width="15" style="3" customWidth="1"/>
    <col min="4105" max="4105" width="2.85546875" style="3" customWidth="1"/>
    <col min="4106" max="4106" width="9.140625" style="3"/>
    <col min="4107" max="4107" width="12.5703125" style="3" customWidth="1"/>
    <col min="4108" max="4108" width="2.42578125" style="3" customWidth="1"/>
    <col min="4109" max="4109" width="20.85546875" style="3" customWidth="1"/>
    <col min="4110" max="4352" width="9.140625" style="3"/>
    <col min="4353" max="4353" width="2.5703125" style="3" customWidth="1"/>
    <col min="4354" max="4354" width="10.42578125" style="3" bestFit="1" customWidth="1"/>
    <col min="4355" max="4355" width="31.140625" style="3" customWidth="1"/>
    <col min="4356" max="4356" width="0" style="3" hidden="1" customWidth="1"/>
    <col min="4357" max="4357" width="10.140625" style="3" customWidth="1"/>
    <col min="4358" max="4358" width="11" style="3" customWidth="1"/>
    <col min="4359" max="4359" width="11.140625" style="3" customWidth="1"/>
    <col min="4360" max="4360" width="15" style="3" customWidth="1"/>
    <col min="4361" max="4361" width="2.85546875" style="3" customWidth="1"/>
    <col min="4362" max="4362" width="9.140625" style="3"/>
    <col min="4363" max="4363" width="12.5703125" style="3" customWidth="1"/>
    <col min="4364" max="4364" width="2.42578125" style="3" customWidth="1"/>
    <col min="4365" max="4365" width="20.85546875" style="3" customWidth="1"/>
    <col min="4366" max="4608" width="9.140625" style="3"/>
    <col min="4609" max="4609" width="2.5703125" style="3" customWidth="1"/>
    <col min="4610" max="4610" width="10.42578125" style="3" bestFit="1" customWidth="1"/>
    <col min="4611" max="4611" width="31.140625" style="3" customWidth="1"/>
    <col min="4612" max="4612" width="0" style="3" hidden="1" customWidth="1"/>
    <col min="4613" max="4613" width="10.140625" style="3" customWidth="1"/>
    <col min="4614" max="4614" width="11" style="3" customWidth="1"/>
    <col min="4615" max="4615" width="11.140625" style="3" customWidth="1"/>
    <col min="4616" max="4616" width="15" style="3" customWidth="1"/>
    <col min="4617" max="4617" width="2.85546875" style="3" customWidth="1"/>
    <col min="4618" max="4618" width="9.140625" style="3"/>
    <col min="4619" max="4619" width="12.5703125" style="3" customWidth="1"/>
    <col min="4620" max="4620" width="2.42578125" style="3" customWidth="1"/>
    <col min="4621" max="4621" width="20.85546875" style="3" customWidth="1"/>
    <col min="4622" max="4864" width="9.140625" style="3"/>
    <col min="4865" max="4865" width="2.5703125" style="3" customWidth="1"/>
    <col min="4866" max="4866" width="10.42578125" style="3" bestFit="1" customWidth="1"/>
    <col min="4867" max="4867" width="31.140625" style="3" customWidth="1"/>
    <col min="4868" max="4868" width="0" style="3" hidden="1" customWidth="1"/>
    <col min="4869" max="4869" width="10.140625" style="3" customWidth="1"/>
    <col min="4870" max="4870" width="11" style="3" customWidth="1"/>
    <col min="4871" max="4871" width="11.140625" style="3" customWidth="1"/>
    <col min="4872" max="4872" width="15" style="3" customWidth="1"/>
    <col min="4873" max="4873" width="2.85546875" style="3" customWidth="1"/>
    <col min="4874" max="4874" width="9.140625" style="3"/>
    <col min="4875" max="4875" width="12.5703125" style="3" customWidth="1"/>
    <col min="4876" max="4876" width="2.42578125" style="3" customWidth="1"/>
    <col min="4877" max="4877" width="20.85546875" style="3" customWidth="1"/>
    <col min="4878" max="5120" width="9.140625" style="3"/>
    <col min="5121" max="5121" width="2.5703125" style="3" customWidth="1"/>
    <col min="5122" max="5122" width="10.42578125" style="3" bestFit="1" customWidth="1"/>
    <col min="5123" max="5123" width="31.140625" style="3" customWidth="1"/>
    <col min="5124" max="5124" width="0" style="3" hidden="1" customWidth="1"/>
    <col min="5125" max="5125" width="10.140625" style="3" customWidth="1"/>
    <col min="5126" max="5126" width="11" style="3" customWidth="1"/>
    <col min="5127" max="5127" width="11.140625" style="3" customWidth="1"/>
    <col min="5128" max="5128" width="15" style="3" customWidth="1"/>
    <col min="5129" max="5129" width="2.85546875" style="3" customWidth="1"/>
    <col min="5130" max="5130" width="9.140625" style="3"/>
    <col min="5131" max="5131" width="12.5703125" style="3" customWidth="1"/>
    <col min="5132" max="5132" width="2.42578125" style="3" customWidth="1"/>
    <col min="5133" max="5133" width="20.85546875" style="3" customWidth="1"/>
    <col min="5134" max="5376" width="9.140625" style="3"/>
    <col min="5377" max="5377" width="2.5703125" style="3" customWidth="1"/>
    <col min="5378" max="5378" width="10.42578125" style="3" bestFit="1" customWidth="1"/>
    <col min="5379" max="5379" width="31.140625" style="3" customWidth="1"/>
    <col min="5380" max="5380" width="0" style="3" hidden="1" customWidth="1"/>
    <col min="5381" max="5381" width="10.140625" style="3" customWidth="1"/>
    <col min="5382" max="5382" width="11" style="3" customWidth="1"/>
    <col min="5383" max="5383" width="11.140625" style="3" customWidth="1"/>
    <col min="5384" max="5384" width="15" style="3" customWidth="1"/>
    <col min="5385" max="5385" width="2.85546875" style="3" customWidth="1"/>
    <col min="5386" max="5386" width="9.140625" style="3"/>
    <col min="5387" max="5387" width="12.5703125" style="3" customWidth="1"/>
    <col min="5388" max="5388" width="2.42578125" style="3" customWidth="1"/>
    <col min="5389" max="5389" width="20.85546875" style="3" customWidth="1"/>
    <col min="5390" max="5632" width="9.140625" style="3"/>
    <col min="5633" max="5633" width="2.5703125" style="3" customWidth="1"/>
    <col min="5634" max="5634" width="10.42578125" style="3" bestFit="1" customWidth="1"/>
    <col min="5635" max="5635" width="31.140625" style="3" customWidth="1"/>
    <col min="5636" max="5636" width="0" style="3" hidden="1" customWidth="1"/>
    <col min="5637" max="5637" width="10.140625" style="3" customWidth="1"/>
    <col min="5638" max="5638" width="11" style="3" customWidth="1"/>
    <col min="5639" max="5639" width="11.140625" style="3" customWidth="1"/>
    <col min="5640" max="5640" width="15" style="3" customWidth="1"/>
    <col min="5641" max="5641" width="2.85546875" style="3" customWidth="1"/>
    <col min="5642" max="5642" width="9.140625" style="3"/>
    <col min="5643" max="5643" width="12.5703125" style="3" customWidth="1"/>
    <col min="5644" max="5644" width="2.42578125" style="3" customWidth="1"/>
    <col min="5645" max="5645" width="20.85546875" style="3" customWidth="1"/>
    <col min="5646" max="5888" width="9.140625" style="3"/>
    <col min="5889" max="5889" width="2.5703125" style="3" customWidth="1"/>
    <col min="5890" max="5890" width="10.42578125" style="3" bestFit="1" customWidth="1"/>
    <col min="5891" max="5891" width="31.140625" style="3" customWidth="1"/>
    <col min="5892" max="5892" width="0" style="3" hidden="1" customWidth="1"/>
    <col min="5893" max="5893" width="10.140625" style="3" customWidth="1"/>
    <col min="5894" max="5894" width="11" style="3" customWidth="1"/>
    <col min="5895" max="5895" width="11.140625" style="3" customWidth="1"/>
    <col min="5896" max="5896" width="15" style="3" customWidth="1"/>
    <col min="5897" max="5897" width="2.85546875" style="3" customWidth="1"/>
    <col min="5898" max="5898" width="9.140625" style="3"/>
    <col min="5899" max="5899" width="12.5703125" style="3" customWidth="1"/>
    <col min="5900" max="5900" width="2.42578125" style="3" customWidth="1"/>
    <col min="5901" max="5901" width="20.85546875" style="3" customWidth="1"/>
    <col min="5902" max="6144" width="9.140625" style="3"/>
    <col min="6145" max="6145" width="2.5703125" style="3" customWidth="1"/>
    <col min="6146" max="6146" width="10.42578125" style="3" bestFit="1" customWidth="1"/>
    <col min="6147" max="6147" width="31.140625" style="3" customWidth="1"/>
    <col min="6148" max="6148" width="0" style="3" hidden="1" customWidth="1"/>
    <col min="6149" max="6149" width="10.140625" style="3" customWidth="1"/>
    <col min="6150" max="6150" width="11" style="3" customWidth="1"/>
    <col min="6151" max="6151" width="11.140625" style="3" customWidth="1"/>
    <col min="6152" max="6152" width="15" style="3" customWidth="1"/>
    <col min="6153" max="6153" width="2.85546875" style="3" customWidth="1"/>
    <col min="6154" max="6154" width="9.140625" style="3"/>
    <col min="6155" max="6155" width="12.5703125" style="3" customWidth="1"/>
    <col min="6156" max="6156" width="2.42578125" style="3" customWidth="1"/>
    <col min="6157" max="6157" width="20.85546875" style="3" customWidth="1"/>
    <col min="6158" max="6400" width="9.140625" style="3"/>
    <col min="6401" max="6401" width="2.5703125" style="3" customWidth="1"/>
    <col min="6402" max="6402" width="10.42578125" style="3" bestFit="1" customWidth="1"/>
    <col min="6403" max="6403" width="31.140625" style="3" customWidth="1"/>
    <col min="6404" max="6404" width="0" style="3" hidden="1" customWidth="1"/>
    <col min="6405" max="6405" width="10.140625" style="3" customWidth="1"/>
    <col min="6406" max="6406" width="11" style="3" customWidth="1"/>
    <col min="6407" max="6407" width="11.140625" style="3" customWidth="1"/>
    <col min="6408" max="6408" width="15" style="3" customWidth="1"/>
    <col min="6409" max="6409" width="2.85546875" style="3" customWidth="1"/>
    <col min="6410" max="6410" width="9.140625" style="3"/>
    <col min="6411" max="6411" width="12.5703125" style="3" customWidth="1"/>
    <col min="6412" max="6412" width="2.42578125" style="3" customWidth="1"/>
    <col min="6413" max="6413" width="20.85546875" style="3" customWidth="1"/>
    <col min="6414" max="6656" width="9.140625" style="3"/>
    <col min="6657" max="6657" width="2.5703125" style="3" customWidth="1"/>
    <col min="6658" max="6658" width="10.42578125" style="3" bestFit="1" customWidth="1"/>
    <col min="6659" max="6659" width="31.140625" style="3" customWidth="1"/>
    <col min="6660" max="6660" width="0" style="3" hidden="1" customWidth="1"/>
    <col min="6661" max="6661" width="10.140625" style="3" customWidth="1"/>
    <col min="6662" max="6662" width="11" style="3" customWidth="1"/>
    <col min="6663" max="6663" width="11.140625" style="3" customWidth="1"/>
    <col min="6664" max="6664" width="15" style="3" customWidth="1"/>
    <col min="6665" max="6665" width="2.85546875" style="3" customWidth="1"/>
    <col min="6666" max="6666" width="9.140625" style="3"/>
    <col min="6667" max="6667" width="12.5703125" style="3" customWidth="1"/>
    <col min="6668" max="6668" width="2.42578125" style="3" customWidth="1"/>
    <col min="6669" max="6669" width="20.85546875" style="3" customWidth="1"/>
    <col min="6670" max="6912" width="9.140625" style="3"/>
    <col min="6913" max="6913" width="2.5703125" style="3" customWidth="1"/>
    <col min="6914" max="6914" width="10.42578125" style="3" bestFit="1" customWidth="1"/>
    <col min="6915" max="6915" width="31.140625" style="3" customWidth="1"/>
    <col min="6916" max="6916" width="0" style="3" hidden="1" customWidth="1"/>
    <col min="6917" max="6917" width="10.140625" style="3" customWidth="1"/>
    <col min="6918" max="6918" width="11" style="3" customWidth="1"/>
    <col min="6919" max="6919" width="11.140625" style="3" customWidth="1"/>
    <col min="6920" max="6920" width="15" style="3" customWidth="1"/>
    <col min="6921" max="6921" width="2.85546875" style="3" customWidth="1"/>
    <col min="6922" max="6922" width="9.140625" style="3"/>
    <col min="6923" max="6923" width="12.5703125" style="3" customWidth="1"/>
    <col min="6924" max="6924" width="2.42578125" style="3" customWidth="1"/>
    <col min="6925" max="6925" width="20.85546875" style="3" customWidth="1"/>
    <col min="6926" max="7168" width="9.140625" style="3"/>
    <col min="7169" max="7169" width="2.5703125" style="3" customWidth="1"/>
    <col min="7170" max="7170" width="10.42578125" style="3" bestFit="1" customWidth="1"/>
    <col min="7171" max="7171" width="31.140625" style="3" customWidth="1"/>
    <col min="7172" max="7172" width="0" style="3" hidden="1" customWidth="1"/>
    <col min="7173" max="7173" width="10.140625" style="3" customWidth="1"/>
    <col min="7174" max="7174" width="11" style="3" customWidth="1"/>
    <col min="7175" max="7175" width="11.140625" style="3" customWidth="1"/>
    <col min="7176" max="7176" width="15" style="3" customWidth="1"/>
    <col min="7177" max="7177" width="2.85546875" style="3" customWidth="1"/>
    <col min="7178" max="7178" width="9.140625" style="3"/>
    <col min="7179" max="7179" width="12.5703125" style="3" customWidth="1"/>
    <col min="7180" max="7180" width="2.42578125" style="3" customWidth="1"/>
    <col min="7181" max="7181" width="20.85546875" style="3" customWidth="1"/>
    <col min="7182" max="7424" width="9.140625" style="3"/>
    <col min="7425" max="7425" width="2.5703125" style="3" customWidth="1"/>
    <col min="7426" max="7426" width="10.42578125" style="3" bestFit="1" customWidth="1"/>
    <col min="7427" max="7427" width="31.140625" style="3" customWidth="1"/>
    <col min="7428" max="7428" width="0" style="3" hidden="1" customWidth="1"/>
    <col min="7429" max="7429" width="10.140625" style="3" customWidth="1"/>
    <col min="7430" max="7430" width="11" style="3" customWidth="1"/>
    <col min="7431" max="7431" width="11.140625" style="3" customWidth="1"/>
    <col min="7432" max="7432" width="15" style="3" customWidth="1"/>
    <col min="7433" max="7433" width="2.85546875" style="3" customWidth="1"/>
    <col min="7434" max="7434" width="9.140625" style="3"/>
    <col min="7435" max="7435" width="12.5703125" style="3" customWidth="1"/>
    <col min="7436" max="7436" width="2.42578125" style="3" customWidth="1"/>
    <col min="7437" max="7437" width="20.85546875" style="3" customWidth="1"/>
    <col min="7438" max="7680" width="9.140625" style="3"/>
    <col min="7681" max="7681" width="2.5703125" style="3" customWidth="1"/>
    <col min="7682" max="7682" width="10.42578125" style="3" bestFit="1" customWidth="1"/>
    <col min="7683" max="7683" width="31.140625" style="3" customWidth="1"/>
    <col min="7684" max="7684" width="0" style="3" hidden="1" customWidth="1"/>
    <col min="7685" max="7685" width="10.140625" style="3" customWidth="1"/>
    <col min="7686" max="7686" width="11" style="3" customWidth="1"/>
    <col min="7687" max="7687" width="11.140625" style="3" customWidth="1"/>
    <col min="7688" max="7688" width="15" style="3" customWidth="1"/>
    <col min="7689" max="7689" width="2.85546875" style="3" customWidth="1"/>
    <col min="7690" max="7690" width="9.140625" style="3"/>
    <col min="7691" max="7691" width="12.5703125" style="3" customWidth="1"/>
    <col min="7692" max="7692" width="2.42578125" style="3" customWidth="1"/>
    <col min="7693" max="7693" width="20.85546875" style="3" customWidth="1"/>
    <col min="7694" max="7936" width="9.140625" style="3"/>
    <col min="7937" max="7937" width="2.5703125" style="3" customWidth="1"/>
    <col min="7938" max="7938" width="10.42578125" style="3" bestFit="1" customWidth="1"/>
    <col min="7939" max="7939" width="31.140625" style="3" customWidth="1"/>
    <col min="7940" max="7940" width="0" style="3" hidden="1" customWidth="1"/>
    <col min="7941" max="7941" width="10.140625" style="3" customWidth="1"/>
    <col min="7942" max="7942" width="11" style="3" customWidth="1"/>
    <col min="7943" max="7943" width="11.140625" style="3" customWidth="1"/>
    <col min="7944" max="7944" width="15" style="3" customWidth="1"/>
    <col min="7945" max="7945" width="2.85546875" style="3" customWidth="1"/>
    <col min="7946" max="7946" width="9.140625" style="3"/>
    <col min="7947" max="7947" width="12.5703125" style="3" customWidth="1"/>
    <col min="7948" max="7948" width="2.42578125" style="3" customWidth="1"/>
    <col min="7949" max="7949" width="20.85546875" style="3" customWidth="1"/>
    <col min="7950" max="8192" width="9.140625" style="3"/>
    <col min="8193" max="8193" width="2.5703125" style="3" customWidth="1"/>
    <col min="8194" max="8194" width="10.42578125" style="3" bestFit="1" customWidth="1"/>
    <col min="8195" max="8195" width="31.140625" style="3" customWidth="1"/>
    <col min="8196" max="8196" width="0" style="3" hidden="1" customWidth="1"/>
    <col min="8197" max="8197" width="10.140625" style="3" customWidth="1"/>
    <col min="8198" max="8198" width="11" style="3" customWidth="1"/>
    <col min="8199" max="8199" width="11.140625" style="3" customWidth="1"/>
    <col min="8200" max="8200" width="15" style="3" customWidth="1"/>
    <col min="8201" max="8201" width="2.85546875" style="3" customWidth="1"/>
    <col min="8202" max="8202" width="9.140625" style="3"/>
    <col min="8203" max="8203" width="12.5703125" style="3" customWidth="1"/>
    <col min="8204" max="8204" width="2.42578125" style="3" customWidth="1"/>
    <col min="8205" max="8205" width="20.85546875" style="3" customWidth="1"/>
    <col min="8206" max="8448" width="9.140625" style="3"/>
    <col min="8449" max="8449" width="2.5703125" style="3" customWidth="1"/>
    <col min="8450" max="8450" width="10.42578125" style="3" bestFit="1" customWidth="1"/>
    <col min="8451" max="8451" width="31.140625" style="3" customWidth="1"/>
    <col min="8452" max="8452" width="0" style="3" hidden="1" customWidth="1"/>
    <col min="8453" max="8453" width="10.140625" style="3" customWidth="1"/>
    <col min="8454" max="8454" width="11" style="3" customWidth="1"/>
    <col min="8455" max="8455" width="11.140625" style="3" customWidth="1"/>
    <col min="8456" max="8456" width="15" style="3" customWidth="1"/>
    <col min="8457" max="8457" width="2.85546875" style="3" customWidth="1"/>
    <col min="8458" max="8458" width="9.140625" style="3"/>
    <col min="8459" max="8459" width="12.5703125" style="3" customWidth="1"/>
    <col min="8460" max="8460" width="2.42578125" style="3" customWidth="1"/>
    <col min="8461" max="8461" width="20.85546875" style="3" customWidth="1"/>
    <col min="8462" max="8704" width="9.140625" style="3"/>
    <col min="8705" max="8705" width="2.5703125" style="3" customWidth="1"/>
    <col min="8706" max="8706" width="10.42578125" style="3" bestFit="1" customWidth="1"/>
    <col min="8707" max="8707" width="31.140625" style="3" customWidth="1"/>
    <col min="8708" max="8708" width="0" style="3" hidden="1" customWidth="1"/>
    <col min="8709" max="8709" width="10.140625" style="3" customWidth="1"/>
    <col min="8710" max="8710" width="11" style="3" customWidth="1"/>
    <col min="8711" max="8711" width="11.140625" style="3" customWidth="1"/>
    <col min="8712" max="8712" width="15" style="3" customWidth="1"/>
    <col min="8713" max="8713" width="2.85546875" style="3" customWidth="1"/>
    <col min="8714" max="8714" width="9.140625" style="3"/>
    <col min="8715" max="8715" width="12.5703125" style="3" customWidth="1"/>
    <col min="8716" max="8716" width="2.42578125" style="3" customWidth="1"/>
    <col min="8717" max="8717" width="20.85546875" style="3" customWidth="1"/>
    <col min="8718" max="8960" width="9.140625" style="3"/>
    <col min="8961" max="8961" width="2.5703125" style="3" customWidth="1"/>
    <col min="8962" max="8962" width="10.42578125" style="3" bestFit="1" customWidth="1"/>
    <col min="8963" max="8963" width="31.140625" style="3" customWidth="1"/>
    <col min="8964" max="8964" width="0" style="3" hidden="1" customWidth="1"/>
    <col min="8965" max="8965" width="10.140625" style="3" customWidth="1"/>
    <col min="8966" max="8966" width="11" style="3" customWidth="1"/>
    <col min="8967" max="8967" width="11.140625" style="3" customWidth="1"/>
    <col min="8968" max="8968" width="15" style="3" customWidth="1"/>
    <col min="8969" max="8969" width="2.85546875" style="3" customWidth="1"/>
    <col min="8970" max="8970" width="9.140625" style="3"/>
    <col min="8971" max="8971" width="12.5703125" style="3" customWidth="1"/>
    <col min="8972" max="8972" width="2.42578125" style="3" customWidth="1"/>
    <col min="8973" max="8973" width="20.85546875" style="3" customWidth="1"/>
    <col min="8974" max="9216" width="9.140625" style="3"/>
    <col min="9217" max="9217" width="2.5703125" style="3" customWidth="1"/>
    <col min="9218" max="9218" width="10.42578125" style="3" bestFit="1" customWidth="1"/>
    <col min="9219" max="9219" width="31.140625" style="3" customWidth="1"/>
    <col min="9220" max="9220" width="0" style="3" hidden="1" customWidth="1"/>
    <col min="9221" max="9221" width="10.140625" style="3" customWidth="1"/>
    <col min="9222" max="9222" width="11" style="3" customWidth="1"/>
    <col min="9223" max="9223" width="11.140625" style="3" customWidth="1"/>
    <col min="9224" max="9224" width="15" style="3" customWidth="1"/>
    <col min="9225" max="9225" width="2.85546875" style="3" customWidth="1"/>
    <col min="9226" max="9226" width="9.140625" style="3"/>
    <col min="9227" max="9227" width="12.5703125" style="3" customWidth="1"/>
    <col min="9228" max="9228" width="2.42578125" style="3" customWidth="1"/>
    <col min="9229" max="9229" width="20.85546875" style="3" customWidth="1"/>
    <col min="9230" max="9472" width="9.140625" style="3"/>
    <col min="9473" max="9473" width="2.5703125" style="3" customWidth="1"/>
    <col min="9474" max="9474" width="10.42578125" style="3" bestFit="1" customWidth="1"/>
    <col min="9475" max="9475" width="31.140625" style="3" customWidth="1"/>
    <col min="9476" max="9476" width="0" style="3" hidden="1" customWidth="1"/>
    <col min="9477" max="9477" width="10.140625" style="3" customWidth="1"/>
    <col min="9478" max="9478" width="11" style="3" customWidth="1"/>
    <col min="9479" max="9479" width="11.140625" style="3" customWidth="1"/>
    <col min="9480" max="9480" width="15" style="3" customWidth="1"/>
    <col min="9481" max="9481" width="2.85546875" style="3" customWidth="1"/>
    <col min="9482" max="9482" width="9.140625" style="3"/>
    <col min="9483" max="9483" width="12.5703125" style="3" customWidth="1"/>
    <col min="9484" max="9484" width="2.42578125" style="3" customWidth="1"/>
    <col min="9485" max="9485" width="20.85546875" style="3" customWidth="1"/>
    <col min="9486" max="9728" width="9.140625" style="3"/>
    <col min="9729" max="9729" width="2.5703125" style="3" customWidth="1"/>
    <col min="9730" max="9730" width="10.42578125" style="3" bestFit="1" customWidth="1"/>
    <col min="9731" max="9731" width="31.140625" style="3" customWidth="1"/>
    <col min="9732" max="9732" width="0" style="3" hidden="1" customWidth="1"/>
    <col min="9733" max="9733" width="10.140625" style="3" customWidth="1"/>
    <col min="9734" max="9734" width="11" style="3" customWidth="1"/>
    <col min="9735" max="9735" width="11.140625" style="3" customWidth="1"/>
    <col min="9736" max="9736" width="15" style="3" customWidth="1"/>
    <col min="9737" max="9737" width="2.85546875" style="3" customWidth="1"/>
    <col min="9738" max="9738" width="9.140625" style="3"/>
    <col min="9739" max="9739" width="12.5703125" style="3" customWidth="1"/>
    <col min="9740" max="9740" width="2.42578125" style="3" customWidth="1"/>
    <col min="9741" max="9741" width="20.85546875" style="3" customWidth="1"/>
    <col min="9742" max="9984" width="9.140625" style="3"/>
    <col min="9985" max="9985" width="2.5703125" style="3" customWidth="1"/>
    <col min="9986" max="9986" width="10.42578125" style="3" bestFit="1" customWidth="1"/>
    <col min="9987" max="9987" width="31.140625" style="3" customWidth="1"/>
    <col min="9988" max="9988" width="0" style="3" hidden="1" customWidth="1"/>
    <col min="9989" max="9989" width="10.140625" style="3" customWidth="1"/>
    <col min="9990" max="9990" width="11" style="3" customWidth="1"/>
    <col min="9991" max="9991" width="11.140625" style="3" customWidth="1"/>
    <col min="9992" max="9992" width="15" style="3" customWidth="1"/>
    <col min="9993" max="9993" width="2.85546875" style="3" customWidth="1"/>
    <col min="9994" max="9994" width="9.140625" style="3"/>
    <col min="9995" max="9995" width="12.5703125" style="3" customWidth="1"/>
    <col min="9996" max="9996" width="2.42578125" style="3" customWidth="1"/>
    <col min="9997" max="9997" width="20.85546875" style="3" customWidth="1"/>
    <col min="9998" max="10240" width="9.140625" style="3"/>
    <col min="10241" max="10241" width="2.5703125" style="3" customWidth="1"/>
    <col min="10242" max="10242" width="10.42578125" style="3" bestFit="1" customWidth="1"/>
    <col min="10243" max="10243" width="31.140625" style="3" customWidth="1"/>
    <col min="10244" max="10244" width="0" style="3" hidden="1" customWidth="1"/>
    <col min="10245" max="10245" width="10.140625" style="3" customWidth="1"/>
    <col min="10246" max="10246" width="11" style="3" customWidth="1"/>
    <col min="10247" max="10247" width="11.140625" style="3" customWidth="1"/>
    <col min="10248" max="10248" width="15" style="3" customWidth="1"/>
    <col min="10249" max="10249" width="2.85546875" style="3" customWidth="1"/>
    <col min="10250" max="10250" width="9.140625" style="3"/>
    <col min="10251" max="10251" width="12.5703125" style="3" customWidth="1"/>
    <col min="10252" max="10252" width="2.42578125" style="3" customWidth="1"/>
    <col min="10253" max="10253" width="20.85546875" style="3" customWidth="1"/>
    <col min="10254" max="10496" width="9.140625" style="3"/>
    <col min="10497" max="10497" width="2.5703125" style="3" customWidth="1"/>
    <col min="10498" max="10498" width="10.42578125" style="3" bestFit="1" customWidth="1"/>
    <col min="10499" max="10499" width="31.140625" style="3" customWidth="1"/>
    <col min="10500" max="10500" width="0" style="3" hidden="1" customWidth="1"/>
    <col min="10501" max="10501" width="10.140625" style="3" customWidth="1"/>
    <col min="10502" max="10502" width="11" style="3" customWidth="1"/>
    <col min="10503" max="10503" width="11.140625" style="3" customWidth="1"/>
    <col min="10504" max="10504" width="15" style="3" customWidth="1"/>
    <col min="10505" max="10505" width="2.85546875" style="3" customWidth="1"/>
    <col min="10506" max="10506" width="9.140625" style="3"/>
    <col min="10507" max="10507" width="12.5703125" style="3" customWidth="1"/>
    <col min="10508" max="10508" width="2.42578125" style="3" customWidth="1"/>
    <col min="10509" max="10509" width="20.85546875" style="3" customWidth="1"/>
    <col min="10510" max="10752" width="9.140625" style="3"/>
    <col min="10753" max="10753" width="2.5703125" style="3" customWidth="1"/>
    <col min="10754" max="10754" width="10.42578125" style="3" bestFit="1" customWidth="1"/>
    <col min="10755" max="10755" width="31.140625" style="3" customWidth="1"/>
    <col min="10756" max="10756" width="0" style="3" hidden="1" customWidth="1"/>
    <col min="10757" max="10757" width="10.140625" style="3" customWidth="1"/>
    <col min="10758" max="10758" width="11" style="3" customWidth="1"/>
    <col min="10759" max="10759" width="11.140625" style="3" customWidth="1"/>
    <col min="10760" max="10760" width="15" style="3" customWidth="1"/>
    <col min="10761" max="10761" width="2.85546875" style="3" customWidth="1"/>
    <col min="10762" max="10762" width="9.140625" style="3"/>
    <col min="10763" max="10763" width="12.5703125" style="3" customWidth="1"/>
    <col min="10764" max="10764" width="2.42578125" style="3" customWidth="1"/>
    <col min="10765" max="10765" width="20.85546875" style="3" customWidth="1"/>
    <col min="10766" max="11008" width="9.140625" style="3"/>
    <col min="11009" max="11009" width="2.5703125" style="3" customWidth="1"/>
    <col min="11010" max="11010" width="10.42578125" style="3" bestFit="1" customWidth="1"/>
    <col min="11011" max="11011" width="31.140625" style="3" customWidth="1"/>
    <col min="11012" max="11012" width="0" style="3" hidden="1" customWidth="1"/>
    <col min="11013" max="11013" width="10.140625" style="3" customWidth="1"/>
    <col min="11014" max="11014" width="11" style="3" customWidth="1"/>
    <col min="11015" max="11015" width="11.140625" style="3" customWidth="1"/>
    <col min="11016" max="11016" width="15" style="3" customWidth="1"/>
    <col min="11017" max="11017" width="2.85546875" style="3" customWidth="1"/>
    <col min="11018" max="11018" width="9.140625" style="3"/>
    <col min="11019" max="11019" width="12.5703125" style="3" customWidth="1"/>
    <col min="11020" max="11020" width="2.42578125" style="3" customWidth="1"/>
    <col min="11021" max="11021" width="20.85546875" style="3" customWidth="1"/>
    <col min="11022" max="11264" width="9.140625" style="3"/>
    <col min="11265" max="11265" width="2.5703125" style="3" customWidth="1"/>
    <col min="11266" max="11266" width="10.42578125" style="3" bestFit="1" customWidth="1"/>
    <col min="11267" max="11267" width="31.140625" style="3" customWidth="1"/>
    <col min="11268" max="11268" width="0" style="3" hidden="1" customWidth="1"/>
    <col min="11269" max="11269" width="10.140625" style="3" customWidth="1"/>
    <col min="11270" max="11270" width="11" style="3" customWidth="1"/>
    <col min="11271" max="11271" width="11.140625" style="3" customWidth="1"/>
    <col min="11272" max="11272" width="15" style="3" customWidth="1"/>
    <col min="11273" max="11273" width="2.85546875" style="3" customWidth="1"/>
    <col min="11274" max="11274" width="9.140625" style="3"/>
    <col min="11275" max="11275" width="12.5703125" style="3" customWidth="1"/>
    <col min="11276" max="11276" width="2.42578125" style="3" customWidth="1"/>
    <col min="11277" max="11277" width="20.85546875" style="3" customWidth="1"/>
    <col min="11278" max="11520" width="9.140625" style="3"/>
    <col min="11521" max="11521" width="2.5703125" style="3" customWidth="1"/>
    <col min="11522" max="11522" width="10.42578125" style="3" bestFit="1" customWidth="1"/>
    <col min="11523" max="11523" width="31.140625" style="3" customWidth="1"/>
    <col min="11524" max="11524" width="0" style="3" hidden="1" customWidth="1"/>
    <col min="11525" max="11525" width="10.140625" style="3" customWidth="1"/>
    <col min="11526" max="11526" width="11" style="3" customWidth="1"/>
    <col min="11527" max="11527" width="11.140625" style="3" customWidth="1"/>
    <col min="11528" max="11528" width="15" style="3" customWidth="1"/>
    <col min="11529" max="11529" width="2.85546875" style="3" customWidth="1"/>
    <col min="11530" max="11530" width="9.140625" style="3"/>
    <col min="11531" max="11531" width="12.5703125" style="3" customWidth="1"/>
    <col min="11532" max="11532" width="2.42578125" style="3" customWidth="1"/>
    <col min="11533" max="11533" width="20.85546875" style="3" customWidth="1"/>
    <col min="11534" max="11776" width="9.140625" style="3"/>
    <col min="11777" max="11777" width="2.5703125" style="3" customWidth="1"/>
    <col min="11778" max="11778" width="10.42578125" style="3" bestFit="1" customWidth="1"/>
    <col min="11779" max="11779" width="31.140625" style="3" customWidth="1"/>
    <col min="11780" max="11780" width="0" style="3" hidden="1" customWidth="1"/>
    <col min="11781" max="11781" width="10.140625" style="3" customWidth="1"/>
    <col min="11782" max="11782" width="11" style="3" customWidth="1"/>
    <col min="11783" max="11783" width="11.140625" style="3" customWidth="1"/>
    <col min="11784" max="11784" width="15" style="3" customWidth="1"/>
    <col min="11785" max="11785" width="2.85546875" style="3" customWidth="1"/>
    <col min="11786" max="11786" width="9.140625" style="3"/>
    <col min="11787" max="11787" width="12.5703125" style="3" customWidth="1"/>
    <col min="11788" max="11788" width="2.42578125" style="3" customWidth="1"/>
    <col min="11789" max="11789" width="20.85546875" style="3" customWidth="1"/>
    <col min="11790" max="12032" width="9.140625" style="3"/>
    <col min="12033" max="12033" width="2.5703125" style="3" customWidth="1"/>
    <col min="12034" max="12034" width="10.42578125" style="3" bestFit="1" customWidth="1"/>
    <col min="12035" max="12035" width="31.140625" style="3" customWidth="1"/>
    <col min="12036" max="12036" width="0" style="3" hidden="1" customWidth="1"/>
    <col min="12037" max="12037" width="10.140625" style="3" customWidth="1"/>
    <col min="12038" max="12038" width="11" style="3" customWidth="1"/>
    <col min="12039" max="12039" width="11.140625" style="3" customWidth="1"/>
    <col min="12040" max="12040" width="15" style="3" customWidth="1"/>
    <col min="12041" max="12041" width="2.85546875" style="3" customWidth="1"/>
    <col min="12042" max="12042" width="9.140625" style="3"/>
    <col min="12043" max="12043" width="12.5703125" style="3" customWidth="1"/>
    <col min="12044" max="12044" width="2.42578125" style="3" customWidth="1"/>
    <col min="12045" max="12045" width="20.85546875" style="3" customWidth="1"/>
    <col min="12046" max="12288" width="9.140625" style="3"/>
    <col min="12289" max="12289" width="2.5703125" style="3" customWidth="1"/>
    <col min="12290" max="12290" width="10.42578125" style="3" bestFit="1" customWidth="1"/>
    <col min="12291" max="12291" width="31.140625" style="3" customWidth="1"/>
    <col min="12292" max="12292" width="0" style="3" hidden="1" customWidth="1"/>
    <col min="12293" max="12293" width="10.140625" style="3" customWidth="1"/>
    <col min="12294" max="12294" width="11" style="3" customWidth="1"/>
    <col min="12295" max="12295" width="11.140625" style="3" customWidth="1"/>
    <col min="12296" max="12296" width="15" style="3" customWidth="1"/>
    <col min="12297" max="12297" width="2.85546875" style="3" customWidth="1"/>
    <col min="12298" max="12298" width="9.140625" style="3"/>
    <col min="12299" max="12299" width="12.5703125" style="3" customWidth="1"/>
    <col min="12300" max="12300" width="2.42578125" style="3" customWidth="1"/>
    <col min="12301" max="12301" width="20.85546875" style="3" customWidth="1"/>
    <col min="12302" max="12544" width="9.140625" style="3"/>
    <col min="12545" max="12545" width="2.5703125" style="3" customWidth="1"/>
    <col min="12546" max="12546" width="10.42578125" style="3" bestFit="1" customWidth="1"/>
    <col min="12547" max="12547" width="31.140625" style="3" customWidth="1"/>
    <col min="12548" max="12548" width="0" style="3" hidden="1" customWidth="1"/>
    <col min="12549" max="12549" width="10.140625" style="3" customWidth="1"/>
    <col min="12550" max="12550" width="11" style="3" customWidth="1"/>
    <col min="12551" max="12551" width="11.140625" style="3" customWidth="1"/>
    <col min="12552" max="12552" width="15" style="3" customWidth="1"/>
    <col min="12553" max="12553" width="2.85546875" style="3" customWidth="1"/>
    <col min="12554" max="12554" width="9.140625" style="3"/>
    <col min="12555" max="12555" width="12.5703125" style="3" customWidth="1"/>
    <col min="12556" max="12556" width="2.42578125" style="3" customWidth="1"/>
    <col min="12557" max="12557" width="20.85546875" style="3" customWidth="1"/>
    <col min="12558" max="12800" width="9.140625" style="3"/>
    <col min="12801" max="12801" width="2.5703125" style="3" customWidth="1"/>
    <col min="12802" max="12802" width="10.42578125" style="3" bestFit="1" customWidth="1"/>
    <col min="12803" max="12803" width="31.140625" style="3" customWidth="1"/>
    <col min="12804" max="12804" width="0" style="3" hidden="1" customWidth="1"/>
    <col min="12805" max="12805" width="10.140625" style="3" customWidth="1"/>
    <col min="12806" max="12806" width="11" style="3" customWidth="1"/>
    <col min="12807" max="12807" width="11.140625" style="3" customWidth="1"/>
    <col min="12808" max="12808" width="15" style="3" customWidth="1"/>
    <col min="12809" max="12809" width="2.85546875" style="3" customWidth="1"/>
    <col min="12810" max="12810" width="9.140625" style="3"/>
    <col min="12811" max="12811" width="12.5703125" style="3" customWidth="1"/>
    <col min="12812" max="12812" width="2.42578125" style="3" customWidth="1"/>
    <col min="12813" max="12813" width="20.85546875" style="3" customWidth="1"/>
    <col min="12814" max="13056" width="9.140625" style="3"/>
    <col min="13057" max="13057" width="2.5703125" style="3" customWidth="1"/>
    <col min="13058" max="13058" width="10.42578125" style="3" bestFit="1" customWidth="1"/>
    <col min="13059" max="13059" width="31.140625" style="3" customWidth="1"/>
    <col min="13060" max="13060" width="0" style="3" hidden="1" customWidth="1"/>
    <col min="13061" max="13061" width="10.140625" style="3" customWidth="1"/>
    <col min="13062" max="13062" width="11" style="3" customWidth="1"/>
    <col min="13063" max="13063" width="11.140625" style="3" customWidth="1"/>
    <col min="13064" max="13064" width="15" style="3" customWidth="1"/>
    <col min="13065" max="13065" width="2.85546875" style="3" customWidth="1"/>
    <col min="13066" max="13066" width="9.140625" style="3"/>
    <col min="13067" max="13067" width="12.5703125" style="3" customWidth="1"/>
    <col min="13068" max="13068" width="2.42578125" style="3" customWidth="1"/>
    <col min="13069" max="13069" width="20.85546875" style="3" customWidth="1"/>
    <col min="13070" max="13312" width="9.140625" style="3"/>
    <col min="13313" max="13313" width="2.5703125" style="3" customWidth="1"/>
    <col min="13314" max="13314" width="10.42578125" style="3" bestFit="1" customWidth="1"/>
    <col min="13315" max="13315" width="31.140625" style="3" customWidth="1"/>
    <col min="13316" max="13316" width="0" style="3" hidden="1" customWidth="1"/>
    <col min="13317" max="13317" width="10.140625" style="3" customWidth="1"/>
    <col min="13318" max="13318" width="11" style="3" customWidth="1"/>
    <col min="13319" max="13319" width="11.140625" style="3" customWidth="1"/>
    <col min="13320" max="13320" width="15" style="3" customWidth="1"/>
    <col min="13321" max="13321" width="2.85546875" style="3" customWidth="1"/>
    <col min="13322" max="13322" width="9.140625" style="3"/>
    <col min="13323" max="13323" width="12.5703125" style="3" customWidth="1"/>
    <col min="13324" max="13324" width="2.42578125" style="3" customWidth="1"/>
    <col min="13325" max="13325" width="20.85546875" style="3" customWidth="1"/>
    <col min="13326" max="13568" width="9.140625" style="3"/>
    <col min="13569" max="13569" width="2.5703125" style="3" customWidth="1"/>
    <col min="13570" max="13570" width="10.42578125" style="3" bestFit="1" customWidth="1"/>
    <col min="13571" max="13571" width="31.140625" style="3" customWidth="1"/>
    <col min="13572" max="13572" width="0" style="3" hidden="1" customWidth="1"/>
    <col min="13573" max="13573" width="10.140625" style="3" customWidth="1"/>
    <col min="13574" max="13574" width="11" style="3" customWidth="1"/>
    <col min="13575" max="13575" width="11.140625" style="3" customWidth="1"/>
    <col min="13576" max="13576" width="15" style="3" customWidth="1"/>
    <col min="13577" max="13577" width="2.85546875" style="3" customWidth="1"/>
    <col min="13578" max="13578" width="9.140625" style="3"/>
    <col min="13579" max="13579" width="12.5703125" style="3" customWidth="1"/>
    <col min="13580" max="13580" width="2.42578125" style="3" customWidth="1"/>
    <col min="13581" max="13581" width="20.85546875" style="3" customWidth="1"/>
    <col min="13582" max="13824" width="9.140625" style="3"/>
    <col min="13825" max="13825" width="2.5703125" style="3" customWidth="1"/>
    <col min="13826" max="13826" width="10.42578125" style="3" bestFit="1" customWidth="1"/>
    <col min="13827" max="13827" width="31.140625" style="3" customWidth="1"/>
    <col min="13828" max="13828" width="0" style="3" hidden="1" customWidth="1"/>
    <col min="13829" max="13829" width="10.140625" style="3" customWidth="1"/>
    <col min="13830" max="13830" width="11" style="3" customWidth="1"/>
    <col min="13831" max="13831" width="11.140625" style="3" customWidth="1"/>
    <col min="13832" max="13832" width="15" style="3" customWidth="1"/>
    <col min="13833" max="13833" width="2.85546875" style="3" customWidth="1"/>
    <col min="13834" max="13834" width="9.140625" style="3"/>
    <col min="13835" max="13835" width="12.5703125" style="3" customWidth="1"/>
    <col min="13836" max="13836" width="2.42578125" style="3" customWidth="1"/>
    <col min="13837" max="13837" width="20.85546875" style="3" customWidth="1"/>
    <col min="13838" max="14080" width="9.140625" style="3"/>
    <col min="14081" max="14081" width="2.5703125" style="3" customWidth="1"/>
    <col min="14082" max="14082" width="10.42578125" style="3" bestFit="1" customWidth="1"/>
    <col min="14083" max="14083" width="31.140625" style="3" customWidth="1"/>
    <col min="14084" max="14084" width="0" style="3" hidden="1" customWidth="1"/>
    <col min="14085" max="14085" width="10.140625" style="3" customWidth="1"/>
    <col min="14086" max="14086" width="11" style="3" customWidth="1"/>
    <col min="14087" max="14087" width="11.140625" style="3" customWidth="1"/>
    <col min="14088" max="14088" width="15" style="3" customWidth="1"/>
    <col min="14089" max="14089" width="2.85546875" style="3" customWidth="1"/>
    <col min="14090" max="14090" width="9.140625" style="3"/>
    <col min="14091" max="14091" width="12.5703125" style="3" customWidth="1"/>
    <col min="14092" max="14092" width="2.42578125" style="3" customWidth="1"/>
    <col min="14093" max="14093" width="20.85546875" style="3" customWidth="1"/>
    <col min="14094" max="14336" width="9.140625" style="3"/>
    <col min="14337" max="14337" width="2.5703125" style="3" customWidth="1"/>
    <col min="14338" max="14338" width="10.42578125" style="3" bestFit="1" customWidth="1"/>
    <col min="14339" max="14339" width="31.140625" style="3" customWidth="1"/>
    <col min="14340" max="14340" width="0" style="3" hidden="1" customWidth="1"/>
    <col min="14341" max="14341" width="10.140625" style="3" customWidth="1"/>
    <col min="14342" max="14342" width="11" style="3" customWidth="1"/>
    <col min="14343" max="14343" width="11.140625" style="3" customWidth="1"/>
    <col min="14344" max="14344" width="15" style="3" customWidth="1"/>
    <col min="14345" max="14345" width="2.85546875" style="3" customWidth="1"/>
    <col min="14346" max="14346" width="9.140625" style="3"/>
    <col min="14347" max="14347" width="12.5703125" style="3" customWidth="1"/>
    <col min="14348" max="14348" width="2.42578125" style="3" customWidth="1"/>
    <col min="14349" max="14349" width="20.85546875" style="3" customWidth="1"/>
    <col min="14350" max="14592" width="9.140625" style="3"/>
    <col min="14593" max="14593" width="2.5703125" style="3" customWidth="1"/>
    <col min="14594" max="14594" width="10.42578125" style="3" bestFit="1" customWidth="1"/>
    <col min="14595" max="14595" width="31.140625" style="3" customWidth="1"/>
    <col min="14596" max="14596" width="0" style="3" hidden="1" customWidth="1"/>
    <col min="14597" max="14597" width="10.140625" style="3" customWidth="1"/>
    <col min="14598" max="14598" width="11" style="3" customWidth="1"/>
    <col min="14599" max="14599" width="11.140625" style="3" customWidth="1"/>
    <col min="14600" max="14600" width="15" style="3" customWidth="1"/>
    <col min="14601" max="14601" width="2.85546875" style="3" customWidth="1"/>
    <col min="14602" max="14602" width="9.140625" style="3"/>
    <col min="14603" max="14603" width="12.5703125" style="3" customWidth="1"/>
    <col min="14604" max="14604" width="2.42578125" style="3" customWidth="1"/>
    <col min="14605" max="14605" width="20.85546875" style="3" customWidth="1"/>
    <col min="14606" max="14848" width="9.140625" style="3"/>
    <col min="14849" max="14849" width="2.5703125" style="3" customWidth="1"/>
    <col min="14850" max="14850" width="10.42578125" style="3" bestFit="1" customWidth="1"/>
    <col min="14851" max="14851" width="31.140625" style="3" customWidth="1"/>
    <col min="14852" max="14852" width="0" style="3" hidden="1" customWidth="1"/>
    <col min="14853" max="14853" width="10.140625" style="3" customWidth="1"/>
    <col min="14854" max="14854" width="11" style="3" customWidth="1"/>
    <col min="14855" max="14855" width="11.140625" style="3" customWidth="1"/>
    <col min="14856" max="14856" width="15" style="3" customWidth="1"/>
    <col min="14857" max="14857" width="2.85546875" style="3" customWidth="1"/>
    <col min="14858" max="14858" width="9.140625" style="3"/>
    <col min="14859" max="14859" width="12.5703125" style="3" customWidth="1"/>
    <col min="14860" max="14860" width="2.42578125" style="3" customWidth="1"/>
    <col min="14861" max="14861" width="20.85546875" style="3" customWidth="1"/>
    <col min="14862" max="15104" width="9.140625" style="3"/>
    <col min="15105" max="15105" width="2.5703125" style="3" customWidth="1"/>
    <col min="15106" max="15106" width="10.42578125" style="3" bestFit="1" customWidth="1"/>
    <col min="15107" max="15107" width="31.140625" style="3" customWidth="1"/>
    <col min="15108" max="15108" width="0" style="3" hidden="1" customWidth="1"/>
    <col min="15109" max="15109" width="10.140625" style="3" customWidth="1"/>
    <col min="15110" max="15110" width="11" style="3" customWidth="1"/>
    <col min="15111" max="15111" width="11.140625" style="3" customWidth="1"/>
    <col min="15112" max="15112" width="15" style="3" customWidth="1"/>
    <col min="15113" max="15113" width="2.85546875" style="3" customWidth="1"/>
    <col min="15114" max="15114" width="9.140625" style="3"/>
    <col min="15115" max="15115" width="12.5703125" style="3" customWidth="1"/>
    <col min="15116" max="15116" width="2.42578125" style="3" customWidth="1"/>
    <col min="15117" max="15117" width="20.85546875" style="3" customWidth="1"/>
    <col min="15118" max="15360" width="9.140625" style="3"/>
    <col min="15361" max="15361" width="2.5703125" style="3" customWidth="1"/>
    <col min="15362" max="15362" width="10.42578125" style="3" bestFit="1" customWidth="1"/>
    <col min="15363" max="15363" width="31.140625" style="3" customWidth="1"/>
    <col min="15364" max="15364" width="0" style="3" hidden="1" customWidth="1"/>
    <col min="15365" max="15365" width="10.140625" style="3" customWidth="1"/>
    <col min="15366" max="15366" width="11" style="3" customWidth="1"/>
    <col min="15367" max="15367" width="11.140625" style="3" customWidth="1"/>
    <col min="15368" max="15368" width="15" style="3" customWidth="1"/>
    <col min="15369" max="15369" width="2.85546875" style="3" customWidth="1"/>
    <col min="15370" max="15370" width="9.140625" style="3"/>
    <col min="15371" max="15371" width="12.5703125" style="3" customWidth="1"/>
    <col min="15372" max="15372" width="2.42578125" style="3" customWidth="1"/>
    <col min="15373" max="15373" width="20.85546875" style="3" customWidth="1"/>
    <col min="15374" max="15616" width="9.140625" style="3"/>
    <col min="15617" max="15617" width="2.5703125" style="3" customWidth="1"/>
    <col min="15618" max="15618" width="10.42578125" style="3" bestFit="1" customWidth="1"/>
    <col min="15619" max="15619" width="31.140625" style="3" customWidth="1"/>
    <col min="15620" max="15620" width="0" style="3" hidden="1" customWidth="1"/>
    <col min="15621" max="15621" width="10.140625" style="3" customWidth="1"/>
    <col min="15622" max="15622" width="11" style="3" customWidth="1"/>
    <col min="15623" max="15623" width="11.140625" style="3" customWidth="1"/>
    <col min="15624" max="15624" width="15" style="3" customWidth="1"/>
    <col min="15625" max="15625" width="2.85546875" style="3" customWidth="1"/>
    <col min="15626" max="15626" width="9.140625" style="3"/>
    <col min="15627" max="15627" width="12.5703125" style="3" customWidth="1"/>
    <col min="15628" max="15628" width="2.42578125" style="3" customWidth="1"/>
    <col min="15629" max="15629" width="20.85546875" style="3" customWidth="1"/>
    <col min="15630" max="15872" width="9.140625" style="3"/>
    <col min="15873" max="15873" width="2.5703125" style="3" customWidth="1"/>
    <col min="15874" max="15874" width="10.42578125" style="3" bestFit="1" customWidth="1"/>
    <col min="15875" max="15875" width="31.140625" style="3" customWidth="1"/>
    <col min="15876" max="15876" width="0" style="3" hidden="1" customWidth="1"/>
    <col min="15877" max="15877" width="10.140625" style="3" customWidth="1"/>
    <col min="15878" max="15878" width="11" style="3" customWidth="1"/>
    <col min="15879" max="15879" width="11.140625" style="3" customWidth="1"/>
    <col min="15880" max="15880" width="15" style="3" customWidth="1"/>
    <col min="15881" max="15881" width="2.85546875" style="3" customWidth="1"/>
    <col min="15882" max="15882" width="9.140625" style="3"/>
    <col min="15883" max="15883" width="12.5703125" style="3" customWidth="1"/>
    <col min="15884" max="15884" width="2.42578125" style="3" customWidth="1"/>
    <col min="15885" max="15885" width="20.85546875" style="3" customWidth="1"/>
    <col min="15886" max="16128" width="9.140625" style="3"/>
    <col min="16129" max="16129" width="2.5703125" style="3" customWidth="1"/>
    <col min="16130" max="16130" width="10.42578125" style="3" bestFit="1" customWidth="1"/>
    <col min="16131" max="16131" width="31.140625" style="3" customWidth="1"/>
    <col min="16132" max="16132" width="0" style="3" hidden="1" customWidth="1"/>
    <col min="16133" max="16133" width="10.140625" style="3" customWidth="1"/>
    <col min="16134" max="16134" width="11" style="3" customWidth="1"/>
    <col min="16135" max="16135" width="11.140625" style="3" customWidth="1"/>
    <col min="16136" max="16136" width="15" style="3" customWidth="1"/>
    <col min="16137" max="16137" width="2.85546875" style="3" customWidth="1"/>
    <col min="16138" max="16138" width="9.140625" style="3"/>
    <col min="16139" max="16139" width="12.5703125" style="3" customWidth="1"/>
    <col min="16140" max="16140" width="2.42578125" style="3" customWidth="1"/>
    <col min="16141" max="16141" width="20.85546875" style="3" customWidth="1"/>
    <col min="16142" max="16384" width="9.140625" style="3"/>
  </cols>
  <sheetData>
    <row r="1" spans="1:80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>
      <c r="A2" s="1"/>
      <c r="B2" s="511" t="s">
        <v>24</v>
      </c>
      <c r="C2" s="511"/>
      <c r="D2" s="511"/>
      <c r="E2" s="511"/>
      <c r="F2" s="511"/>
      <c r="G2" s="511"/>
      <c r="H2" s="2"/>
      <c r="I2" s="1"/>
      <c r="J2" s="4"/>
      <c r="K2" s="1" t="s">
        <v>25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>
      <c r="A3" s="1"/>
      <c r="B3" s="1"/>
      <c r="C3" s="1"/>
      <c r="D3" s="1"/>
      <c r="E3" s="1"/>
      <c r="F3" s="1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29.25">
      <c r="B4" s="5" t="s">
        <v>26</v>
      </c>
      <c r="C4" s="5" t="s">
        <v>27</v>
      </c>
      <c r="D4" s="5" t="s">
        <v>28</v>
      </c>
      <c r="E4" s="5" t="s">
        <v>29</v>
      </c>
      <c r="F4" s="5" t="s">
        <v>30</v>
      </c>
      <c r="G4" s="5" t="s">
        <v>31</v>
      </c>
      <c r="H4" s="6" t="s">
        <v>32</v>
      </c>
      <c r="J4" s="5" t="s">
        <v>33</v>
      </c>
      <c r="K4" s="6" t="s">
        <v>32</v>
      </c>
      <c r="M4" s="5" t="s">
        <v>34</v>
      </c>
      <c r="O4" s="5" t="s">
        <v>35</v>
      </c>
      <c r="Q4" s="5" t="s">
        <v>250</v>
      </c>
    </row>
    <row r="5" spans="1:80">
      <c r="B5" s="7">
        <v>1</v>
      </c>
      <c r="C5" s="8" t="s">
        <v>36</v>
      </c>
      <c r="D5" s="9">
        <v>2863</v>
      </c>
      <c r="E5" s="10">
        <v>0.05</v>
      </c>
      <c r="F5" s="10">
        <v>0.05</v>
      </c>
      <c r="G5" s="10">
        <v>0.05</v>
      </c>
      <c r="H5" s="11"/>
      <c r="J5" s="12"/>
      <c r="K5" s="11"/>
      <c r="M5" s="11"/>
      <c r="O5" s="11" t="s">
        <v>37</v>
      </c>
      <c r="Q5" s="11" t="s">
        <v>251</v>
      </c>
    </row>
    <row r="6" spans="1:80">
      <c r="B6" s="7">
        <f>B5+1</f>
        <v>2</v>
      </c>
      <c r="C6" s="8" t="s">
        <v>38</v>
      </c>
      <c r="D6" s="9"/>
      <c r="E6" s="10">
        <v>0.05</v>
      </c>
      <c r="F6" s="10">
        <v>0.05</v>
      </c>
      <c r="G6" s="10">
        <v>0.05</v>
      </c>
      <c r="H6" s="11"/>
      <c r="J6" s="12"/>
      <c r="K6" s="11"/>
      <c r="M6" s="11"/>
      <c r="O6" s="11" t="s">
        <v>22</v>
      </c>
      <c r="Q6" s="11" t="s">
        <v>29</v>
      </c>
    </row>
    <row r="7" spans="1:80">
      <c r="B7" s="13">
        <f t="shared" ref="B7:B72" si="0">B6+1</f>
        <v>3</v>
      </c>
      <c r="C7" s="14" t="s">
        <v>39</v>
      </c>
      <c r="D7" s="15">
        <v>2863</v>
      </c>
      <c r="E7" s="16">
        <v>0.05</v>
      </c>
      <c r="F7" s="16">
        <v>0.05</v>
      </c>
      <c r="G7" s="16">
        <v>0.05</v>
      </c>
      <c r="H7" s="17">
        <v>41548</v>
      </c>
      <c r="J7" s="12"/>
      <c r="K7" s="11"/>
      <c r="M7" s="11"/>
      <c r="O7" s="11" t="s">
        <v>40</v>
      </c>
      <c r="Q7" s="11" t="s">
        <v>31</v>
      </c>
    </row>
    <row r="8" spans="1:80">
      <c r="B8" s="7">
        <f>B7+1</f>
        <v>4</v>
      </c>
      <c r="C8" s="8" t="s">
        <v>41</v>
      </c>
      <c r="D8" s="9"/>
      <c r="E8" s="10">
        <v>0.03</v>
      </c>
      <c r="F8" s="10">
        <v>0.03</v>
      </c>
      <c r="G8" s="10">
        <v>0.03</v>
      </c>
      <c r="H8" s="11"/>
      <c r="J8" s="12"/>
      <c r="K8" s="11"/>
      <c r="M8" s="11"/>
      <c r="O8" s="11" t="s">
        <v>6</v>
      </c>
      <c r="Q8" s="11"/>
    </row>
    <row r="9" spans="1:80">
      <c r="B9" s="7">
        <f>B8+1</f>
        <v>5</v>
      </c>
      <c r="C9" s="8" t="s">
        <v>42</v>
      </c>
      <c r="D9" s="9"/>
      <c r="E9" s="10">
        <v>0.02</v>
      </c>
      <c r="F9" s="10">
        <v>0.02</v>
      </c>
      <c r="G9" s="10">
        <v>0.02</v>
      </c>
      <c r="H9" s="11"/>
      <c r="J9" s="12"/>
      <c r="K9" s="11"/>
      <c r="M9" s="11"/>
      <c r="O9" s="11"/>
      <c r="Q9" s="11"/>
    </row>
    <row r="10" spans="1:80">
      <c r="B10" s="7">
        <f>B9+1</f>
        <v>6</v>
      </c>
      <c r="C10" s="8" t="s">
        <v>381</v>
      </c>
      <c r="D10" s="9"/>
      <c r="E10" s="10">
        <v>3.5000000000000003E-2</v>
      </c>
      <c r="F10" s="10">
        <v>3.5000000000000003E-2</v>
      </c>
      <c r="G10" s="10">
        <v>3.5000000000000003E-2</v>
      </c>
      <c r="H10" s="17">
        <v>42034</v>
      </c>
      <c r="J10" s="12" t="s">
        <v>243</v>
      </c>
      <c r="K10" s="17">
        <v>42034</v>
      </c>
      <c r="M10" s="11"/>
      <c r="O10" s="11"/>
      <c r="Q10" s="11"/>
    </row>
    <row r="11" spans="1:80">
      <c r="B11" s="7">
        <f>B10+1</f>
        <v>7</v>
      </c>
      <c r="C11" s="8" t="s">
        <v>43</v>
      </c>
      <c r="D11" s="9"/>
      <c r="E11" s="10">
        <v>0.03</v>
      </c>
      <c r="F11" s="10">
        <v>0.03</v>
      </c>
      <c r="G11" s="10">
        <v>0.03</v>
      </c>
      <c r="H11" s="11"/>
      <c r="J11" s="12"/>
      <c r="K11" s="11"/>
      <c r="M11" s="11"/>
      <c r="O11" s="11"/>
      <c r="Q11" s="11"/>
    </row>
    <row r="12" spans="1:80">
      <c r="B12" s="13">
        <f t="shared" si="0"/>
        <v>8</v>
      </c>
      <c r="C12" s="18" t="s">
        <v>44</v>
      </c>
      <c r="D12" s="19" t="s">
        <v>45</v>
      </c>
      <c r="E12" s="20">
        <v>0.02</v>
      </c>
      <c r="F12" s="20">
        <v>0.02</v>
      </c>
      <c r="G12" s="20">
        <v>0.02</v>
      </c>
      <c r="H12" s="17">
        <v>41548</v>
      </c>
      <c r="J12" s="12"/>
      <c r="K12" s="11"/>
      <c r="M12" s="11"/>
      <c r="O12" s="11"/>
    </row>
    <row r="13" spans="1:80">
      <c r="B13" s="7">
        <f t="shared" si="0"/>
        <v>9</v>
      </c>
      <c r="C13" s="21" t="s">
        <v>46</v>
      </c>
      <c r="D13" s="22"/>
      <c r="E13" s="23">
        <v>0.03</v>
      </c>
      <c r="F13" s="23"/>
      <c r="G13" s="23">
        <v>0.05</v>
      </c>
      <c r="H13" s="11"/>
      <c r="J13" s="12"/>
      <c r="K13" s="11"/>
      <c r="M13" s="11"/>
    </row>
    <row r="14" spans="1:80">
      <c r="B14" s="13">
        <f t="shared" si="0"/>
        <v>10</v>
      </c>
      <c r="C14" s="18" t="s">
        <v>47</v>
      </c>
      <c r="D14" s="19" t="s">
        <v>48</v>
      </c>
      <c r="E14" s="20">
        <v>2.5000000000000001E-2</v>
      </c>
      <c r="F14" s="20">
        <v>2.5000000000000001E-2</v>
      </c>
      <c r="G14" s="20">
        <v>2.5000000000000001E-2</v>
      </c>
      <c r="H14" s="17">
        <v>41548</v>
      </c>
      <c r="J14" s="12">
        <v>2.15</v>
      </c>
      <c r="K14" s="17">
        <v>41933</v>
      </c>
      <c r="M14" s="11"/>
    </row>
    <row r="15" spans="1:80">
      <c r="B15" s="13">
        <f t="shared" si="0"/>
        <v>11</v>
      </c>
      <c r="C15" s="18" t="s">
        <v>49</v>
      </c>
      <c r="D15" s="19" t="s">
        <v>50</v>
      </c>
      <c r="E15" s="20">
        <v>0.05</v>
      </c>
      <c r="F15" s="20">
        <v>0.02</v>
      </c>
      <c r="G15" s="20">
        <v>0.05</v>
      </c>
      <c r="H15" s="17">
        <v>41548</v>
      </c>
      <c r="J15" s="12">
        <v>2.15</v>
      </c>
      <c r="K15" s="17">
        <v>41619</v>
      </c>
      <c r="M15" s="11"/>
    </row>
    <row r="16" spans="1:80">
      <c r="B16" s="13">
        <f t="shared" si="0"/>
        <v>12</v>
      </c>
      <c r="C16" s="18" t="s">
        <v>51</v>
      </c>
      <c r="D16" s="19" t="s">
        <v>52</v>
      </c>
      <c r="E16" s="20">
        <v>0.02</v>
      </c>
      <c r="F16" s="20">
        <v>0.02</v>
      </c>
      <c r="G16" s="20">
        <v>0.02</v>
      </c>
      <c r="H16" s="17">
        <v>41548</v>
      </c>
      <c r="J16" s="12" t="s">
        <v>240</v>
      </c>
      <c r="K16" s="17">
        <v>41865</v>
      </c>
      <c r="M16" s="11"/>
    </row>
    <row r="17" spans="2:13">
      <c r="B17" s="13">
        <f t="shared" si="0"/>
        <v>13</v>
      </c>
      <c r="C17" s="18" t="s">
        <v>53</v>
      </c>
      <c r="D17" s="19">
        <v>381</v>
      </c>
      <c r="E17" s="20">
        <v>0.05</v>
      </c>
      <c r="F17" s="20">
        <v>0.05</v>
      </c>
      <c r="G17" s="20">
        <v>0.05</v>
      </c>
      <c r="H17" s="17">
        <v>42034</v>
      </c>
      <c r="J17" s="12">
        <v>2.85</v>
      </c>
      <c r="K17" s="17">
        <v>41423</v>
      </c>
      <c r="M17" s="11"/>
    </row>
    <row r="18" spans="2:13">
      <c r="B18" s="13">
        <f t="shared" si="0"/>
        <v>14</v>
      </c>
      <c r="C18" s="18" t="s">
        <v>54</v>
      </c>
      <c r="D18" s="19">
        <v>910</v>
      </c>
      <c r="E18" s="20">
        <v>0.03</v>
      </c>
      <c r="F18" s="20">
        <v>0.03</v>
      </c>
      <c r="G18" s="20">
        <v>0.03</v>
      </c>
      <c r="H18" s="17">
        <v>41548</v>
      </c>
      <c r="J18" s="12"/>
      <c r="K18" s="11"/>
      <c r="M18" s="11"/>
    </row>
    <row r="19" spans="2:13">
      <c r="B19" s="13">
        <f t="shared" si="0"/>
        <v>15</v>
      </c>
      <c r="C19" s="18" t="s">
        <v>55</v>
      </c>
      <c r="D19" s="19" t="s">
        <v>56</v>
      </c>
      <c r="E19" s="20">
        <v>0.04</v>
      </c>
      <c r="F19" s="20">
        <v>0.04</v>
      </c>
      <c r="G19" s="20">
        <v>0.04</v>
      </c>
      <c r="H19" s="17">
        <v>41548</v>
      </c>
      <c r="J19" s="12">
        <v>2</v>
      </c>
      <c r="K19" s="17">
        <v>41929</v>
      </c>
      <c r="M19" s="11" t="s">
        <v>252</v>
      </c>
    </row>
    <row r="20" spans="2:13">
      <c r="B20" s="13">
        <f t="shared" si="0"/>
        <v>16</v>
      </c>
      <c r="C20" s="18" t="s">
        <v>57</v>
      </c>
      <c r="D20" s="19" t="s">
        <v>58</v>
      </c>
      <c r="E20" s="20">
        <v>0.03</v>
      </c>
      <c r="F20" s="20">
        <v>0.03</v>
      </c>
      <c r="G20" s="20">
        <v>0.03</v>
      </c>
      <c r="H20" s="17">
        <v>41548</v>
      </c>
      <c r="J20" s="34" t="s">
        <v>241</v>
      </c>
      <c r="K20" s="17">
        <v>41416</v>
      </c>
      <c r="M20" s="11"/>
    </row>
    <row r="21" spans="2:13">
      <c r="B21" s="7">
        <f t="shared" si="0"/>
        <v>17</v>
      </c>
      <c r="C21" s="21" t="s">
        <v>59</v>
      </c>
      <c r="D21" s="22"/>
      <c r="E21" s="23">
        <v>0.02</v>
      </c>
      <c r="F21" s="23">
        <v>0.03</v>
      </c>
      <c r="G21" s="23">
        <v>0.03</v>
      </c>
      <c r="H21" s="11"/>
      <c r="J21" s="12"/>
      <c r="K21" s="11"/>
      <c r="M21" s="11"/>
    </row>
    <row r="22" spans="2:13">
      <c r="B22" s="13">
        <f t="shared" si="0"/>
        <v>18</v>
      </c>
      <c r="C22" s="18" t="s">
        <v>60</v>
      </c>
      <c r="D22" s="19" t="s">
        <v>61</v>
      </c>
      <c r="E22" s="20">
        <v>0.05</v>
      </c>
      <c r="F22" s="20">
        <v>0.03</v>
      </c>
      <c r="G22" s="20">
        <v>0.03</v>
      </c>
      <c r="H22" s="17">
        <v>41548</v>
      </c>
      <c r="J22" s="12">
        <v>2.5</v>
      </c>
      <c r="K22" s="17">
        <v>41619</v>
      </c>
      <c r="M22" s="11"/>
    </row>
    <row r="23" spans="2:13">
      <c r="B23" s="7">
        <f t="shared" si="0"/>
        <v>19</v>
      </c>
      <c r="C23" s="21" t="s">
        <v>62</v>
      </c>
      <c r="D23" s="22"/>
      <c r="E23" s="23">
        <v>0.05</v>
      </c>
      <c r="F23" s="23">
        <v>0.05</v>
      </c>
      <c r="G23" s="23">
        <v>0.05</v>
      </c>
      <c r="H23" s="11"/>
      <c r="J23" s="12"/>
      <c r="K23" s="11"/>
      <c r="M23" s="11"/>
    </row>
    <row r="24" spans="2:13">
      <c r="B24" s="7">
        <f t="shared" si="0"/>
        <v>20</v>
      </c>
      <c r="C24" s="21" t="s">
        <v>63</v>
      </c>
      <c r="D24" s="22"/>
      <c r="E24" s="23">
        <v>0.03</v>
      </c>
      <c r="F24" s="23">
        <v>0.03</v>
      </c>
      <c r="G24" s="23">
        <v>0.03</v>
      </c>
      <c r="H24" s="17">
        <v>41381</v>
      </c>
      <c r="J24" s="34" t="s">
        <v>242</v>
      </c>
      <c r="K24" s="17">
        <v>41381</v>
      </c>
      <c r="M24" s="11" t="s">
        <v>64</v>
      </c>
    </row>
    <row r="25" spans="2:13">
      <c r="B25" s="7">
        <f t="shared" si="0"/>
        <v>21</v>
      </c>
      <c r="C25" s="21" t="s">
        <v>65</v>
      </c>
      <c r="D25" s="22"/>
      <c r="E25" s="23">
        <v>0.02</v>
      </c>
      <c r="F25" s="23">
        <v>0.02</v>
      </c>
      <c r="G25" s="23">
        <v>0.02</v>
      </c>
      <c r="H25" s="11"/>
      <c r="J25" s="12"/>
      <c r="K25" s="11"/>
      <c r="M25" s="11"/>
    </row>
    <row r="26" spans="2:13">
      <c r="B26" s="13">
        <f t="shared" si="0"/>
        <v>22</v>
      </c>
      <c r="C26" s="18" t="s">
        <v>66</v>
      </c>
      <c r="D26" s="19" t="s">
        <v>67</v>
      </c>
      <c r="E26" s="20">
        <v>0.03</v>
      </c>
      <c r="F26" s="20">
        <v>0.03</v>
      </c>
      <c r="G26" s="20">
        <v>0.03</v>
      </c>
      <c r="H26" s="17">
        <v>41548</v>
      </c>
      <c r="J26" s="12" t="s">
        <v>243</v>
      </c>
      <c r="K26" s="17">
        <v>41619</v>
      </c>
      <c r="M26" s="11"/>
    </row>
    <row r="27" spans="2:13">
      <c r="B27" s="13">
        <f t="shared" si="0"/>
        <v>23</v>
      </c>
      <c r="C27" s="18" t="s">
        <v>68</v>
      </c>
      <c r="D27" s="19" t="s">
        <v>69</v>
      </c>
      <c r="E27" s="20">
        <v>0.05</v>
      </c>
      <c r="F27" s="20">
        <v>0.04</v>
      </c>
      <c r="G27" s="20">
        <v>0.03</v>
      </c>
      <c r="H27" s="17">
        <v>41548</v>
      </c>
      <c r="J27" s="12">
        <v>2.85</v>
      </c>
      <c r="K27" s="17">
        <v>41933</v>
      </c>
      <c r="M27" s="11"/>
    </row>
    <row r="28" spans="2:13">
      <c r="B28" s="7">
        <f t="shared" si="0"/>
        <v>24</v>
      </c>
      <c r="C28" s="21" t="s">
        <v>70</v>
      </c>
      <c r="D28" s="22"/>
      <c r="E28" s="23">
        <v>0.03</v>
      </c>
      <c r="F28" s="23">
        <v>0.03</v>
      </c>
      <c r="G28" s="23">
        <v>0.03</v>
      </c>
      <c r="H28" s="11"/>
      <c r="J28" s="12"/>
      <c r="K28" s="11"/>
      <c r="M28" s="11"/>
    </row>
    <row r="29" spans="2:13">
      <c r="B29" s="7">
        <f t="shared" si="0"/>
        <v>25</v>
      </c>
      <c r="C29" s="21" t="s">
        <v>71</v>
      </c>
      <c r="D29" s="22"/>
      <c r="E29" s="23">
        <v>0.05</v>
      </c>
      <c r="F29" s="23">
        <v>0.05</v>
      </c>
      <c r="G29" s="23">
        <v>0.05</v>
      </c>
      <c r="H29" s="11"/>
      <c r="J29" s="12">
        <v>2.8</v>
      </c>
      <c r="K29" s="17">
        <v>41535</v>
      </c>
      <c r="M29" s="11"/>
    </row>
    <row r="30" spans="2:13">
      <c r="B30" s="7">
        <f t="shared" si="0"/>
        <v>26</v>
      </c>
      <c r="C30" s="21" t="s">
        <v>72</v>
      </c>
      <c r="D30" s="22"/>
      <c r="E30" s="23">
        <v>0.03</v>
      </c>
      <c r="F30" s="23">
        <v>0.05</v>
      </c>
      <c r="G30" s="23">
        <v>0.05</v>
      </c>
      <c r="H30" s="11"/>
      <c r="J30" s="12"/>
      <c r="K30" s="11"/>
      <c r="M30" s="11"/>
    </row>
    <row r="31" spans="2:13">
      <c r="B31" s="13">
        <f t="shared" si="0"/>
        <v>27</v>
      </c>
      <c r="C31" s="18" t="s">
        <v>73</v>
      </c>
      <c r="D31" s="19" t="s">
        <v>74</v>
      </c>
      <c r="E31" s="20">
        <v>0.03</v>
      </c>
      <c r="F31" s="20">
        <v>0.03</v>
      </c>
      <c r="G31" s="20">
        <v>0.03</v>
      </c>
      <c r="H31" s="17">
        <v>41548</v>
      </c>
      <c r="J31" s="12">
        <v>2.25</v>
      </c>
      <c r="K31" s="17">
        <v>41402</v>
      </c>
      <c r="M31" s="11"/>
    </row>
    <row r="32" spans="2:13">
      <c r="B32" s="7">
        <f t="shared" si="0"/>
        <v>28</v>
      </c>
      <c r="C32" s="21" t="s">
        <v>75</v>
      </c>
      <c r="D32" s="22"/>
      <c r="E32" s="23">
        <v>0.02</v>
      </c>
      <c r="F32" s="23">
        <v>0.02</v>
      </c>
      <c r="G32" s="23">
        <v>0.02</v>
      </c>
      <c r="H32" s="11"/>
      <c r="J32" s="12">
        <v>2.85</v>
      </c>
      <c r="K32" s="17">
        <v>41535</v>
      </c>
      <c r="M32" s="11"/>
    </row>
    <row r="33" spans="2:13">
      <c r="B33" s="13">
        <f t="shared" si="0"/>
        <v>29</v>
      </c>
      <c r="C33" s="18" t="s">
        <v>76</v>
      </c>
      <c r="D33" s="19" t="s">
        <v>77</v>
      </c>
      <c r="E33" s="20">
        <v>0.05</v>
      </c>
      <c r="F33" s="20">
        <v>0.05</v>
      </c>
      <c r="G33" s="20">
        <v>0.05</v>
      </c>
      <c r="H33" s="17">
        <v>41548</v>
      </c>
      <c r="J33" s="12">
        <v>2</v>
      </c>
      <c r="K33" s="17">
        <v>41933</v>
      </c>
      <c r="M33" s="11"/>
    </row>
    <row r="34" spans="2:13">
      <c r="B34" s="13">
        <f t="shared" si="0"/>
        <v>30</v>
      </c>
      <c r="C34" s="18" t="s">
        <v>78</v>
      </c>
      <c r="D34" s="19" t="s">
        <v>79</v>
      </c>
      <c r="E34" s="20">
        <v>0.03</v>
      </c>
      <c r="F34" s="20">
        <v>0.03</v>
      </c>
      <c r="G34" s="20">
        <v>0.03</v>
      </c>
      <c r="H34" s="17">
        <v>41548</v>
      </c>
      <c r="J34" s="12" t="s">
        <v>243</v>
      </c>
      <c r="K34" s="11"/>
      <c r="M34" s="11"/>
    </row>
    <row r="35" spans="2:13">
      <c r="B35" s="25">
        <f>B34+1</f>
        <v>31</v>
      </c>
      <c r="C35" s="31" t="s">
        <v>382</v>
      </c>
      <c r="D35" s="32"/>
      <c r="E35" s="33">
        <v>0.05</v>
      </c>
      <c r="F35" s="33">
        <v>0.05</v>
      </c>
      <c r="G35" s="33">
        <v>0.05</v>
      </c>
      <c r="H35" s="17">
        <v>42034</v>
      </c>
      <c r="J35" s="12" t="s">
        <v>243</v>
      </c>
      <c r="K35" s="17">
        <v>42034</v>
      </c>
      <c r="M35" s="11"/>
    </row>
    <row r="36" spans="2:13">
      <c r="B36" s="7">
        <f>B35+1</f>
        <v>32</v>
      </c>
      <c r="C36" s="21" t="s">
        <v>80</v>
      </c>
      <c r="D36" s="22"/>
      <c r="E36" s="23">
        <v>0.05</v>
      </c>
      <c r="F36" s="23">
        <v>0.05</v>
      </c>
      <c r="G36" s="23">
        <v>0.05</v>
      </c>
      <c r="H36" s="11"/>
      <c r="J36" s="12"/>
      <c r="K36" s="11"/>
      <c r="M36" s="11"/>
    </row>
    <row r="37" spans="2:13">
      <c r="B37" s="13">
        <f t="shared" si="0"/>
        <v>33</v>
      </c>
      <c r="C37" s="18" t="s">
        <v>81</v>
      </c>
      <c r="D37" s="19" t="s">
        <v>82</v>
      </c>
      <c r="E37" s="20">
        <v>0.03</v>
      </c>
      <c r="F37" s="20">
        <v>0.03</v>
      </c>
      <c r="G37" s="20">
        <v>0.05</v>
      </c>
      <c r="H37" s="17">
        <v>41548</v>
      </c>
      <c r="J37" s="12">
        <v>2.6</v>
      </c>
      <c r="K37" s="17">
        <v>41876</v>
      </c>
      <c r="M37" s="11" t="s">
        <v>83</v>
      </c>
    </row>
    <row r="38" spans="2:13">
      <c r="B38" s="13">
        <f t="shared" si="0"/>
        <v>34</v>
      </c>
      <c r="C38" s="18" t="s">
        <v>84</v>
      </c>
      <c r="D38" s="19">
        <v>387</v>
      </c>
      <c r="E38" s="20">
        <v>0.03</v>
      </c>
      <c r="F38" s="20">
        <v>0.03</v>
      </c>
      <c r="G38" s="20">
        <v>0.03</v>
      </c>
      <c r="H38" s="17">
        <v>41548</v>
      </c>
      <c r="J38" s="12"/>
      <c r="K38" s="11"/>
      <c r="M38" s="11"/>
    </row>
    <row r="39" spans="2:13">
      <c r="B39" s="13">
        <f t="shared" si="0"/>
        <v>35</v>
      </c>
      <c r="C39" s="18" t="s">
        <v>85</v>
      </c>
      <c r="D39" s="19"/>
      <c r="E39" s="20">
        <v>0.03</v>
      </c>
      <c r="F39" s="20">
        <v>0.05</v>
      </c>
      <c r="G39" s="20">
        <v>0.05</v>
      </c>
      <c r="H39" s="17">
        <v>41557</v>
      </c>
      <c r="J39" s="12" t="s">
        <v>243</v>
      </c>
      <c r="K39" s="17">
        <v>41556</v>
      </c>
      <c r="M39" s="11"/>
    </row>
    <row r="40" spans="2:13">
      <c r="B40" s="7">
        <f t="shared" si="0"/>
        <v>36</v>
      </c>
      <c r="C40" s="21" t="s">
        <v>86</v>
      </c>
      <c r="D40" s="22"/>
      <c r="E40" s="23">
        <v>0.03</v>
      </c>
      <c r="F40" s="23">
        <v>0.03</v>
      </c>
      <c r="G40" s="23">
        <v>0.03</v>
      </c>
      <c r="H40" s="11"/>
      <c r="J40" s="12"/>
      <c r="K40" s="11"/>
      <c r="M40" s="11"/>
    </row>
    <row r="41" spans="2:13">
      <c r="B41" s="7">
        <f t="shared" si="0"/>
        <v>37</v>
      </c>
      <c r="C41" s="21" t="s">
        <v>87</v>
      </c>
      <c r="D41" s="22"/>
      <c r="E41" s="23">
        <v>0.04</v>
      </c>
      <c r="F41" s="23">
        <v>0.04</v>
      </c>
      <c r="G41" s="23">
        <v>0.04</v>
      </c>
      <c r="H41" s="11"/>
      <c r="J41" s="12" t="s">
        <v>244</v>
      </c>
      <c r="K41" s="17">
        <v>41688</v>
      </c>
      <c r="M41" s="11"/>
    </row>
    <row r="42" spans="2:13">
      <c r="B42" s="7">
        <f t="shared" si="0"/>
        <v>38</v>
      </c>
      <c r="C42" s="21" t="s">
        <v>88</v>
      </c>
      <c r="D42" s="22"/>
      <c r="E42" s="23">
        <v>0.03</v>
      </c>
      <c r="F42" s="23">
        <v>0.03</v>
      </c>
      <c r="G42" s="23">
        <v>0.03</v>
      </c>
      <c r="H42" s="11"/>
      <c r="J42" s="12"/>
      <c r="K42" s="11"/>
      <c r="M42" s="11"/>
    </row>
    <row r="43" spans="2:13">
      <c r="B43" s="13">
        <f t="shared" si="0"/>
        <v>39</v>
      </c>
      <c r="C43" s="18" t="s">
        <v>89</v>
      </c>
      <c r="D43" s="19" t="s">
        <v>90</v>
      </c>
      <c r="E43" s="20">
        <v>0.03</v>
      </c>
      <c r="F43" s="20">
        <v>0.05</v>
      </c>
      <c r="G43" s="20">
        <v>0.03</v>
      </c>
      <c r="H43" s="17">
        <v>41548</v>
      </c>
      <c r="J43" s="12"/>
      <c r="K43" s="11"/>
      <c r="M43" s="11"/>
    </row>
    <row r="44" spans="2:13">
      <c r="B44" s="13">
        <f t="shared" si="0"/>
        <v>40</v>
      </c>
      <c r="C44" s="18" t="s">
        <v>91</v>
      </c>
      <c r="D44" s="19">
        <v>569</v>
      </c>
      <c r="E44" s="20">
        <v>0.05</v>
      </c>
      <c r="F44" s="20">
        <v>0.03</v>
      </c>
      <c r="G44" s="20">
        <v>0.05</v>
      </c>
      <c r="H44" s="17">
        <v>41548</v>
      </c>
      <c r="J44" s="12">
        <v>2.15</v>
      </c>
      <c r="K44" s="17">
        <v>41416</v>
      </c>
      <c r="M44" s="11"/>
    </row>
    <row r="45" spans="2:13">
      <c r="B45" s="7">
        <f t="shared" si="0"/>
        <v>41</v>
      </c>
      <c r="C45" s="21" t="s">
        <v>92</v>
      </c>
      <c r="D45" s="22"/>
      <c r="E45" s="23">
        <v>0.03</v>
      </c>
      <c r="F45" s="23">
        <v>0.03</v>
      </c>
      <c r="G45" s="23">
        <v>0.03</v>
      </c>
      <c r="H45" s="11"/>
      <c r="J45" s="12"/>
      <c r="K45" s="11"/>
      <c r="M45" s="11"/>
    </row>
    <row r="46" spans="2:13">
      <c r="B46" s="13">
        <f t="shared" si="0"/>
        <v>42</v>
      </c>
      <c r="C46" s="18" t="s">
        <v>93</v>
      </c>
      <c r="D46" s="19">
        <v>2122</v>
      </c>
      <c r="E46" s="20">
        <v>0.02</v>
      </c>
      <c r="F46" s="20">
        <v>0.02</v>
      </c>
      <c r="G46" s="20">
        <v>0.03</v>
      </c>
      <c r="H46" s="17">
        <v>41548</v>
      </c>
      <c r="J46" s="12">
        <v>2.95</v>
      </c>
      <c r="K46" s="17">
        <v>41933</v>
      </c>
      <c r="M46" s="11"/>
    </row>
    <row r="47" spans="2:13">
      <c r="B47" s="13">
        <f t="shared" si="0"/>
        <v>43</v>
      </c>
      <c r="C47" s="18" t="s">
        <v>94</v>
      </c>
      <c r="D47" s="19" t="s">
        <v>95</v>
      </c>
      <c r="E47" s="20">
        <v>0.04</v>
      </c>
      <c r="F47" s="20">
        <v>0.04</v>
      </c>
      <c r="G47" s="20">
        <v>0.04</v>
      </c>
      <c r="H47" s="17">
        <v>41548</v>
      </c>
      <c r="J47" s="12" t="s">
        <v>240</v>
      </c>
      <c r="K47" s="17">
        <v>41619</v>
      </c>
      <c r="M47" s="11"/>
    </row>
    <row r="48" spans="2:13">
      <c r="B48" s="7">
        <f t="shared" si="0"/>
        <v>44</v>
      </c>
      <c r="C48" s="21" t="s">
        <v>96</v>
      </c>
      <c r="D48" s="22"/>
      <c r="E48" s="23">
        <v>0.03</v>
      </c>
      <c r="F48" s="23">
        <v>0.03</v>
      </c>
      <c r="G48" s="23">
        <v>0.03</v>
      </c>
      <c r="H48" s="11"/>
      <c r="J48" s="12"/>
      <c r="K48" s="11"/>
      <c r="M48" s="11"/>
    </row>
    <row r="49" spans="2:13">
      <c r="B49" s="13">
        <f t="shared" si="0"/>
        <v>45</v>
      </c>
      <c r="C49" s="18" t="s">
        <v>97</v>
      </c>
      <c r="D49" s="19">
        <v>1261</v>
      </c>
      <c r="E49" s="20">
        <v>0.03</v>
      </c>
      <c r="F49" s="20">
        <v>0.03</v>
      </c>
      <c r="G49" s="20">
        <v>0.03</v>
      </c>
      <c r="H49" s="17">
        <v>41548</v>
      </c>
      <c r="J49" s="12"/>
      <c r="K49" s="11"/>
      <c r="M49" s="11"/>
    </row>
    <row r="50" spans="2:13">
      <c r="B50" s="13">
        <f t="shared" si="0"/>
        <v>46</v>
      </c>
      <c r="C50" s="18" t="s">
        <v>98</v>
      </c>
      <c r="D50" s="19" t="s">
        <v>99</v>
      </c>
      <c r="E50" s="20">
        <v>0.05</v>
      </c>
      <c r="F50" s="20">
        <v>0.03</v>
      </c>
      <c r="G50" s="20">
        <v>0.03</v>
      </c>
      <c r="H50" s="17">
        <v>41548</v>
      </c>
      <c r="J50" s="12">
        <v>2.2000000000000002</v>
      </c>
      <c r="K50" s="17">
        <v>41619</v>
      </c>
      <c r="M50" s="11"/>
    </row>
    <row r="51" spans="2:13">
      <c r="B51" s="7">
        <f>B50+1</f>
        <v>47</v>
      </c>
      <c r="C51" s="21" t="s">
        <v>100</v>
      </c>
      <c r="D51" s="22"/>
      <c r="E51" s="23">
        <v>0.05</v>
      </c>
      <c r="F51" s="23">
        <v>0.05</v>
      </c>
      <c r="G51" s="23">
        <v>0.05</v>
      </c>
      <c r="H51" s="11"/>
      <c r="J51" s="12">
        <v>2.9</v>
      </c>
      <c r="K51" s="17">
        <v>41619</v>
      </c>
      <c r="M51" s="11"/>
    </row>
    <row r="52" spans="2:13">
      <c r="B52" s="13">
        <f>B51+1</f>
        <v>48</v>
      </c>
      <c r="C52" s="18" t="s">
        <v>245</v>
      </c>
      <c r="D52" s="19" t="s">
        <v>101</v>
      </c>
      <c r="E52" s="20">
        <v>2.5000000000000001E-2</v>
      </c>
      <c r="F52" s="20">
        <v>0.02</v>
      </c>
      <c r="G52" s="20">
        <v>2.5000000000000001E-2</v>
      </c>
      <c r="H52" s="17">
        <v>41548</v>
      </c>
      <c r="J52" s="12">
        <v>2.85</v>
      </c>
      <c r="K52" s="17">
        <v>41954</v>
      </c>
      <c r="M52" s="11"/>
    </row>
    <row r="53" spans="2:13">
      <c r="B53" s="13">
        <f t="shared" si="0"/>
        <v>49</v>
      </c>
      <c r="C53" s="18" t="s">
        <v>102</v>
      </c>
      <c r="D53" s="19" t="s">
        <v>103</v>
      </c>
      <c r="E53" s="20">
        <v>0.03</v>
      </c>
      <c r="F53" s="20">
        <v>0.03</v>
      </c>
      <c r="G53" s="20">
        <v>0.03</v>
      </c>
      <c r="H53" s="17">
        <v>41548</v>
      </c>
      <c r="J53" s="12">
        <v>2.2000000000000002</v>
      </c>
      <c r="K53" s="17">
        <v>41927</v>
      </c>
      <c r="M53" s="11"/>
    </row>
    <row r="54" spans="2:13">
      <c r="B54" s="7">
        <f t="shared" si="0"/>
        <v>50</v>
      </c>
      <c r="C54" s="21" t="s">
        <v>104</v>
      </c>
      <c r="D54" s="22"/>
      <c r="E54" s="23">
        <v>0.03</v>
      </c>
      <c r="F54" s="23">
        <v>0.02</v>
      </c>
      <c r="G54" s="23">
        <v>0.05</v>
      </c>
      <c r="H54" s="11"/>
      <c r="J54" s="12"/>
      <c r="K54" s="11"/>
      <c r="M54" s="11"/>
    </row>
    <row r="55" spans="2:13">
      <c r="B55" s="7">
        <f t="shared" si="0"/>
        <v>51</v>
      </c>
      <c r="C55" s="21" t="s">
        <v>105</v>
      </c>
      <c r="D55" s="22"/>
      <c r="E55" s="23">
        <v>0.03</v>
      </c>
      <c r="F55" s="23">
        <v>0.03</v>
      </c>
      <c r="G55" s="23">
        <v>0.03</v>
      </c>
      <c r="H55" s="11"/>
      <c r="J55" s="12"/>
      <c r="K55" s="11"/>
      <c r="M55" s="11"/>
    </row>
    <row r="56" spans="2:13">
      <c r="B56" s="13">
        <f t="shared" si="0"/>
        <v>52</v>
      </c>
      <c r="C56" s="18" t="s">
        <v>106</v>
      </c>
      <c r="D56" s="19" t="s">
        <v>107</v>
      </c>
      <c r="E56" s="20">
        <v>0.02</v>
      </c>
      <c r="F56" s="20">
        <v>0.02</v>
      </c>
      <c r="G56" s="20">
        <v>0.02</v>
      </c>
      <c r="H56" s="17">
        <v>41548</v>
      </c>
      <c r="J56" s="12">
        <v>2.8</v>
      </c>
      <c r="K56" s="17">
        <v>42034</v>
      </c>
      <c r="M56" s="11"/>
    </row>
    <row r="57" spans="2:13">
      <c r="B57" s="7">
        <f t="shared" si="0"/>
        <v>53</v>
      </c>
      <c r="C57" s="21" t="s">
        <v>108</v>
      </c>
      <c r="D57" s="22"/>
      <c r="E57" s="23">
        <v>0.03</v>
      </c>
      <c r="F57" s="23">
        <v>0.03</v>
      </c>
      <c r="G57" s="23">
        <v>0.03</v>
      </c>
      <c r="H57" s="11"/>
      <c r="J57" s="12"/>
      <c r="K57" s="11"/>
      <c r="M57" s="11"/>
    </row>
    <row r="58" spans="2:13">
      <c r="B58" s="13">
        <f t="shared" si="0"/>
        <v>54</v>
      </c>
      <c r="C58" s="18" t="s">
        <v>109</v>
      </c>
      <c r="D58" s="19" t="s">
        <v>110</v>
      </c>
      <c r="E58" s="20">
        <v>0.03</v>
      </c>
      <c r="F58" s="20">
        <v>0.03</v>
      </c>
      <c r="G58" s="20">
        <v>0.03</v>
      </c>
      <c r="H58" s="17">
        <v>41548</v>
      </c>
      <c r="J58" s="12">
        <v>3.55</v>
      </c>
      <c r="K58" s="17">
        <v>41773</v>
      </c>
      <c r="M58" s="11"/>
    </row>
    <row r="59" spans="2:13">
      <c r="B59" s="13">
        <f t="shared" si="0"/>
        <v>55</v>
      </c>
      <c r="C59" s="18" t="s">
        <v>111</v>
      </c>
      <c r="D59" s="19" t="s">
        <v>112</v>
      </c>
      <c r="E59" s="20">
        <v>0.03</v>
      </c>
      <c r="F59" s="20">
        <v>0.03</v>
      </c>
      <c r="G59" s="20">
        <v>0.03</v>
      </c>
      <c r="H59" s="17">
        <v>41548</v>
      </c>
      <c r="J59" s="12">
        <v>2.5</v>
      </c>
      <c r="K59" s="17">
        <v>42034</v>
      </c>
      <c r="M59" s="11"/>
    </row>
    <row r="60" spans="2:13">
      <c r="B60" s="13">
        <f t="shared" si="0"/>
        <v>56</v>
      </c>
      <c r="C60" s="18" t="s">
        <v>113</v>
      </c>
      <c r="D60" s="19" t="s">
        <v>114</v>
      </c>
      <c r="E60" s="20">
        <v>0.04</v>
      </c>
      <c r="F60" s="20">
        <v>0.02</v>
      </c>
      <c r="G60" s="20">
        <v>0.04</v>
      </c>
      <c r="H60" s="17">
        <v>41548</v>
      </c>
      <c r="J60" s="12"/>
      <c r="K60" s="11"/>
      <c r="M60" s="11"/>
    </row>
    <row r="61" spans="2:13">
      <c r="B61" s="13">
        <f t="shared" si="0"/>
        <v>57</v>
      </c>
      <c r="C61" s="18" t="s">
        <v>115</v>
      </c>
      <c r="D61" s="19" t="s">
        <v>116</v>
      </c>
      <c r="E61" s="20">
        <v>0.04</v>
      </c>
      <c r="F61" s="20">
        <v>0.04</v>
      </c>
      <c r="G61" s="20">
        <v>0.04</v>
      </c>
      <c r="H61" s="17">
        <v>41548</v>
      </c>
      <c r="J61" s="12">
        <v>2</v>
      </c>
      <c r="K61" s="17">
        <v>41611</v>
      </c>
      <c r="M61" s="11"/>
    </row>
    <row r="62" spans="2:13">
      <c r="B62" s="13">
        <f t="shared" si="0"/>
        <v>58</v>
      </c>
      <c r="C62" s="18" t="s">
        <v>117</v>
      </c>
      <c r="D62" s="19" t="s">
        <v>118</v>
      </c>
      <c r="E62" s="20">
        <v>0.05</v>
      </c>
      <c r="F62" s="20">
        <v>0.05</v>
      </c>
      <c r="G62" s="20">
        <v>0.05</v>
      </c>
      <c r="H62" s="17">
        <v>41548</v>
      </c>
      <c r="J62" s="12">
        <v>2.5</v>
      </c>
      <c r="K62" s="17">
        <v>41890</v>
      </c>
      <c r="M62" s="11" t="s">
        <v>119</v>
      </c>
    </row>
    <row r="63" spans="2:13">
      <c r="B63" s="7">
        <f t="shared" si="0"/>
        <v>59</v>
      </c>
      <c r="C63" s="21" t="s">
        <v>120</v>
      </c>
      <c r="D63" s="22"/>
      <c r="E63" s="23">
        <v>0.03</v>
      </c>
      <c r="F63" s="23">
        <v>0.05</v>
      </c>
      <c r="G63" s="23">
        <v>0.05</v>
      </c>
      <c r="H63" s="17">
        <v>41402</v>
      </c>
      <c r="J63" s="12" t="s">
        <v>246</v>
      </c>
      <c r="K63" s="17">
        <v>41402</v>
      </c>
      <c r="M63" s="11"/>
    </row>
    <row r="64" spans="2:13">
      <c r="B64" s="7">
        <f t="shared" si="0"/>
        <v>60</v>
      </c>
      <c r="C64" s="21" t="s">
        <v>121</v>
      </c>
      <c r="D64" s="22"/>
      <c r="E64" s="23">
        <v>0.03</v>
      </c>
      <c r="F64" s="23">
        <v>0.03</v>
      </c>
      <c r="G64" s="23">
        <v>0.03</v>
      </c>
      <c r="H64" s="11"/>
      <c r="J64" s="12"/>
      <c r="K64" s="11"/>
      <c r="M64" s="11"/>
    </row>
    <row r="65" spans="2:14">
      <c r="B65" s="13">
        <f t="shared" si="0"/>
        <v>61</v>
      </c>
      <c r="C65" s="18" t="s">
        <v>122</v>
      </c>
      <c r="D65" s="19">
        <v>918</v>
      </c>
      <c r="E65" s="20">
        <v>0.03</v>
      </c>
      <c r="F65" s="20">
        <v>0.03</v>
      </c>
      <c r="G65" s="20">
        <v>0.03</v>
      </c>
      <c r="H65" s="17">
        <v>41548</v>
      </c>
      <c r="J65" s="12">
        <v>2</v>
      </c>
      <c r="K65" s="17">
        <v>41865</v>
      </c>
      <c r="M65" s="11"/>
    </row>
    <row r="66" spans="2:14">
      <c r="B66" s="13">
        <f t="shared" si="0"/>
        <v>62</v>
      </c>
      <c r="C66" s="18" t="s">
        <v>123</v>
      </c>
      <c r="D66" s="19">
        <v>1127</v>
      </c>
      <c r="E66" s="20">
        <v>0.02</v>
      </c>
      <c r="F66" s="20">
        <v>0.02</v>
      </c>
      <c r="G66" s="20">
        <v>0.02</v>
      </c>
      <c r="H66" s="17">
        <v>41548</v>
      </c>
      <c r="J66" s="12">
        <v>2.85</v>
      </c>
      <c r="K66" s="17">
        <v>41933</v>
      </c>
      <c r="M66" s="11"/>
    </row>
    <row r="67" spans="2:14">
      <c r="B67" s="7">
        <f t="shared" si="0"/>
        <v>63</v>
      </c>
      <c r="C67" s="21" t="s">
        <v>124</v>
      </c>
      <c r="D67" s="22"/>
      <c r="E67" s="23">
        <v>0.03</v>
      </c>
      <c r="F67" s="23">
        <v>0.03</v>
      </c>
      <c r="G67" s="23">
        <v>0.05</v>
      </c>
      <c r="H67" s="11"/>
      <c r="J67" s="12"/>
      <c r="K67" s="11"/>
      <c r="M67" s="11"/>
    </row>
    <row r="68" spans="2:14">
      <c r="B68" s="13">
        <f t="shared" si="0"/>
        <v>64</v>
      </c>
      <c r="C68" s="18" t="s">
        <v>125</v>
      </c>
      <c r="D68" s="19" t="s">
        <v>126</v>
      </c>
      <c r="E68" s="20">
        <v>0.05</v>
      </c>
      <c r="F68" s="20">
        <v>0.05</v>
      </c>
      <c r="G68" s="20">
        <v>0.05</v>
      </c>
      <c r="H68" s="17">
        <v>41548</v>
      </c>
      <c r="J68" s="12" t="s">
        <v>240</v>
      </c>
      <c r="K68" s="17">
        <v>41865</v>
      </c>
      <c r="M68" s="11"/>
    </row>
    <row r="69" spans="2:14">
      <c r="B69" s="13">
        <f t="shared" si="0"/>
        <v>65</v>
      </c>
      <c r="C69" s="18" t="s">
        <v>127</v>
      </c>
      <c r="D69" s="19">
        <v>723</v>
      </c>
      <c r="E69" s="20">
        <v>0.05</v>
      </c>
      <c r="F69" s="20">
        <v>0.02</v>
      </c>
      <c r="G69" s="20">
        <v>0.05</v>
      </c>
      <c r="H69" s="17">
        <v>41548</v>
      </c>
      <c r="J69" s="12" t="s">
        <v>247</v>
      </c>
      <c r="K69" s="17">
        <v>41619</v>
      </c>
      <c r="M69" s="11"/>
    </row>
    <row r="70" spans="2:14">
      <c r="B70" s="13">
        <f t="shared" si="0"/>
        <v>66</v>
      </c>
      <c r="C70" s="18" t="s">
        <v>128</v>
      </c>
      <c r="D70" s="19" t="s">
        <v>129</v>
      </c>
      <c r="E70" s="20">
        <v>0.03</v>
      </c>
      <c r="F70" s="20">
        <v>0.03</v>
      </c>
      <c r="G70" s="20">
        <v>0.03</v>
      </c>
      <c r="H70" s="17">
        <v>41548</v>
      </c>
      <c r="J70" s="12">
        <v>2.5</v>
      </c>
      <c r="K70" s="17">
        <v>41535</v>
      </c>
      <c r="M70" s="11"/>
    </row>
    <row r="71" spans="2:14">
      <c r="B71" s="7">
        <f t="shared" si="0"/>
        <v>67</v>
      </c>
      <c r="C71" s="21" t="s">
        <v>130</v>
      </c>
      <c r="D71" s="22"/>
      <c r="E71" s="23">
        <v>2.5000000000000001E-2</v>
      </c>
      <c r="F71" s="23">
        <v>2.5000000000000001E-2</v>
      </c>
      <c r="G71" s="23">
        <v>2.5000000000000001E-2</v>
      </c>
      <c r="H71" s="11"/>
      <c r="J71" s="12"/>
      <c r="K71" s="11"/>
      <c r="M71" s="11"/>
    </row>
    <row r="72" spans="2:14">
      <c r="B72" s="13">
        <f t="shared" si="0"/>
        <v>68</v>
      </c>
      <c r="C72" s="18" t="s">
        <v>131</v>
      </c>
      <c r="D72" s="19">
        <v>724</v>
      </c>
      <c r="E72" s="20">
        <v>0.05</v>
      </c>
      <c r="F72" s="20">
        <v>0.04</v>
      </c>
      <c r="G72" s="20">
        <v>0.04</v>
      </c>
      <c r="H72" s="17">
        <v>41548</v>
      </c>
      <c r="J72" s="12" t="s">
        <v>132</v>
      </c>
      <c r="K72" s="17">
        <v>41619</v>
      </c>
      <c r="M72" s="11"/>
    </row>
    <row r="73" spans="2:14">
      <c r="B73" s="13">
        <f t="shared" ref="B73:B136" si="1">B72+1</f>
        <v>69</v>
      </c>
      <c r="C73" s="18" t="s">
        <v>133</v>
      </c>
      <c r="D73" s="19">
        <v>391</v>
      </c>
      <c r="E73" s="20">
        <v>0.05</v>
      </c>
      <c r="F73" s="20">
        <v>0.05</v>
      </c>
      <c r="G73" s="20">
        <v>0.05</v>
      </c>
      <c r="H73" s="17">
        <v>41548</v>
      </c>
      <c r="J73" s="12">
        <v>2.5</v>
      </c>
      <c r="K73" s="17">
        <v>41535</v>
      </c>
      <c r="M73" s="11" t="s">
        <v>134</v>
      </c>
    </row>
    <row r="74" spans="2:14">
      <c r="B74" s="7">
        <f t="shared" si="1"/>
        <v>70</v>
      </c>
      <c r="C74" s="21" t="s">
        <v>135</v>
      </c>
      <c r="D74" s="22"/>
      <c r="E74" s="23">
        <v>2.5000000000000001E-2</v>
      </c>
      <c r="F74" s="23">
        <v>2.5000000000000001E-2</v>
      </c>
      <c r="G74" s="23">
        <v>2.5000000000000001E-2</v>
      </c>
      <c r="H74" s="11"/>
      <c r="J74" s="12" t="s">
        <v>243</v>
      </c>
      <c r="K74" s="17">
        <v>41619</v>
      </c>
      <c r="M74" s="11"/>
    </row>
    <row r="75" spans="2:14">
      <c r="B75" s="13">
        <f t="shared" si="1"/>
        <v>71</v>
      </c>
      <c r="C75" s="18" t="s">
        <v>136</v>
      </c>
      <c r="D75" s="19">
        <v>392</v>
      </c>
      <c r="E75" s="20">
        <v>0.02</v>
      </c>
      <c r="F75" s="20">
        <v>0.02</v>
      </c>
      <c r="G75" s="20">
        <v>0.02</v>
      </c>
      <c r="H75" s="17">
        <v>41548</v>
      </c>
      <c r="J75" s="12">
        <v>2.2000000000000002</v>
      </c>
      <c r="K75" s="17">
        <v>41865</v>
      </c>
      <c r="M75" s="11"/>
    </row>
    <row r="76" spans="2:14">
      <c r="B76" s="13">
        <f t="shared" si="1"/>
        <v>72</v>
      </c>
      <c r="C76" s="18" t="s">
        <v>137</v>
      </c>
      <c r="D76" s="19">
        <v>1264</v>
      </c>
      <c r="E76" s="20">
        <v>0.03</v>
      </c>
      <c r="F76" s="20">
        <v>0.03</v>
      </c>
      <c r="G76" s="20">
        <v>0.03</v>
      </c>
      <c r="H76" s="17">
        <v>41548</v>
      </c>
      <c r="J76" s="12"/>
      <c r="K76" s="11"/>
      <c r="M76" s="11"/>
    </row>
    <row r="77" spans="2:14">
      <c r="B77" s="13">
        <f t="shared" si="1"/>
        <v>73</v>
      </c>
      <c r="C77" s="18" t="s">
        <v>138</v>
      </c>
      <c r="D77" s="19">
        <v>393</v>
      </c>
      <c r="E77" s="20">
        <v>0.02</v>
      </c>
      <c r="F77" s="20">
        <v>0.02</v>
      </c>
      <c r="G77" s="20">
        <v>0.02</v>
      </c>
      <c r="H77" s="17">
        <v>41548</v>
      </c>
      <c r="J77" s="12">
        <v>1.9</v>
      </c>
      <c r="K77" s="17">
        <v>41403</v>
      </c>
      <c r="M77" s="11"/>
    </row>
    <row r="78" spans="2:14">
      <c r="B78" s="13">
        <f t="shared" si="1"/>
        <v>74</v>
      </c>
      <c r="C78" s="18" t="s">
        <v>139</v>
      </c>
      <c r="D78" s="19" t="s">
        <v>140</v>
      </c>
      <c r="E78" s="20">
        <v>0.05</v>
      </c>
      <c r="F78" s="20">
        <v>0.05</v>
      </c>
      <c r="G78" s="20">
        <v>0.05</v>
      </c>
      <c r="H78" s="17">
        <v>41548</v>
      </c>
      <c r="J78" s="12">
        <v>2.5</v>
      </c>
      <c r="K78" s="17">
        <v>41865</v>
      </c>
      <c r="M78" s="11"/>
    </row>
    <row r="79" spans="2:14">
      <c r="B79" s="13">
        <f t="shared" si="1"/>
        <v>75</v>
      </c>
      <c r="C79" s="18" t="s">
        <v>141</v>
      </c>
      <c r="D79" s="19">
        <v>967</v>
      </c>
      <c r="E79" s="20">
        <v>0.05</v>
      </c>
      <c r="F79" s="20">
        <v>0.03</v>
      </c>
      <c r="G79" s="20">
        <v>0.03</v>
      </c>
      <c r="H79" s="17">
        <v>41548</v>
      </c>
      <c r="J79" s="12" t="s">
        <v>243</v>
      </c>
      <c r="K79" s="17">
        <v>41619</v>
      </c>
      <c r="M79" s="11"/>
    </row>
    <row r="80" spans="2:14">
      <c r="B80" s="13">
        <f t="shared" si="1"/>
        <v>76</v>
      </c>
      <c r="C80" s="18" t="s">
        <v>142</v>
      </c>
      <c r="D80" s="19" t="s">
        <v>143</v>
      </c>
      <c r="E80" s="20">
        <v>0.05</v>
      </c>
      <c r="F80" s="20">
        <v>0.04</v>
      </c>
      <c r="G80" s="20">
        <v>0.03</v>
      </c>
      <c r="H80" s="17">
        <v>41548</v>
      </c>
      <c r="J80" s="12">
        <v>2.65</v>
      </c>
      <c r="K80" s="17">
        <v>41695</v>
      </c>
      <c r="M80" s="11"/>
      <c r="N80" s="3" t="s">
        <v>144</v>
      </c>
    </row>
    <row r="81" spans="2:13">
      <c r="B81" s="13">
        <f t="shared" si="1"/>
        <v>77</v>
      </c>
      <c r="C81" s="18" t="s">
        <v>145</v>
      </c>
      <c r="D81" s="19">
        <v>1265</v>
      </c>
      <c r="E81" s="20">
        <v>0.02</v>
      </c>
      <c r="F81" s="20">
        <v>0.02</v>
      </c>
      <c r="G81" s="20">
        <v>0.02</v>
      </c>
      <c r="H81" s="17">
        <v>41548</v>
      </c>
      <c r="J81" s="12" t="s">
        <v>243</v>
      </c>
      <c r="K81" s="17">
        <v>41619</v>
      </c>
      <c r="M81" s="11"/>
    </row>
    <row r="82" spans="2:13">
      <c r="B82" s="7">
        <f t="shared" si="1"/>
        <v>78</v>
      </c>
      <c r="C82" s="21" t="s">
        <v>146</v>
      </c>
      <c r="D82" s="22"/>
      <c r="E82" s="23">
        <v>0.03</v>
      </c>
      <c r="F82" s="23">
        <v>0.03</v>
      </c>
      <c r="G82" s="23">
        <v>0.03</v>
      </c>
      <c r="H82" s="11"/>
      <c r="J82" s="12" t="s">
        <v>243</v>
      </c>
      <c r="K82" s="17">
        <v>41619</v>
      </c>
      <c r="M82" s="11"/>
    </row>
    <row r="83" spans="2:13">
      <c r="B83" s="13">
        <f t="shared" si="1"/>
        <v>79</v>
      </c>
      <c r="C83" s="18" t="s">
        <v>147</v>
      </c>
      <c r="D83" s="19" t="s">
        <v>148</v>
      </c>
      <c r="E83" s="20">
        <v>0.03</v>
      </c>
      <c r="F83" s="20">
        <v>0.03</v>
      </c>
      <c r="G83" s="20">
        <v>0.02</v>
      </c>
      <c r="H83" s="17">
        <v>41548</v>
      </c>
      <c r="J83" s="12">
        <v>2.2999999999999998</v>
      </c>
      <c r="K83" s="17">
        <v>41619</v>
      </c>
      <c r="M83" s="11"/>
    </row>
    <row r="84" spans="2:13">
      <c r="B84" s="7">
        <f t="shared" si="1"/>
        <v>80</v>
      </c>
      <c r="C84" s="21" t="s">
        <v>149</v>
      </c>
      <c r="D84" s="22"/>
      <c r="E84" s="23">
        <v>0.02</v>
      </c>
      <c r="F84" s="23">
        <v>0.02</v>
      </c>
      <c r="G84" s="23">
        <v>0.02</v>
      </c>
      <c r="H84" s="11"/>
      <c r="J84" s="12">
        <v>3.9</v>
      </c>
      <c r="K84" s="17">
        <v>42034</v>
      </c>
      <c r="M84" s="11"/>
    </row>
    <row r="85" spans="2:13">
      <c r="B85" s="7">
        <f t="shared" si="1"/>
        <v>81</v>
      </c>
      <c r="C85" s="21" t="s">
        <v>150</v>
      </c>
      <c r="D85" s="22"/>
      <c r="E85" s="23">
        <v>0.02</v>
      </c>
      <c r="F85" s="23">
        <v>0.02</v>
      </c>
      <c r="G85" s="23">
        <v>0.02</v>
      </c>
      <c r="H85" s="11"/>
      <c r="J85" s="12" t="s">
        <v>243</v>
      </c>
      <c r="K85" s="17">
        <v>41929</v>
      </c>
      <c r="M85" s="11"/>
    </row>
    <row r="86" spans="2:13">
      <c r="B86" s="13">
        <f t="shared" si="1"/>
        <v>82</v>
      </c>
      <c r="C86" s="18" t="s">
        <v>151</v>
      </c>
      <c r="D86" s="19" t="s">
        <v>152</v>
      </c>
      <c r="E86" s="20">
        <v>0.03</v>
      </c>
      <c r="F86" s="20">
        <v>0.03</v>
      </c>
      <c r="G86" s="20">
        <v>0.03</v>
      </c>
      <c r="H86" s="17">
        <v>41548</v>
      </c>
      <c r="J86" s="12">
        <v>2.95</v>
      </c>
      <c r="K86" s="17">
        <v>41929</v>
      </c>
      <c r="M86" s="11"/>
    </row>
    <row r="87" spans="2:13">
      <c r="B87" s="13">
        <f t="shared" si="1"/>
        <v>83</v>
      </c>
      <c r="C87" s="18" t="s">
        <v>153</v>
      </c>
      <c r="D87" s="19">
        <v>1267</v>
      </c>
      <c r="E87" s="20">
        <v>0.03</v>
      </c>
      <c r="F87" s="20">
        <v>0.03</v>
      </c>
      <c r="G87" s="20">
        <v>0.03</v>
      </c>
      <c r="H87" s="17">
        <v>41548</v>
      </c>
      <c r="J87" s="12">
        <v>2</v>
      </c>
      <c r="K87" s="17">
        <v>41619</v>
      </c>
      <c r="M87" s="11"/>
    </row>
    <row r="88" spans="2:13">
      <c r="B88" s="13">
        <f t="shared" si="1"/>
        <v>84</v>
      </c>
      <c r="C88" s="18" t="s">
        <v>154</v>
      </c>
      <c r="D88" s="19" t="s">
        <v>155</v>
      </c>
      <c r="E88" s="20">
        <v>0.03</v>
      </c>
      <c r="F88" s="20">
        <v>0.03</v>
      </c>
      <c r="G88" s="20">
        <v>0.03</v>
      </c>
      <c r="H88" s="17">
        <v>41548</v>
      </c>
      <c r="J88" s="12">
        <v>2.75</v>
      </c>
      <c r="K88" s="17">
        <v>41871</v>
      </c>
      <c r="M88" s="24" t="s">
        <v>156</v>
      </c>
    </row>
    <row r="89" spans="2:13">
      <c r="B89" s="7">
        <f t="shared" si="1"/>
        <v>85</v>
      </c>
      <c r="C89" s="21" t="s">
        <v>157</v>
      </c>
      <c r="D89" s="22" t="s">
        <v>158</v>
      </c>
      <c r="E89" s="23">
        <v>0</v>
      </c>
      <c r="F89" s="23">
        <v>0</v>
      </c>
      <c r="G89" s="23">
        <v>0.03</v>
      </c>
      <c r="H89" s="11"/>
      <c r="J89" s="12"/>
      <c r="K89" s="11"/>
      <c r="M89" s="11"/>
    </row>
    <row r="90" spans="2:13">
      <c r="B90" s="7">
        <f t="shared" si="1"/>
        <v>86</v>
      </c>
      <c r="C90" s="21" t="s">
        <v>159</v>
      </c>
      <c r="D90" s="22"/>
      <c r="E90" s="23">
        <v>0.03</v>
      </c>
      <c r="F90" s="23"/>
      <c r="G90" s="23">
        <v>0.03</v>
      </c>
      <c r="H90" s="11"/>
      <c r="J90" s="12"/>
      <c r="K90" s="17"/>
      <c r="M90" s="11"/>
    </row>
    <row r="91" spans="2:13">
      <c r="B91" s="13">
        <f>B90+1</f>
        <v>87</v>
      </c>
      <c r="C91" s="14" t="s">
        <v>160</v>
      </c>
      <c r="D91" s="15" t="s">
        <v>161</v>
      </c>
      <c r="E91" s="16">
        <v>0.02</v>
      </c>
      <c r="F91" s="16">
        <v>0.03</v>
      </c>
      <c r="G91" s="16">
        <v>0.02</v>
      </c>
      <c r="H91" s="17">
        <v>41548</v>
      </c>
      <c r="J91" s="12"/>
      <c r="K91" s="7"/>
      <c r="M91" s="7"/>
    </row>
    <row r="92" spans="2:13">
      <c r="B92" s="13">
        <f>B91+1</f>
        <v>88</v>
      </c>
      <c r="C92" s="18" t="s">
        <v>162</v>
      </c>
      <c r="D92" s="19" t="s">
        <v>163</v>
      </c>
      <c r="E92" s="20">
        <v>0.03</v>
      </c>
      <c r="F92" s="20">
        <v>0.03</v>
      </c>
      <c r="G92" s="20">
        <v>0.03</v>
      </c>
      <c r="H92" s="17">
        <v>41548</v>
      </c>
      <c r="J92" s="12">
        <v>2.5499999999999998</v>
      </c>
      <c r="K92" s="17">
        <v>41929</v>
      </c>
      <c r="M92" s="11" t="s">
        <v>253</v>
      </c>
    </row>
    <row r="93" spans="2:13">
      <c r="B93" s="13">
        <f t="shared" si="1"/>
        <v>89</v>
      </c>
      <c r="C93" s="18" t="s">
        <v>164</v>
      </c>
      <c r="D93" s="19" t="s">
        <v>165</v>
      </c>
      <c r="E93" s="20">
        <v>0.03</v>
      </c>
      <c r="F93" s="20">
        <v>0.03</v>
      </c>
      <c r="G93" s="20">
        <v>0.03</v>
      </c>
      <c r="H93" s="17">
        <v>41548</v>
      </c>
      <c r="J93" s="12"/>
      <c r="K93" s="11"/>
      <c r="M93" s="11"/>
    </row>
    <row r="94" spans="2:13">
      <c r="B94" s="13">
        <f t="shared" si="1"/>
        <v>90</v>
      </c>
      <c r="C94" s="18" t="s">
        <v>166</v>
      </c>
      <c r="D94" s="19" t="s">
        <v>167</v>
      </c>
      <c r="E94" s="20">
        <v>0.04</v>
      </c>
      <c r="F94" s="20">
        <v>0.04</v>
      </c>
      <c r="G94" s="20">
        <v>0.05</v>
      </c>
      <c r="H94" s="17">
        <v>41548</v>
      </c>
      <c r="J94" s="12">
        <v>3</v>
      </c>
      <c r="K94" s="17">
        <v>41619</v>
      </c>
      <c r="M94" s="11"/>
    </row>
    <row r="95" spans="2:13">
      <c r="B95" s="13">
        <f t="shared" si="1"/>
        <v>91</v>
      </c>
      <c r="C95" s="18" t="s">
        <v>168</v>
      </c>
      <c r="D95" s="19" t="s">
        <v>169</v>
      </c>
      <c r="E95" s="20">
        <v>0.02</v>
      </c>
      <c r="F95" s="20">
        <v>0.02</v>
      </c>
      <c r="G95" s="20">
        <v>0.03</v>
      </c>
      <c r="H95" s="17">
        <v>41548</v>
      </c>
      <c r="J95" s="12">
        <v>2</v>
      </c>
      <c r="K95" s="17">
        <v>41619</v>
      </c>
      <c r="M95" s="11"/>
    </row>
    <row r="96" spans="2:13">
      <c r="B96" s="13">
        <f t="shared" si="1"/>
        <v>92</v>
      </c>
      <c r="C96" s="18" t="s">
        <v>170</v>
      </c>
      <c r="D96" s="19">
        <v>1319</v>
      </c>
      <c r="E96" s="20">
        <v>0.03</v>
      </c>
      <c r="F96" s="20">
        <v>0.03</v>
      </c>
      <c r="G96" s="20">
        <v>0.03</v>
      </c>
      <c r="H96" s="17">
        <v>41548</v>
      </c>
      <c r="J96" s="12">
        <v>2.5</v>
      </c>
      <c r="K96" s="17">
        <v>41929</v>
      </c>
      <c r="M96" s="11"/>
    </row>
    <row r="97" spans="2:13">
      <c r="B97" s="13">
        <f t="shared" si="1"/>
        <v>93</v>
      </c>
      <c r="C97" s="18" t="s">
        <v>171</v>
      </c>
      <c r="D97" s="19" t="s">
        <v>172</v>
      </c>
      <c r="E97" s="20">
        <v>0.03</v>
      </c>
      <c r="F97" s="20">
        <v>0.03</v>
      </c>
      <c r="G97" s="20">
        <v>0.03</v>
      </c>
      <c r="H97" s="17">
        <v>41548</v>
      </c>
      <c r="J97" s="12">
        <v>1.5</v>
      </c>
      <c r="K97" s="17">
        <v>41803</v>
      </c>
      <c r="M97" s="11"/>
    </row>
    <row r="98" spans="2:13">
      <c r="B98" s="13">
        <f t="shared" si="1"/>
        <v>94</v>
      </c>
      <c r="C98" s="18" t="s">
        <v>173</v>
      </c>
      <c r="D98" s="19" t="s">
        <v>174</v>
      </c>
      <c r="E98" s="20">
        <v>0.03</v>
      </c>
      <c r="F98" s="20">
        <v>0.03</v>
      </c>
      <c r="G98" s="20">
        <v>0.03</v>
      </c>
      <c r="H98" s="17">
        <v>41548</v>
      </c>
      <c r="J98" s="12">
        <v>3.15</v>
      </c>
      <c r="K98" s="17">
        <v>41929</v>
      </c>
      <c r="M98" s="11"/>
    </row>
    <row r="99" spans="2:13">
      <c r="B99" s="7">
        <f t="shared" si="1"/>
        <v>95</v>
      </c>
      <c r="C99" s="21" t="s">
        <v>175</v>
      </c>
      <c r="D99" s="22"/>
      <c r="E99" s="23">
        <v>0.05</v>
      </c>
      <c r="F99" s="23">
        <v>0.05</v>
      </c>
      <c r="G99" s="23">
        <v>0.05</v>
      </c>
      <c r="H99" s="11"/>
      <c r="J99" s="12" t="s">
        <v>243</v>
      </c>
      <c r="K99" s="17">
        <v>41619</v>
      </c>
      <c r="M99" s="11"/>
    </row>
    <row r="100" spans="2:13">
      <c r="B100" s="13">
        <f t="shared" si="1"/>
        <v>96</v>
      </c>
      <c r="C100" s="18" t="s">
        <v>176</v>
      </c>
      <c r="D100" s="19" t="s">
        <v>161</v>
      </c>
      <c r="E100" s="20">
        <v>0.04</v>
      </c>
      <c r="F100" s="20">
        <v>0.04</v>
      </c>
      <c r="G100" s="20">
        <v>0.04</v>
      </c>
      <c r="H100" s="17">
        <v>41548</v>
      </c>
      <c r="J100" s="12">
        <v>2.7</v>
      </c>
      <c r="K100" s="17">
        <v>41911</v>
      </c>
      <c r="M100" s="11" t="s">
        <v>177</v>
      </c>
    </row>
    <row r="101" spans="2:13">
      <c r="B101" s="13">
        <f t="shared" si="1"/>
        <v>97</v>
      </c>
      <c r="C101" s="18" t="s">
        <v>178</v>
      </c>
      <c r="D101" s="19" t="s">
        <v>179</v>
      </c>
      <c r="E101" s="20">
        <v>0.04</v>
      </c>
      <c r="F101" s="20">
        <v>0.04</v>
      </c>
      <c r="G101" s="20">
        <v>0.04</v>
      </c>
      <c r="H101" s="17">
        <v>41548</v>
      </c>
      <c r="J101" s="12">
        <v>2.41</v>
      </c>
      <c r="K101" s="17">
        <v>41403</v>
      </c>
      <c r="M101" s="11"/>
    </row>
    <row r="102" spans="2:13">
      <c r="B102" s="13">
        <f t="shared" si="1"/>
        <v>98</v>
      </c>
      <c r="C102" s="18" t="s">
        <v>180</v>
      </c>
      <c r="D102" s="19">
        <v>602</v>
      </c>
      <c r="E102" s="20">
        <v>0.02</v>
      </c>
      <c r="F102" s="20">
        <v>0.02</v>
      </c>
      <c r="G102" s="20">
        <v>0.02</v>
      </c>
      <c r="H102" s="17">
        <v>41548</v>
      </c>
      <c r="J102" s="12">
        <v>2.6</v>
      </c>
      <c r="K102" s="17">
        <v>41933</v>
      </c>
      <c r="M102" s="11"/>
    </row>
    <row r="103" spans="2:13">
      <c r="B103" s="7">
        <f t="shared" si="1"/>
        <v>99</v>
      </c>
      <c r="C103" s="21" t="s">
        <v>181</v>
      </c>
      <c r="D103" s="22"/>
      <c r="E103" s="23">
        <v>0.03</v>
      </c>
      <c r="F103" s="23"/>
      <c r="G103" s="23">
        <v>0.03</v>
      </c>
      <c r="H103" s="11"/>
      <c r="J103" s="12"/>
      <c r="K103" s="11"/>
      <c r="M103" s="11"/>
    </row>
    <row r="104" spans="2:13">
      <c r="B104" s="7">
        <f t="shared" si="1"/>
        <v>100</v>
      </c>
      <c r="C104" s="21" t="s">
        <v>182</v>
      </c>
      <c r="D104" s="22"/>
      <c r="E104" s="23">
        <v>0.03</v>
      </c>
      <c r="F104" s="23">
        <v>0.03</v>
      </c>
      <c r="G104" s="23">
        <v>0.03</v>
      </c>
      <c r="H104" s="11"/>
      <c r="J104" s="12"/>
      <c r="K104" s="11"/>
      <c r="M104" s="11"/>
    </row>
    <row r="105" spans="2:13">
      <c r="B105" s="13">
        <f t="shared" si="1"/>
        <v>101</v>
      </c>
      <c r="C105" s="18" t="s">
        <v>183</v>
      </c>
      <c r="D105" s="19">
        <v>3915</v>
      </c>
      <c r="E105" s="20">
        <v>0.02</v>
      </c>
      <c r="F105" s="20">
        <v>0.02</v>
      </c>
      <c r="G105" s="20">
        <v>0.02</v>
      </c>
      <c r="H105" s="17">
        <v>41548</v>
      </c>
      <c r="J105" s="12">
        <v>3.15</v>
      </c>
      <c r="K105" s="17">
        <v>42034</v>
      </c>
      <c r="M105" s="11"/>
    </row>
    <row r="106" spans="2:13">
      <c r="B106" s="25">
        <f>B105+1</f>
        <v>102</v>
      </c>
      <c r="C106" s="26" t="s">
        <v>184</v>
      </c>
      <c r="D106" s="27"/>
      <c r="E106" s="28"/>
      <c r="F106" s="28"/>
      <c r="G106" s="29"/>
      <c r="H106" s="17"/>
      <c r="J106" s="12" t="s">
        <v>248</v>
      </c>
      <c r="K106" s="17">
        <v>41865</v>
      </c>
      <c r="M106" s="11"/>
    </row>
    <row r="107" spans="2:13">
      <c r="B107" s="13">
        <f>B106+1</f>
        <v>103</v>
      </c>
      <c r="C107" s="18" t="s">
        <v>185</v>
      </c>
      <c r="D107" s="19" t="s">
        <v>186</v>
      </c>
      <c r="E107" s="20">
        <v>2.5000000000000001E-2</v>
      </c>
      <c r="F107" s="20">
        <v>2.5000000000000001E-2</v>
      </c>
      <c r="G107" s="20">
        <v>2.5000000000000001E-2</v>
      </c>
      <c r="H107" s="17">
        <v>41548</v>
      </c>
      <c r="J107" s="12"/>
      <c r="K107" s="11"/>
      <c r="M107" s="11"/>
    </row>
    <row r="108" spans="2:13">
      <c r="B108" s="13">
        <f t="shared" si="1"/>
        <v>104</v>
      </c>
      <c r="C108" s="18" t="s">
        <v>187</v>
      </c>
      <c r="D108" s="19">
        <v>3915</v>
      </c>
      <c r="E108" s="20">
        <v>0.05</v>
      </c>
      <c r="F108" s="20">
        <v>0.03</v>
      </c>
      <c r="G108" s="20">
        <v>0.03</v>
      </c>
      <c r="H108" s="17">
        <v>41548</v>
      </c>
      <c r="J108" s="12">
        <v>2.9</v>
      </c>
      <c r="K108" s="17">
        <v>41402</v>
      </c>
      <c r="M108" s="11"/>
    </row>
    <row r="109" spans="2:13">
      <c r="B109" s="13">
        <f t="shared" si="1"/>
        <v>105</v>
      </c>
      <c r="C109" s="18" t="s">
        <v>188</v>
      </c>
      <c r="D109" s="19">
        <v>1946</v>
      </c>
      <c r="E109" s="20">
        <v>0.03</v>
      </c>
      <c r="F109" s="20">
        <v>0.03</v>
      </c>
      <c r="G109" s="20">
        <v>0.03</v>
      </c>
      <c r="H109" s="17">
        <v>41548</v>
      </c>
      <c r="J109" s="12" t="s">
        <v>132</v>
      </c>
      <c r="K109" s="17">
        <v>41865</v>
      </c>
      <c r="M109" s="11"/>
    </row>
    <row r="110" spans="2:13">
      <c r="B110" s="13">
        <f t="shared" si="1"/>
        <v>106</v>
      </c>
      <c r="C110" s="18" t="s">
        <v>189</v>
      </c>
      <c r="D110" s="19">
        <v>400</v>
      </c>
      <c r="E110" s="20">
        <v>0.03</v>
      </c>
      <c r="F110" s="20">
        <v>0.05</v>
      </c>
      <c r="G110" s="20">
        <v>0.03</v>
      </c>
      <c r="H110" s="17">
        <v>41548</v>
      </c>
      <c r="J110" s="12">
        <v>2.5</v>
      </c>
      <c r="K110" s="17">
        <v>41891</v>
      </c>
      <c r="M110" s="11" t="s">
        <v>190</v>
      </c>
    </row>
    <row r="111" spans="2:13">
      <c r="B111" s="7">
        <f t="shared" si="1"/>
        <v>107</v>
      </c>
      <c r="C111" s="21" t="s">
        <v>191</v>
      </c>
      <c r="D111" s="22"/>
      <c r="E111" s="23">
        <v>0.03</v>
      </c>
      <c r="F111" s="23">
        <v>0.03</v>
      </c>
      <c r="G111" s="23">
        <v>0.03</v>
      </c>
      <c r="H111" s="11"/>
      <c r="J111" s="12"/>
      <c r="K111" s="11"/>
      <c r="M111" s="11"/>
    </row>
    <row r="112" spans="2:13">
      <c r="B112" s="13">
        <f t="shared" si="1"/>
        <v>108</v>
      </c>
      <c r="C112" s="18" t="s">
        <v>192</v>
      </c>
      <c r="D112" s="19" t="s">
        <v>193</v>
      </c>
      <c r="E112" s="20">
        <v>0.03</v>
      </c>
      <c r="F112" s="20">
        <v>0.03</v>
      </c>
      <c r="G112" s="20">
        <v>0.03</v>
      </c>
      <c r="H112" s="17">
        <v>41548</v>
      </c>
      <c r="J112" s="12" t="s">
        <v>243</v>
      </c>
      <c r="K112" s="17">
        <v>41619</v>
      </c>
      <c r="M112" s="11"/>
    </row>
    <row r="113" spans="2:13">
      <c r="B113" s="13">
        <f t="shared" si="1"/>
        <v>109</v>
      </c>
      <c r="C113" s="18" t="s">
        <v>194</v>
      </c>
      <c r="D113" s="19">
        <v>401</v>
      </c>
      <c r="E113" s="20">
        <v>0.05</v>
      </c>
      <c r="F113" s="20">
        <v>0.05</v>
      </c>
      <c r="G113" s="20">
        <v>0.05</v>
      </c>
      <c r="H113" s="17">
        <v>41548</v>
      </c>
      <c r="J113" s="12" t="s">
        <v>248</v>
      </c>
      <c r="K113" s="17">
        <v>41535</v>
      </c>
      <c r="M113" s="11"/>
    </row>
    <row r="114" spans="2:13">
      <c r="B114" s="7">
        <f t="shared" si="1"/>
        <v>110</v>
      </c>
      <c r="C114" s="21" t="s">
        <v>195</v>
      </c>
      <c r="D114" s="22"/>
      <c r="E114" s="23">
        <v>0.02</v>
      </c>
      <c r="F114" s="23">
        <v>0.02</v>
      </c>
      <c r="G114" s="23">
        <v>0.02</v>
      </c>
      <c r="H114" s="11"/>
      <c r="J114" s="12">
        <v>3.05</v>
      </c>
      <c r="K114" s="17">
        <v>42034</v>
      </c>
      <c r="M114" s="11"/>
    </row>
    <row r="115" spans="2:13">
      <c r="B115" s="25">
        <f>B114+1</f>
        <v>111</v>
      </c>
      <c r="C115" s="26" t="s">
        <v>196</v>
      </c>
      <c r="D115" s="30"/>
      <c r="E115" s="28"/>
      <c r="F115" s="29"/>
      <c r="G115" s="23"/>
      <c r="H115" s="3"/>
      <c r="I115" s="12"/>
      <c r="J115" s="17" t="s">
        <v>132</v>
      </c>
      <c r="K115" s="17">
        <v>41865</v>
      </c>
      <c r="L115" s="11"/>
      <c r="M115" s="21"/>
    </row>
    <row r="116" spans="2:13">
      <c r="B116" s="7">
        <f>B115+1</f>
        <v>112</v>
      </c>
      <c r="C116" s="21" t="s">
        <v>197</v>
      </c>
      <c r="D116" s="22"/>
      <c r="E116" s="23">
        <v>0.05</v>
      </c>
      <c r="F116" s="23">
        <v>0.05</v>
      </c>
      <c r="G116" s="23">
        <v>0.05</v>
      </c>
      <c r="H116" s="11"/>
      <c r="J116" s="12"/>
      <c r="K116" s="11"/>
      <c r="M116" s="11"/>
    </row>
    <row r="117" spans="2:13">
      <c r="B117" s="13">
        <f t="shared" si="1"/>
        <v>113</v>
      </c>
      <c r="C117" s="18" t="s">
        <v>198</v>
      </c>
      <c r="D117" s="19">
        <v>1287</v>
      </c>
      <c r="E117" s="20">
        <v>0.03</v>
      </c>
      <c r="F117" s="20">
        <v>0.03</v>
      </c>
      <c r="G117" s="20">
        <v>0.03</v>
      </c>
      <c r="H117" s="17">
        <v>41548</v>
      </c>
      <c r="J117" s="12" t="s">
        <v>243</v>
      </c>
      <c r="K117" s="17">
        <v>41929</v>
      </c>
      <c r="M117" s="11"/>
    </row>
    <row r="118" spans="2:13">
      <c r="B118" s="7">
        <f t="shared" si="1"/>
        <v>114</v>
      </c>
      <c r="C118" s="21" t="s">
        <v>199</v>
      </c>
      <c r="D118" s="22"/>
      <c r="E118" s="23">
        <v>0.05</v>
      </c>
      <c r="F118" s="23">
        <v>0.05</v>
      </c>
      <c r="G118" s="23">
        <v>0.05</v>
      </c>
      <c r="H118" s="11"/>
      <c r="J118" s="12"/>
      <c r="K118" s="11"/>
      <c r="M118" s="11"/>
    </row>
    <row r="119" spans="2:13">
      <c r="B119" s="13">
        <f t="shared" si="1"/>
        <v>115</v>
      </c>
      <c r="C119" s="18" t="s">
        <v>200</v>
      </c>
      <c r="D119" s="19">
        <v>402</v>
      </c>
      <c r="E119" s="20">
        <v>0.04</v>
      </c>
      <c r="F119" s="20">
        <v>0.03</v>
      </c>
      <c r="G119" s="20">
        <v>0.04</v>
      </c>
      <c r="H119" s="17">
        <v>41548</v>
      </c>
      <c r="J119" s="12" t="s">
        <v>243</v>
      </c>
      <c r="K119" s="17">
        <v>41619</v>
      </c>
      <c r="M119" s="11"/>
    </row>
    <row r="120" spans="2:13">
      <c r="B120" s="25">
        <f>B119+1</f>
        <v>116</v>
      </c>
      <c r="C120" s="31" t="s">
        <v>201</v>
      </c>
      <c r="D120" s="32"/>
      <c r="E120" s="33">
        <v>0.03</v>
      </c>
      <c r="F120" s="33">
        <v>0.03</v>
      </c>
      <c r="G120" s="33">
        <v>0.03</v>
      </c>
      <c r="H120" s="17">
        <v>41695</v>
      </c>
      <c r="J120" s="12" t="s">
        <v>243</v>
      </c>
      <c r="K120" s="17">
        <v>41695</v>
      </c>
      <c r="M120" s="11"/>
    </row>
    <row r="121" spans="2:13">
      <c r="B121" s="7">
        <f>B120+1</f>
        <v>117</v>
      </c>
      <c r="C121" s="21" t="s">
        <v>202</v>
      </c>
      <c r="D121" s="22"/>
      <c r="E121" s="23">
        <v>0.03</v>
      </c>
      <c r="F121" s="23">
        <v>0.03</v>
      </c>
      <c r="G121" s="23">
        <v>0.03</v>
      </c>
      <c r="H121" s="11"/>
      <c r="J121" s="12"/>
      <c r="K121" s="11"/>
      <c r="M121" s="11"/>
    </row>
    <row r="122" spans="2:13">
      <c r="B122" s="13">
        <f t="shared" si="1"/>
        <v>118</v>
      </c>
      <c r="C122" s="18" t="s">
        <v>203</v>
      </c>
      <c r="D122" s="19">
        <v>403</v>
      </c>
      <c r="E122" s="20">
        <v>0.03</v>
      </c>
      <c r="F122" s="20">
        <v>0.03</v>
      </c>
      <c r="G122" s="20">
        <v>0.03</v>
      </c>
      <c r="H122" s="17">
        <v>41548</v>
      </c>
      <c r="J122" s="12">
        <v>2.2000000000000002</v>
      </c>
      <c r="K122" s="17">
        <v>42034</v>
      </c>
      <c r="M122" s="11"/>
    </row>
    <row r="123" spans="2:13">
      <c r="B123" s="13">
        <f t="shared" si="1"/>
        <v>119</v>
      </c>
      <c r="C123" s="18" t="s">
        <v>204</v>
      </c>
      <c r="D123" s="19">
        <v>404</v>
      </c>
      <c r="E123" s="20">
        <v>0.05</v>
      </c>
      <c r="F123" s="20">
        <v>0.05</v>
      </c>
      <c r="G123" s="20">
        <v>0.05</v>
      </c>
      <c r="H123" s="17">
        <v>41548</v>
      </c>
      <c r="J123" s="12">
        <v>2.35</v>
      </c>
      <c r="K123" s="17">
        <v>41619</v>
      </c>
      <c r="M123" s="11"/>
    </row>
    <row r="124" spans="2:13">
      <c r="B124" s="13">
        <f t="shared" si="1"/>
        <v>120</v>
      </c>
      <c r="C124" s="18" t="s">
        <v>205</v>
      </c>
      <c r="D124" s="19" t="s">
        <v>206</v>
      </c>
      <c r="E124" s="20">
        <v>0.03</v>
      </c>
      <c r="F124" s="20">
        <v>0.03</v>
      </c>
      <c r="G124" s="20">
        <v>0.03</v>
      </c>
      <c r="H124" s="17">
        <v>41548</v>
      </c>
      <c r="J124" s="12"/>
      <c r="K124" s="11"/>
      <c r="M124" s="11"/>
    </row>
    <row r="125" spans="2:13">
      <c r="B125" s="7">
        <f t="shared" si="1"/>
        <v>121</v>
      </c>
      <c r="C125" s="21" t="s">
        <v>207</v>
      </c>
      <c r="D125" s="22"/>
      <c r="E125" s="23">
        <v>0.02</v>
      </c>
      <c r="F125" s="23">
        <v>0.02</v>
      </c>
      <c r="G125" s="23">
        <v>0.02</v>
      </c>
      <c r="H125" s="11"/>
      <c r="J125" s="12"/>
      <c r="K125" s="11"/>
      <c r="M125" s="11"/>
    </row>
    <row r="126" spans="2:13">
      <c r="B126" s="13">
        <f t="shared" si="1"/>
        <v>122</v>
      </c>
      <c r="C126" s="18" t="s">
        <v>208</v>
      </c>
      <c r="D126" s="19" t="s">
        <v>209</v>
      </c>
      <c r="E126" s="20">
        <v>0.05</v>
      </c>
      <c r="F126" s="20">
        <v>0.03</v>
      </c>
      <c r="G126" s="20">
        <v>0.05</v>
      </c>
      <c r="H126" s="17">
        <v>41548</v>
      </c>
      <c r="J126" s="12">
        <v>2.7</v>
      </c>
      <c r="K126" s="17">
        <v>41933</v>
      </c>
      <c r="M126" s="11" t="s">
        <v>210</v>
      </c>
    </row>
    <row r="127" spans="2:13">
      <c r="B127" s="13">
        <f t="shared" si="1"/>
        <v>123</v>
      </c>
      <c r="C127" s="18" t="s">
        <v>211</v>
      </c>
      <c r="D127" s="19" t="s">
        <v>212</v>
      </c>
      <c r="E127" s="20">
        <v>0.04</v>
      </c>
      <c r="F127" s="20">
        <v>0.04</v>
      </c>
      <c r="G127" s="20">
        <v>0.04</v>
      </c>
      <c r="H127" s="17">
        <v>41548</v>
      </c>
      <c r="J127" s="12">
        <v>2</v>
      </c>
      <c r="K127" s="17">
        <v>41865</v>
      </c>
      <c r="M127" s="11"/>
    </row>
    <row r="128" spans="2:13">
      <c r="B128" s="7">
        <f t="shared" si="1"/>
        <v>124</v>
      </c>
      <c r="C128" s="21" t="s">
        <v>213</v>
      </c>
      <c r="D128" s="22"/>
      <c r="E128" s="23">
        <v>0.03</v>
      </c>
      <c r="F128" s="23">
        <v>0.03</v>
      </c>
      <c r="G128" s="23">
        <v>0.03</v>
      </c>
      <c r="H128" s="11"/>
      <c r="J128" s="12" t="s">
        <v>243</v>
      </c>
      <c r="K128" s="17">
        <v>41929</v>
      </c>
      <c r="M128" s="11"/>
    </row>
    <row r="129" spans="2:13">
      <c r="B129" s="13">
        <f t="shared" si="1"/>
        <v>125</v>
      </c>
      <c r="C129" s="18" t="s">
        <v>214</v>
      </c>
      <c r="D129" s="19" t="s">
        <v>215</v>
      </c>
      <c r="E129" s="20">
        <v>0.03</v>
      </c>
      <c r="F129" s="20">
        <v>0.03</v>
      </c>
      <c r="G129" s="20">
        <v>0.03</v>
      </c>
      <c r="H129" s="17">
        <v>41548</v>
      </c>
      <c r="J129" s="12">
        <v>2.85</v>
      </c>
      <c r="K129" s="17">
        <v>41933</v>
      </c>
      <c r="M129" s="11"/>
    </row>
    <row r="130" spans="2:13">
      <c r="B130" s="7">
        <f t="shared" si="1"/>
        <v>126</v>
      </c>
      <c r="C130" s="21" t="s">
        <v>216</v>
      </c>
      <c r="D130" s="22"/>
      <c r="E130" s="23">
        <v>0.03</v>
      </c>
      <c r="F130" s="23">
        <v>0.03</v>
      </c>
      <c r="G130" s="23">
        <v>0.03</v>
      </c>
      <c r="H130" s="17">
        <v>41536</v>
      </c>
      <c r="J130" s="12">
        <v>1</v>
      </c>
      <c r="K130" s="17">
        <v>41536</v>
      </c>
      <c r="M130" s="11"/>
    </row>
    <row r="131" spans="2:13">
      <c r="B131" s="13">
        <f t="shared" si="1"/>
        <v>127</v>
      </c>
      <c r="C131" s="18" t="s">
        <v>217</v>
      </c>
      <c r="D131" s="19" t="s">
        <v>218</v>
      </c>
      <c r="E131" s="20">
        <v>0.03</v>
      </c>
      <c r="F131" s="20">
        <v>0.03</v>
      </c>
      <c r="G131" s="20">
        <v>0.03</v>
      </c>
      <c r="H131" s="17">
        <v>41548</v>
      </c>
      <c r="J131" s="12"/>
      <c r="K131" s="11"/>
      <c r="M131" s="11"/>
    </row>
    <row r="132" spans="2:13">
      <c r="B132" s="25">
        <f>B131+1</f>
        <v>128</v>
      </c>
      <c r="C132" s="31" t="s">
        <v>219</v>
      </c>
      <c r="D132" s="32"/>
      <c r="E132" s="33">
        <v>0.03</v>
      </c>
      <c r="F132" s="33">
        <v>0.03</v>
      </c>
      <c r="G132" s="33">
        <v>0.03</v>
      </c>
      <c r="H132" s="17"/>
      <c r="J132" s="12">
        <v>3</v>
      </c>
      <c r="K132" s="11"/>
      <c r="M132" s="11"/>
    </row>
    <row r="133" spans="2:13">
      <c r="B133" s="13">
        <f>B132+1</f>
        <v>129</v>
      </c>
      <c r="C133" s="18" t="s">
        <v>220</v>
      </c>
      <c r="D133" s="19">
        <v>405</v>
      </c>
      <c r="E133" s="20">
        <v>0.03</v>
      </c>
      <c r="F133" s="20">
        <v>0.03</v>
      </c>
      <c r="G133" s="20">
        <v>0.03</v>
      </c>
      <c r="H133" s="17">
        <v>41548</v>
      </c>
      <c r="J133" s="34" t="s">
        <v>249</v>
      </c>
      <c r="K133" s="17">
        <v>41403</v>
      </c>
      <c r="M133" s="11"/>
    </row>
    <row r="134" spans="2:13">
      <c r="B134" s="7">
        <f t="shared" si="1"/>
        <v>130</v>
      </c>
      <c r="C134" s="21" t="s">
        <v>221</v>
      </c>
      <c r="D134" s="22"/>
      <c r="E134" s="23">
        <v>0.03</v>
      </c>
      <c r="F134" s="23">
        <v>0.03</v>
      </c>
      <c r="G134" s="23">
        <v>0.03</v>
      </c>
      <c r="H134" s="17">
        <v>41423</v>
      </c>
      <c r="J134" s="34"/>
      <c r="K134" s="17"/>
      <c r="M134" s="11"/>
    </row>
    <row r="135" spans="2:13">
      <c r="B135" s="7">
        <f t="shared" si="1"/>
        <v>131</v>
      </c>
      <c r="C135" s="21" t="s">
        <v>222</v>
      </c>
      <c r="D135" s="22"/>
      <c r="E135" s="23">
        <v>0.03</v>
      </c>
      <c r="F135" s="23">
        <v>0.03</v>
      </c>
      <c r="G135" s="23">
        <v>0.03</v>
      </c>
      <c r="H135" s="11"/>
      <c r="J135" s="12" t="s">
        <v>243</v>
      </c>
      <c r="K135" s="17">
        <v>41929</v>
      </c>
      <c r="M135" s="11"/>
    </row>
    <row r="136" spans="2:13">
      <c r="B136" s="13">
        <f t="shared" si="1"/>
        <v>132</v>
      </c>
      <c r="C136" s="18" t="s">
        <v>223</v>
      </c>
      <c r="D136" s="19" t="s">
        <v>224</v>
      </c>
      <c r="E136" s="20">
        <v>0.03</v>
      </c>
      <c r="F136" s="20">
        <v>0.03</v>
      </c>
      <c r="G136" s="20">
        <v>0.02</v>
      </c>
      <c r="H136" s="17">
        <v>41548</v>
      </c>
      <c r="J136" s="12">
        <v>2.5</v>
      </c>
      <c r="K136" s="17">
        <v>41430</v>
      </c>
      <c r="M136" s="11"/>
    </row>
    <row r="137" spans="2:13">
      <c r="B137" s="7">
        <f t="shared" ref="B137:B144" si="2">B136+1</f>
        <v>133</v>
      </c>
      <c r="C137" s="21" t="s">
        <v>225</v>
      </c>
      <c r="D137" s="22"/>
      <c r="E137" s="23">
        <v>0.03</v>
      </c>
      <c r="F137" s="23">
        <v>0.03</v>
      </c>
      <c r="G137" s="23">
        <v>0.03</v>
      </c>
      <c r="H137" s="11"/>
      <c r="J137" s="12"/>
      <c r="K137" s="11"/>
      <c r="M137" s="11"/>
    </row>
    <row r="138" spans="2:13">
      <c r="B138" s="7">
        <f t="shared" si="2"/>
        <v>134</v>
      </c>
      <c r="C138" s="21" t="s">
        <v>226</v>
      </c>
      <c r="D138" s="22"/>
      <c r="E138" s="23">
        <v>0.05</v>
      </c>
      <c r="F138" s="23">
        <v>0.05</v>
      </c>
      <c r="G138" s="23">
        <v>0.05</v>
      </c>
      <c r="H138" s="11"/>
      <c r="J138" s="12"/>
      <c r="K138" s="11"/>
      <c r="M138" s="11"/>
    </row>
    <row r="139" spans="2:13">
      <c r="B139" s="7">
        <f t="shared" si="2"/>
        <v>135</v>
      </c>
      <c r="C139" s="21" t="s">
        <v>227</v>
      </c>
      <c r="D139" s="22"/>
      <c r="E139" s="23">
        <v>0.02</v>
      </c>
      <c r="F139" s="23">
        <v>0.02</v>
      </c>
      <c r="G139" s="23">
        <v>0.02</v>
      </c>
      <c r="H139" s="17">
        <v>41403</v>
      </c>
      <c r="J139" s="34" t="s">
        <v>243</v>
      </c>
      <c r="K139" s="17">
        <v>41403</v>
      </c>
      <c r="M139" s="11"/>
    </row>
    <row r="140" spans="2:13">
      <c r="B140" s="7">
        <f t="shared" si="2"/>
        <v>136</v>
      </c>
      <c r="C140" s="21" t="s">
        <v>228</v>
      </c>
      <c r="D140" s="22"/>
      <c r="E140" s="23">
        <v>0.05</v>
      </c>
      <c r="F140" s="23">
        <v>0.05</v>
      </c>
      <c r="G140" s="23">
        <v>0.05</v>
      </c>
      <c r="H140" s="11"/>
      <c r="J140" s="12"/>
      <c r="K140" s="11"/>
      <c r="M140" s="11"/>
    </row>
    <row r="141" spans="2:13">
      <c r="B141" s="13">
        <f t="shared" si="2"/>
        <v>137</v>
      </c>
      <c r="C141" s="18" t="s">
        <v>229</v>
      </c>
      <c r="D141" s="19">
        <v>726</v>
      </c>
      <c r="E141" s="20">
        <v>0.03</v>
      </c>
      <c r="F141" s="20">
        <v>0.03</v>
      </c>
      <c r="G141" s="20">
        <v>0.03</v>
      </c>
      <c r="H141" s="17">
        <v>41548</v>
      </c>
      <c r="J141" s="12">
        <v>2.4500000000000002</v>
      </c>
      <c r="K141" s="17">
        <v>41929</v>
      </c>
      <c r="M141" s="11"/>
    </row>
    <row r="142" spans="2:13">
      <c r="B142" s="7">
        <f t="shared" si="2"/>
        <v>138</v>
      </c>
      <c r="C142" s="21" t="s">
        <v>230</v>
      </c>
      <c r="D142" s="22"/>
      <c r="E142" s="23">
        <v>0.02</v>
      </c>
      <c r="F142" s="23">
        <v>0.02</v>
      </c>
      <c r="G142" s="23">
        <v>0.02</v>
      </c>
      <c r="H142" s="11"/>
      <c r="J142" s="12">
        <v>3.3</v>
      </c>
      <c r="K142" s="17">
        <v>41535</v>
      </c>
      <c r="M142" s="11"/>
    </row>
    <row r="143" spans="2:13">
      <c r="B143" s="7">
        <f t="shared" si="2"/>
        <v>139</v>
      </c>
      <c r="C143" s="21" t="s">
        <v>231</v>
      </c>
      <c r="D143" s="22"/>
      <c r="E143" s="23">
        <v>0.02</v>
      </c>
      <c r="F143" s="23">
        <v>0.02</v>
      </c>
      <c r="G143" s="23">
        <v>0.02</v>
      </c>
      <c r="H143" s="11"/>
      <c r="J143" s="12"/>
      <c r="K143" s="11"/>
      <c r="M143" s="11"/>
    </row>
    <row r="144" spans="2:13">
      <c r="B144" s="13">
        <f t="shared" si="2"/>
        <v>140</v>
      </c>
      <c r="C144" s="18" t="s">
        <v>232</v>
      </c>
      <c r="D144" s="19">
        <v>570</v>
      </c>
      <c r="E144" s="20">
        <v>0.03</v>
      </c>
      <c r="F144" s="20">
        <v>0.05</v>
      </c>
      <c r="G144" s="20">
        <v>0.05</v>
      </c>
      <c r="H144" s="17">
        <v>41548</v>
      </c>
      <c r="J144" s="12">
        <v>2.8</v>
      </c>
      <c r="K144" s="17">
        <v>41893</v>
      </c>
      <c r="M144" s="11" t="s">
        <v>233</v>
      </c>
    </row>
    <row r="145" spans="2:13">
      <c r="B145" s="13">
        <f>B144+1</f>
        <v>141</v>
      </c>
      <c r="C145" s="35" t="s">
        <v>234</v>
      </c>
      <c r="D145" s="36" t="s">
        <v>235</v>
      </c>
      <c r="E145" s="37">
        <v>2.5000000000000001E-2</v>
      </c>
      <c r="F145" s="37">
        <v>0.05</v>
      </c>
      <c r="G145" s="37">
        <v>0.05</v>
      </c>
      <c r="H145" s="17">
        <v>41548</v>
      </c>
      <c r="J145" s="12">
        <v>2.6</v>
      </c>
      <c r="K145" s="17">
        <v>41911</v>
      </c>
      <c r="M145" s="11" t="s">
        <v>236</v>
      </c>
    </row>
    <row r="146" spans="2:13">
      <c r="B146" s="7">
        <f>B145+1</f>
        <v>142</v>
      </c>
      <c r="C146" s="38" t="s">
        <v>237</v>
      </c>
      <c r="D146" s="39"/>
      <c r="E146" s="40">
        <v>0.04</v>
      </c>
      <c r="F146" s="40">
        <v>0.04</v>
      </c>
      <c r="G146" s="40">
        <v>0.04</v>
      </c>
      <c r="H146" s="11"/>
      <c r="J146" s="12"/>
      <c r="K146" s="11"/>
      <c r="M146" s="11"/>
    </row>
    <row r="147" spans="2:13">
      <c r="B147" s="7">
        <f>B146+1</f>
        <v>143</v>
      </c>
      <c r="C147" s="38" t="s">
        <v>254</v>
      </c>
      <c r="D147" s="39"/>
      <c r="E147" s="40">
        <v>0.05</v>
      </c>
      <c r="F147" s="40">
        <v>0.05</v>
      </c>
      <c r="G147" s="40">
        <v>0.05</v>
      </c>
      <c r="H147" s="17">
        <v>41933</v>
      </c>
      <c r="J147" s="49" t="s">
        <v>243</v>
      </c>
      <c r="K147" s="51">
        <v>41933</v>
      </c>
      <c r="M147" s="50"/>
    </row>
    <row r="148" spans="2:13">
      <c r="B148" s="13">
        <f>B147+1</f>
        <v>144</v>
      </c>
      <c r="C148" s="41" t="s">
        <v>238</v>
      </c>
      <c r="D148" s="42" t="s">
        <v>239</v>
      </c>
      <c r="E148" s="43">
        <v>0.03</v>
      </c>
      <c r="F148" s="43">
        <v>0.05</v>
      </c>
      <c r="G148" s="43">
        <v>0.05</v>
      </c>
      <c r="H148" s="17">
        <v>41548</v>
      </c>
      <c r="J148" s="44"/>
      <c r="K148" s="45"/>
      <c r="M148" s="45"/>
    </row>
    <row r="151" spans="2:13">
      <c r="D151" s="46"/>
      <c r="E151" s="47"/>
      <c r="F151" s="47"/>
      <c r="G151" s="47"/>
    </row>
    <row r="152" spans="2:13">
      <c r="D152" s="46"/>
      <c r="E152" s="47"/>
      <c r="F152" s="47"/>
      <c r="G152" s="47"/>
    </row>
    <row r="153" spans="2:13">
      <c r="D153" s="46"/>
      <c r="E153" s="47"/>
      <c r="F153" s="47"/>
      <c r="G153" s="47"/>
    </row>
    <row r="154" spans="2:13">
      <c r="D154" s="46"/>
      <c r="E154" s="47"/>
      <c r="F154" s="47"/>
      <c r="G154" s="47"/>
    </row>
    <row r="155" spans="2:13">
      <c r="D155" s="46"/>
      <c r="E155" s="47"/>
      <c r="F155" s="47"/>
      <c r="G155" s="47"/>
    </row>
    <row r="156" spans="2:13">
      <c r="D156" s="46"/>
      <c r="E156" s="47"/>
      <c r="F156" s="47"/>
      <c r="G156" s="47"/>
    </row>
    <row r="157" spans="2:13">
      <c r="D157" s="46"/>
      <c r="E157" s="47"/>
      <c r="F157" s="47"/>
      <c r="G157" s="47"/>
    </row>
    <row r="158" spans="2:13">
      <c r="D158" s="46"/>
      <c r="E158" s="47"/>
      <c r="F158" s="47"/>
      <c r="G158" s="47"/>
    </row>
    <row r="159" spans="2:13">
      <c r="D159" s="47"/>
      <c r="E159" s="47"/>
      <c r="F159" s="47"/>
      <c r="G159" s="47"/>
    </row>
    <row r="160" spans="2:13">
      <c r="D160" s="47"/>
      <c r="E160" s="47"/>
      <c r="F160" s="47"/>
      <c r="G160" s="47"/>
    </row>
    <row r="161" spans="4:7">
      <c r="D161" s="47"/>
      <c r="E161" s="47"/>
      <c r="F161" s="47"/>
      <c r="G161" s="47"/>
    </row>
    <row r="162" spans="4:7">
      <c r="D162" s="47"/>
      <c r="E162" s="47"/>
      <c r="F162" s="47"/>
      <c r="G162" s="47"/>
    </row>
    <row r="163" spans="4:7">
      <c r="D163" s="47"/>
      <c r="E163" s="47"/>
      <c r="F163" s="47"/>
      <c r="G163" s="47"/>
    </row>
    <row r="164" spans="4:7">
      <c r="D164" s="47"/>
      <c r="E164" s="47"/>
      <c r="F164" s="47"/>
      <c r="G164" s="47"/>
    </row>
    <row r="165" spans="4:7">
      <c r="D165" s="47"/>
      <c r="E165" s="47"/>
      <c r="F165" s="47"/>
      <c r="G165" s="47"/>
    </row>
    <row r="166" spans="4:7">
      <c r="D166" s="47"/>
      <c r="E166" s="47"/>
      <c r="F166" s="47"/>
      <c r="G166" s="47"/>
    </row>
    <row r="167" spans="4:7">
      <c r="D167" s="47"/>
      <c r="E167" s="47"/>
      <c r="F167" s="47"/>
      <c r="G167" s="47"/>
    </row>
    <row r="168" spans="4:7">
      <c r="D168" s="47"/>
      <c r="E168" s="47"/>
      <c r="F168" s="47"/>
      <c r="G168" s="47"/>
    </row>
    <row r="169" spans="4:7">
      <c r="D169" s="47"/>
      <c r="E169" s="47"/>
      <c r="F169" s="47"/>
      <c r="G169" s="47"/>
    </row>
    <row r="170" spans="4:7">
      <c r="D170" s="47"/>
      <c r="E170" s="47"/>
      <c r="F170" s="47"/>
      <c r="G170" s="47"/>
    </row>
    <row r="171" spans="4:7">
      <c r="D171" s="47"/>
      <c r="E171" s="47"/>
      <c r="F171" s="47"/>
      <c r="G171" s="47"/>
    </row>
    <row r="172" spans="4:7">
      <c r="D172" s="47"/>
      <c r="E172" s="47"/>
      <c r="F172" s="47"/>
      <c r="G172" s="47"/>
    </row>
    <row r="173" spans="4:7">
      <c r="D173" s="47"/>
      <c r="E173" s="47"/>
      <c r="F173" s="47"/>
      <c r="G173" s="47"/>
    </row>
    <row r="174" spans="4:7">
      <c r="D174" s="47"/>
      <c r="E174" s="47"/>
      <c r="F174" s="47"/>
      <c r="G174" s="47"/>
    </row>
    <row r="175" spans="4:7">
      <c r="D175" s="47"/>
      <c r="E175" s="47"/>
      <c r="F175" s="47"/>
      <c r="G175" s="47"/>
    </row>
    <row r="176" spans="4:7">
      <c r="D176" s="47"/>
      <c r="E176" s="47"/>
      <c r="F176" s="47"/>
      <c r="G176" s="47"/>
    </row>
    <row r="177" spans="4:7">
      <c r="D177" s="47"/>
      <c r="E177" s="47"/>
      <c r="F177" s="47"/>
      <c r="G177" s="47"/>
    </row>
    <row r="178" spans="4:7">
      <c r="D178" s="47"/>
      <c r="E178" s="47"/>
      <c r="F178" s="47"/>
      <c r="G178" s="47"/>
    </row>
    <row r="179" spans="4:7">
      <c r="D179" s="47"/>
      <c r="E179" s="47"/>
      <c r="F179" s="47"/>
      <c r="G179" s="47"/>
    </row>
    <row r="180" spans="4:7">
      <c r="D180" s="47"/>
      <c r="E180" s="47"/>
      <c r="F180" s="47"/>
      <c r="G180" s="47"/>
    </row>
    <row r="181" spans="4:7">
      <c r="D181" s="47"/>
      <c r="E181" s="47"/>
      <c r="F181" s="47"/>
      <c r="G181" s="47"/>
    </row>
    <row r="182" spans="4:7">
      <c r="D182" s="47"/>
      <c r="E182" s="47"/>
      <c r="F182" s="47"/>
      <c r="G182" s="47"/>
    </row>
    <row r="183" spans="4:7">
      <c r="D183" s="47"/>
      <c r="E183" s="47"/>
      <c r="F183" s="47"/>
      <c r="G183" s="47"/>
    </row>
    <row r="184" spans="4:7">
      <c r="D184" s="47"/>
      <c r="E184" s="47"/>
      <c r="F184" s="47"/>
      <c r="G184" s="47"/>
    </row>
    <row r="185" spans="4:7">
      <c r="D185" s="47"/>
      <c r="E185" s="47"/>
      <c r="F185" s="47"/>
      <c r="G185" s="47"/>
    </row>
    <row r="186" spans="4:7">
      <c r="D186" s="47"/>
      <c r="E186" s="47"/>
      <c r="F186" s="47"/>
      <c r="G186" s="47"/>
    </row>
    <row r="187" spans="4:7">
      <c r="D187" s="47"/>
      <c r="E187" s="47"/>
      <c r="F187" s="47"/>
      <c r="G187" s="47"/>
    </row>
    <row r="188" spans="4:7">
      <c r="D188" s="47"/>
      <c r="E188" s="47"/>
      <c r="F188" s="47"/>
      <c r="G188" s="47"/>
    </row>
    <row r="189" spans="4:7">
      <c r="D189" s="47"/>
      <c r="E189" s="47"/>
      <c r="F189" s="47"/>
      <c r="G189" s="47"/>
    </row>
    <row r="190" spans="4:7">
      <c r="D190" s="47"/>
      <c r="E190" s="47"/>
      <c r="F190" s="47"/>
      <c r="G190" s="47"/>
    </row>
    <row r="191" spans="4:7">
      <c r="D191" s="47"/>
      <c r="E191" s="47"/>
      <c r="F191" s="47"/>
      <c r="G191" s="47"/>
    </row>
    <row r="192" spans="4:7">
      <c r="D192" s="47"/>
      <c r="E192" s="47"/>
      <c r="F192" s="47"/>
      <c r="G192" s="47"/>
    </row>
  </sheetData>
  <autoFilter ref="B4:M149"/>
  <mergeCells count="1">
    <mergeCell ref="B2:G2"/>
  </mergeCells>
  <hyperlinks>
    <hyperlink ref="M88" r:id="rId1"/>
  </hyperlinks>
  <pageMargins left="0.78740157480314965" right="0.78740157480314965" top="0.98425196850393704" bottom="0.98425196850393704" header="0.51181102362204722" footer="0.51181102362204722"/>
  <pageSetup scale="22" orientation="landscape" r:id="rId2"/>
  <headerFooter alignWithMargins="0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154"/>
  <sheetViews>
    <sheetView showGridLines="0" view="pageBreakPreview" topLeftCell="A25" zoomScale="90" zoomScaleSheetLayoutView="90" workbookViewId="0">
      <selection activeCell="D48" sqref="D48"/>
    </sheetView>
  </sheetViews>
  <sheetFormatPr defaultRowHeight="15.75"/>
  <cols>
    <col min="1" max="1" width="9.28515625" style="53" customWidth="1"/>
    <col min="2" max="2" width="39.85546875" style="53" customWidth="1"/>
    <col min="3" max="3" width="18.28515625" style="53" customWidth="1"/>
    <col min="4" max="4" width="23.85546875" style="53" customWidth="1"/>
    <col min="5" max="5" width="16" style="53" bestFit="1" customWidth="1"/>
    <col min="6" max="6" width="13.7109375" style="53" bestFit="1" customWidth="1"/>
    <col min="7" max="7" width="15.7109375" style="53" bestFit="1" customWidth="1"/>
    <col min="8" max="8" width="13.140625" style="53" bestFit="1" customWidth="1"/>
    <col min="9" max="9" width="11.85546875" style="53" bestFit="1" customWidth="1"/>
    <col min="10" max="10" width="12.85546875" style="53" bestFit="1" customWidth="1"/>
    <col min="11" max="256" width="9.140625" style="53"/>
    <col min="257" max="257" width="9.28515625" style="53" customWidth="1"/>
    <col min="258" max="258" width="39.85546875" style="53" customWidth="1"/>
    <col min="259" max="259" width="18.28515625" style="53" customWidth="1"/>
    <col min="260" max="260" width="23.85546875" style="53" customWidth="1"/>
    <col min="261" max="261" width="16" style="53" bestFit="1" customWidth="1"/>
    <col min="262" max="262" width="13.7109375" style="53" bestFit="1" customWidth="1"/>
    <col min="263" max="263" width="15.7109375" style="53" bestFit="1" customWidth="1"/>
    <col min="264" max="264" width="13.140625" style="53" bestFit="1" customWidth="1"/>
    <col min="265" max="265" width="11.85546875" style="53" bestFit="1" customWidth="1"/>
    <col min="266" max="266" width="12.85546875" style="53" bestFit="1" customWidth="1"/>
    <col min="267" max="512" width="9.140625" style="53"/>
    <col min="513" max="513" width="9.28515625" style="53" customWidth="1"/>
    <col min="514" max="514" width="39.85546875" style="53" customWidth="1"/>
    <col min="515" max="515" width="18.28515625" style="53" customWidth="1"/>
    <col min="516" max="516" width="23.85546875" style="53" customWidth="1"/>
    <col min="517" max="517" width="16" style="53" bestFit="1" customWidth="1"/>
    <col min="518" max="518" width="13.7109375" style="53" bestFit="1" customWidth="1"/>
    <col min="519" max="519" width="15.7109375" style="53" bestFit="1" customWidth="1"/>
    <col min="520" max="520" width="13.140625" style="53" bestFit="1" customWidth="1"/>
    <col min="521" max="521" width="11.85546875" style="53" bestFit="1" customWidth="1"/>
    <col min="522" max="522" width="12.85546875" style="53" bestFit="1" customWidth="1"/>
    <col min="523" max="768" width="9.140625" style="53"/>
    <col min="769" max="769" width="9.28515625" style="53" customWidth="1"/>
    <col min="770" max="770" width="39.85546875" style="53" customWidth="1"/>
    <col min="771" max="771" width="18.28515625" style="53" customWidth="1"/>
    <col min="772" max="772" width="23.85546875" style="53" customWidth="1"/>
    <col min="773" max="773" width="16" style="53" bestFit="1" customWidth="1"/>
    <col min="774" max="774" width="13.7109375" style="53" bestFit="1" customWidth="1"/>
    <col min="775" max="775" width="15.7109375" style="53" bestFit="1" customWidth="1"/>
    <col min="776" max="776" width="13.140625" style="53" bestFit="1" customWidth="1"/>
    <col min="777" max="777" width="11.85546875" style="53" bestFit="1" customWidth="1"/>
    <col min="778" max="778" width="12.85546875" style="53" bestFit="1" customWidth="1"/>
    <col min="779" max="1024" width="9.140625" style="53"/>
    <col min="1025" max="1025" width="9.28515625" style="53" customWidth="1"/>
    <col min="1026" max="1026" width="39.85546875" style="53" customWidth="1"/>
    <col min="1027" max="1027" width="18.28515625" style="53" customWidth="1"/>
    <col min="1028" max="1028" width="23.85546875" style="53" customWidth="1"/>
    <col min="1029" max="1029" width="16" style="53" bestFit="1" customWidth="1"/>
    <col min="1030" max="1030" width="13.7109375" style="53" bestFit="1" customWidth="1"/>
    <col min="1031" max="1031" width="15.7109375" style="53" bestFit="1" customWidth="1"/>
    <col min="1032" max="1032" width="13.140625" style="53" bestFit="1" customWidth="1"/>
    <col min="1033" max="1033" width="11.85546875" style="53" bestFit="1" customWidth="1"/>
    <col min="1034" max="1034" width="12.85546875" style="53" bestFit="1" customWidth="1"/>
    <col min="1035" max="1280" width="9.140625" style="53"/>
    <col min="1281" max="1281" width="9.28515625" style="53" customWidth="1"/>
    <col min="1282" max="1282" width="39.85546875" style="53" customWidth="1"/>
    <col min="1283" max="1283" width="18.28515625" style="53" customWidth="1"/>
    <col min="1284" max="1284" width="23.85546875" style="53" customWidth="1"/>
    <col min="1285" max="1285" width="16" style="53" bestFit="1" customWidth="1"/>
    <col min="1286" max="1286" width="13.7109375" style="53" bestFit="1" customWidth="1"/>
    <col min="1287" max="1287" width="15.7109375" style="53" bestFit="1" customWidth="1"/>
    <col min="1288" max="1288" width="13.140625" style="53" bestFit="1" customWidth="1"/>
    <col min="1289" max="1289" width="11.85546875" style="53" bestFit="1" customWidth="1"/>
    <col min="1290" max="1290" width="12.85546875" style="53" bestFit="1" customWidth="1"/>
    <col min="1291" max="1536" width="9.140625" style="53"/>
    <col min="1537" max="1537" width="9.28515625" style="53" customWidth="1"/>
    <col min="1538" max="1538" width="39.85546875" style="53" customWidth="1"/>
    <col min="1539" max="1539" width="18.28515625" style="53" customWidth="1"/>
    <col min="1540" max="1540" width="23.85546875" style="53" customWidth="1"/>
    <col min="1541" max="1541" width="16" style="53" bestFit="1" customWidth="1"/>
    <col min="1542" max="1542" width="13.7109375" style="53" bestFit="1" customWidth="1"/>
    <col min="1543" max="1543" width="15.7109375" style="53" bestFit="1" customWidth="1"/>
    <col min="1544" max="1544" width="13.140625" style="53" bestFit="1" customWidth="1"/>
    <col min="1545" max="1545" width="11.85546875" style="53" bestFit="1" customWidth="1"/>
    <col min="1546" max="1546" width="12.85546875" style="53" bestFit="1" customWidth="1"/>
    <col min="1547" max="1792" width="9.140625" style="53"/>
    <col min="1793" max="1793" width="9.28515625" style="53" customWidth="1"/>
    <col min="1794" max="1794" width="39.85546875" style="53" customWidth="1"/>
    <col min="1795" max="1795" width="18.28515625" style="53" customWidth="1"/>
    <col min="1796" max="1796" width="23.85546875" style="53" customWidth="1"/>
    <col min="1797" max="1797" width="16" style="53" bestFit="1" customWidth="1"/>
    <col min="1798" max="1798" width="13.7109375" style="53" bestFit="1" customWidth="1"/>
    <col min="1799" max="1799" width="15.7109375" style="53" bestFit="1" customWidth="1"/>
    <col min="1800" max="1800" width="13.140625" style="53" bestFit="1" customWidth="1"/>
    <col min="1801" max="1801" width="11.85546875" style="53" bestFit="1" customWidth="1"/>
    <col min="1802" max="1802" width="12.85546875" style="53" bestFit="1" customWidth="1"/>
    <col min="1803" max="2048" width="9.140625" style="53"/>
    <col min="2049" max="2049" width="9.28515625" style="53" customWidth="1"/>
    <col min="2050" max="2050" width="39.85546875" style="53" customWidth="1"/>
    <col min="2051" max="2051" width="18.28515625" style="53" customWidth="1"/>
    <col min="2052" max="2052" width="23.85546875" style="53" customWidth="1"/>
    <col min="2053" max="2053" width="16" style="53" bestFit="1" customWidth="1"/>
    <col min="2054" max="2054" width="13.7109375" style="53" bestFit="1" customWidth="1"/>
    <col min="2055" max="2055" width="15.7109375" style="53" bestFit="1" customWidth="1"/>
    <col min="2056" max="2056" width="13.140625" style="53" bestFit="1" customWidth="1"/>
    <col min="2057" max="2057" width="11.85546875" style="53" bestFit="1" customWidth="1"/>
    <col min="2058" max="2058" width="12.85546875" style="53" bestFit="1" customWidth="1"/>
    <col min="2059" max="2304" width="9.140625" style="53"/>
    <col min="2305" max="2305" width="9.28515625" style="53" customWidth="1"/>
    <col min="2306" max="2306" width="39.85546875" style="53" customWidth="1"/>
    <col min="2307" max="2307" width="18.28515625" style="53" customWidth="1"/>
    <col min="2308" max="2308" width="23.85546875" style="53" customWidth="1"/>
    <col min="2309" max="2309" width="16" style="53" bestFit="1" customWidth="1"/>
    <col min="2310" max="2310" width="13.7109375" style="53" bestFit="1" customWidth="1"/>
    <col min="2311" max="2311" width="15.7109375" style="53" bestFit="1" customWidth="1"/>
    <col min="2312" max="2312" width="13.140625" style="53" bestFit="1" customWidth="1"/>
    <col min="2313" max="2313" width="11.85546875" style="53" bestFit="1" customWidth="1"/>
    <col min="2314" max="2314" width="12.85546875" style="53" bestFit="1" customWidth="1"/>
    <col min="2315" max="2560" width="9.140625" style="53"/>
    <col min="2561" max="2561" width="9.28515625" style="53" customWidth="1"/>
    <col min="2562" max="2562" width="39.85546875" style="53" customWidth="1"/>
    <col min="2563" max="2563" width="18.28515625" style="53" customWidth="1"/>
    <col min="2564" max="2564" width="23.85546875" style="53" customWidth="1"/>
    <col min="2565" max="2565" width="16" style="53" bestFit="1" customWidth="1"/>
    <col min="2566" max="2566" width="13.7109375" style="53" bestFit="1" customWidth="1"/>
    <col min="2567" max="2567" width="15.7109375" style="53" bestFit="1" customWidth="1"/>
    <col min="2568" max="2568" width="13.140625" style="53" bestFit="1" customWidth="1"/>
    <col min="2569" max="2569" width="11.85546875" style="53" bestFit="1" customWidth="1"/>
    <col min="2570" max="2570" width="12.85546875" style="53" bestFit="1" customWidth="1"/>
    <col min="2571" max="2816" width="9.140625" style="53"/>
    <col min="2817" max="2817" width="9.28515625" style="53" customWidth="1"/>
    <col min="2818" max="2818" width="39.85546875" style="53" customWidth="1"/>
    <col min="2819" max="2819" width="18.28515625" style="53" customWidth="1"/>
    <col min="2820" max="2820" width="23.85546875" style="53" customWidth="1"/>
    <col min="2821" max="2821" width="16" style="53" bestFit="1" customWidth="1"/>
    <col min="2822" max="2822" width="13.7109375" style="53" bestFit="1" customWidth="1"/>
    <col min="2823" max="2823" width="15.7109375" style="53" bestFit="1" customWidth="1"/>
    <col min="2824" max="2824" width="13.140625" style="53" bestFit="1" customWidth="1"/>
    <col min="2825" max="2825" width="11.85546875" style="53" bestFit="1" customWidth="1"/>
    <col min="2826" max="2826" width="12.85546875" style="53" bestFit="1" customWidth="1"/>
    <col min="2827" max="3072" width="9.140625" style="53"/>
    <col min="3073" max="3073" width="9.28515625" style="53" customWidth="1"/>
    <col min="3074" max="3074" width="39.85546875" style="53" customWidth="1"/>
    <col min="3075" max="3075" width="18.28515625" style="53" customWidth="1"/>
    <col min="3076" max="3076" width="23.85546875" style="53" customWidth="1"/>
    <col min="3077" max="3077" width="16" style="53" bestFit="1" customWidth="1"/>
    <col min="3078" max="3078" width="13.7109375" style="53" bestFit="1" customWidth="1"/>
    <col min="3079" max="3079" width="15.7109375" style="53" bestFit="1" customWidth="1"/>
    <col min="3080" max="3080" width="13.140625" style="53" bestFit="1" customWidth="1"/>
    <col min="3081" max="3081" width="11.85546875" style="53" bestFit="1" customWidth="1"/>
    <col min="3082" max="3082" width="12.85546875" style="53" bestFit="1" customWidth="1"/>
    <col min="3083" max="3328" width="9.140625" style="53"/>
    <col min="3329" max="3329" width="9.28515625" style="53" customWidth="1"/>
    <col min="3330" max="3330" width="39.85546875" style="53" customWidth="1"/>
    <col min="3331" max="3331" width="18.28515625" style="53" customWidth="1"/>
    <col min="3332" max="3332" width="23.85546875" style="53" customWidth="1"/>
    <col min="3333" max="3333" width="16" style="53" bestFit="1" customWidth="1"/>
    <col min="3334" max="3334" width="13.7109375" style="53" bestFit="1" customWidth="1"/>
    <col min="3335" max="3335" width="15.7109375" style="53" bestFit="1" customWidth="1"/>
    <col min="3336" max="3336" width="13.140625" style="53" bestFit="1" customWidth="1"/>
    <col min="3337" max="3337" width="11.85546875" style="53" bestFit="1" customWidth="1"/>
    <col min="3338" max="3338" width="12.85546875" style="53" bestFit="1" customWidth="1"/>
    <col min="3339" max="3584" width="9.140625" style="53"/>
    <col min="3585" max="3585" width="9.28515625" style="53" customWidth="1"/>
    <col min="3586" max="3586" width="39.85546875" style="53" customWidth="1"/>
    <col min="3587" max="3587" width="18.28515625" style="53" customWidth="1"/>
    <col min="3588" max="3588" width="23.85546875" style="53" customWidth="1"/>
    <col min="3589" max="3589" width="16" style="53" bestFit="1" customWidth="1"/>
    <col min="3590" max="3590" width="13.7109375" style="53" bestFit="1" customWidth="1"/>
    <col min="3591" max="3591" width="15.7109375" style="53" bestFit="1" customWidth="1"/>
    <col min="3592" max="3592" width="13.140625" style="53" bestFit="1" customWidth="1"/>
    <col min="3593" max="3593" width="11.85546875" style="53" bestFit="1" customWidth="1"/>
    <col min="3594" max="3594" width="12.85546875" style="53" bestFit="1" customWidth="1"/>
    <col min="3595" max="3840" width="9.140625" style="53"/>
    <col min="3841" max="3841" width="9.28515625" style="53" customWidth="1"/>
    <col min="3842" max="3842" width="39.85546875" style="53" customWidth="1"/>
    <col min="3843" max="3843" width="18.28515625" style="53" customWidth="1"/>
    <col min="3844" max="3844" width="23.85546875" style="53" customWidth="1"/>
    <col min="3845" max="3845" width="16" style="53" bestFit="1" customWidth="1"/>
    <col min="3846" max="3846" width="13.7109375" style="53" bestFit="1" customWidth="1"/>
    <col min="3847" max="3847" width="15.7109375" style="53" bestFit="1" customWidth="1"/>
    <col min="3848" max="3848" width="13.140625" style="53" bestFit="1" customWidth="1"/>
    <col min="3849" max="3849" width="11.85546875" style="53" bestFit="1" customWidth="1"/>
    <col min="3850" max="3850" width="12.85546875" style="53" bestFit="1" customWidth="1"/>
    <col min="3851" max="4096" width="9.140625" style="53"/>
    <col min="4097" max="4097" width="9.28515625" style="53" customWidth="1"/>
    <col min="4098" max="4098" width="39.85546875" style="53" customWidth="1"/>
    <col min="4099" max="4099" width="18.28515625" style="53" customWidth="1"/>
    <col min="4100" max="4100" width="23.85546875" style="53" customWidth="1"/>
    <col min="4101" max="4101" width="16" style="53" bestFit="1" customWidth="1"/>
    <col min="4102" max="4102" width="13.7109375" style="53" bestFit="1" customWidth="1"/>
    <col min="4103" max="4103" width="15.7109375" style="53" bestFit="1" customWidth="1"/>
    <col min="4104" max="4104" width="13.140625" style="53" bestFit="1" customWidth="1"/>
    <col min="4105" max="4105" width="11.85546875" style="53" bestFit="1" customWidth="1"/>
    <col min="4106" max="4106" width="12.85546875" style="53" bestFit="1" customWidth="1"/>
    <col min="4107" max="4352" width="9.140625" style="53"/>
    <col min="4353" max="4353" width="9.28515625" style="53" customWidth="1"/>
    <col min="4354" max="4354" width="39.85546875" style="53" customWidth="1"/>
    <col min="4355" max="4355" width="18.28515625" style="53" customWidth="1"/>
    <col min="4356" max="4356" width="23.85546875" style="53" customWidth="1"/>
    <col min="4357" max="4357" width="16" style="53" bestFit="1" customWidth="1"/>
    <col min="4358" max="4358" width="13.7109375" style="53" bestFit="1" customWidth="1"/>
    <col min="4359" max="4359" width="15.7109375" style="53" bestFit="1" customWidth="1"/>
    <col min="4360" max="4360" width="13.140625" style="53" bestFit="1" customWidth="1"/>
    <col min="4361" max="4361" width="11.85546875" style="53" bestFit="1" customWidth="1"/>
    <col min="4362" max="4362" width="12.85546875" style="53" bestFit="1" customWidth="1"/>
    <col min="4363" max="4608" width="9.140625" style="53"/>
    <col min="4609" max="4609" width="9.28515625" style="53" customWidth="1"/>
    <col min="4610" max="4610" width="39.85546875" style="53" customWidth="1"/>
    <col min="4611" max="4611" width="18.28515625" style="53" customWidth="1"/>
    <col min="4612" max="4612" width="23.85546875" style="53" customWidth="1"/>
    <col min="4613" max="4613" width="16" style="53" bestFit="1" customWidth="1"/>
    <col min="4614" max="4614" width="13.7109375" style="53" bestFit="1" customWidth="1"/>
    <col min="4615" max="4615" width="15.7109375" style="53" bestFit="1" customWidth="1"/>
    <col min="4616" max="4616" width="13.140625" style="53" bestFit="1" customWidth="1"/>
    <col min="4617" max="4617" width="11.85546875" style="53" bestFit="1" customWidth="1"/>
    <col min="4618" max="4618" width="12.85546875" style="53" bestFit="1" customWidth="1"/>
    <col min="4619" max="4864" width="9.140625" style="53"/>
    <col min="4865" max="4865" width="9.28515625" style="53" customWidth="1"/>
    <col min="4866" max="4866" width="39.85546875" style="53" customWidth="1"/>
    <col min="4867" max="4867" width="18.28515625" style="53" customWidth="1"/>
    <col min="4868" max="4868" width="23.85546875" style="53" customWidth="1"/>
    <col min="4869" max="4869" width="16" style="53" bestFit="1" customWidth="1"/>
    <col min="4870" max="4870" width="13.7109375" style="53" bestFit="1" customWidth="1"/>
    <col min="4871" max="4871" width="15.7109375" style="53" bestFit="1" customWidth="1"/>
    <col min="4872" max="4872" width="13.140625" style="53" bestFit="1" customWidth="1"/>
    <col min="4873" max="4873" width="11.85546875" style="53" bestFit="1" customWidth="1"/>
    <col min="4874" max="4874" width="12.85546875" style="53" bestFit="1" customWidth="1"/>
    <col min="4875" max="5120" width="9.140625" style="53"/>
    <col min="5121" max="5121" width="9.28515625" style="53" customWidth="1"/>
    <col min="5122" max="5122" width="39.85546875" style="53" customWidth="1"/>
    <col min="5123" max="5123" width="18.28515625" style="53" customWidth="1"/>
    <col min="5124" max="5124" width="23.85546875" style="53" customWidth="1"/>
    <col min="5125" max="5125" width="16" style="53" bestFit="1" customWidth="1"/>
    <col min="5126" max="5126" width="13.7109375" style="53" bestFit="1" customWidth="1"/>
    <col min="5127" max="5127" width="15.7109375" style="53" bestFit="1" customWidth="1"/>
    <col min="5128" max="5128" width="13.140625" style="53" bestFit="1" customWidth="1"/>
    <col min="5129" max="5129" width="11.85546875" style="53" bestFit="1" customWidth="1"/>
    <col min="5130" max="5130" width="12.85546875" style="53" bestFit="1" customWidth="1"/>
    <col min="5131" max="5376" width="9.140625" style="53"/>
    <col min="5377" max="5377" width="9.28515625" style="53" customWidth="1"/>
    <col min="5378" max="5378" width="39.85546875" style="53" customWidth="1"/>
    <col min="5379" max="5379" width="18.28515625" style="53" customWidth="1"/>
    <col min="5380" max="5380" width="23.85546875" style="53" customWidth="1"/>
    <col min="5381" max="5381" width="16" style="53" bestFit="1" customWidth="1"/>
    <col min="5382" max="5382" width="13.7109375" style="53" bestFit="1" customWidth="1"/>
    <col min="5383" max="5383" width="15.7109375" style="53" bestFit="1" customWidth="1"/>
    <col min="5384" max="5384" width="13.140625" style="53" bestFit="1" customWidth="1"/>
    <col min="5385" max="5385" width="11.85546875" style="53" bestFit="1" customWidth="1"/>
    <col min="5386" max="5386" width="12.85546875" style="53" bestFit="1" customWidth="1"/>
    <col min="5387" max="5632" width="9.140625" style="53"/>
    <col min="5633" max="5633" width="9.28515625" style="53" customWidth="1"/>
    <col min="5634" max="5634" width="39.85546875" style="53" customWidth="1"/>
    <col min="5635" max="5635" width="18.28515625" style="53" customWidth="1"/>
    <col min="5636" max="5636" width="23.85546875" style="53" customWidth="1"/>
    <col min="5637" max="5637" width="16" style="53" bestFit="1" customWidth="1"/>
    <col min="5638" max="5638" width="13.7109375" style="53" bestFit="1" customWidth="1"/>
    <col min="5639" max="5639" width="15.7109375" style="53" bestFit="1" customWidth="1"/>
    <col min="5640" max="5640" width="13.140625" style="53" bestFit="1" customWidth="1"/>
    <col min="5641" max="5641" width="11.85546875" style="53" bestFit="1" customWidth="1"/>
    <col min="5642" max="5642" width="12.85546875" style="53" bestFit="1" customWidth="1"/>
    <col min="5643" max="5888" width="9.140625" style="53"/>
    <col min="5889" max="5889" width="9.28515625" style="53" customWidth="1"/>
    <col min="5890" max="5890" width="39.85546875" style="53" customWidth="1"/>
    <col min="5891" max="5891" width="18.28515625" style="53" customWidth="1"/>
    <col min="5892" max="5892" width="23.85546875" style="53" customWidth="1"/>
    <col min="5893" max="5893" width="16" style="53" bestFit="1" customWidth="1"/>
    <col min="5894" max="5894" width="13.7109375" style="53" bestFit="1" customWidth="1"/>
    <col min="5895" max="5895" width="15.7109375" style="53" bestFit="1" customWidth="1"/>
    <col min="5896" max="5896" width="13.140625" style="53" bestFit="1" customWidth="1"/>
    <col min="5897" max="5897" width="11.85546875" style="53" bestFit="1" customWidth="1"/>
    <col min="5898" max="5898" width="12.85546875" style="53" bestFit="1" customWidth="1"/>
    <col min="5899" max="6144" width="9.140625" style="53"/>
    <col min="6145" max="6145" width="9.28515625" style="53" customWidth="1"/>
    <col min="6146" max="6146" width="39.85546875" style="53" customWidth="1"/>
    <col min="6147" max="6147" width="18.28515625" style="53" customWidth="1"/>
    <col min="6148" max="6148" width="23.85546875" style="53" customWidth="1"/>
    <col min="6149" max="6149" width="16" style="53" bestFit="1" customWidth="1"/>
    <col min="6150" max="6150" width="13.7109375" style="53" bestFit="1" customWidth="1"/>
    <col min="6151" max="6151" width="15.7109375" style="53" bestFit="1" customWidth="1"/>
    <col min="6152" max="6152" width="13.140625" style="53" bestFit="1" customWidth="1"/>
    <col min="6153" max="6153" width="11.85546875" style="53" bestFit="1" customWidth="1"/>
    <col min="6154" max="6154" width="12.85546875" style="53" bestFit="1" customWidth="1"/>
    <col min="6155" max="6400" width="9.140625" style="53"/>
    <col min="6401" max="6401" width="9.28515625" style="53" customWidth="1"/>
    <col min="6402" max="6402" width="39.85546875" style="53" customWidth="1"/>
    <col min="6403" max="6403" width="18.28515625" style="53" customWidth="1"/>
    <col min="6404" max="6404" width="23.85546875" style="53" customWidth="1"/>
    <col min="6405" max="6405" width="16" style="53" bestFit="1" customWidth="1"/>
    <col min="6406" max="6406" width="13.7109375" style="53" bestFit="1" customWidth="1"/>
    <col min="6407" max="6407" width="15.7109375" style="53" bestFit="1" customWidth="1"/>
    <col min="6408" max="6408" width="13.140625" style="53" bestFit="1" customWidth="1"/>
    <col min="6409" max="6409" width="11.85546875" style="53" bestFit="1" customWidth="1"/>
    <col min="6410" max="6410" width="12.85546875" style="53" bestFit="1" customWidth="1"/>
    <col min="6411" max="6656" width="9.140625" style="53"/>
    <col min="6657" max="6657" width="9.28515625" style="53" customWidth="1"/>
    <col min="6658" max="6658" width="39.85546875" style="53" customWidth="1"/>
    <col min="6659" max="6659" width="18.28515625" style="53" customWidth="1"/>
    <col min="6660" max="6660" width="23.85546875" style="53" customWidth="1"/>
    <col min="6661" max="6661" width="16" style="53" bestFit="1" customWidth="1"/>
    <col min="6662" max="6662" width="13.7109375" style="53" bestFit="1" customWidth="1"/>
    <col min="6663" max="6663" width="15.7109375" style="53" bestFit="1" customWidth="1"/>
    <col min="6664" max="6664" width="13.140625" style="53" bestFit="1" customWidth="1"/>
    <col min="6665" max="6665" width="11.85546875" style="53" bestFit="1" customWidth="1"/>
    <col min="6666" max="6666" width="12.85546875" style="53" bestFit="1" customWidth="1"/>
    <col min="6667" max="6912" width="9.140625" style="53"/>
    <col min="6913" max="6913" width="9.28515625" style="53" customWidth="1"/>
    <col min="6914" max="6914" width="39.85546875" style="53" customWidth="1"/>
    <col min="6915" max="6915" width="18.28515625" style="53" customWidth="1"/>
    <col min="6916" max="6916" width="23.85546875" style="53" customWidth="1"/>
    <col min="6917" max="6917" width="16" style="53" bestFit="1" customWidth="1"/>
    <col min="6918" max="6918" width="13.7109375" style="53" bestFit="1" customWidth="1"/>
    <col min="6919" max="6919" width="15.7109375" style="53" bestFit="1" customWidth="1"/>
    <col min="6920" max="6920" width="13.140625" style="53" bestFit="1" customWidth="1"/>
    <col min="6921" max="6921" width="11.85546875" style="53" bestFit="1" customWidth="1"/>
    <col min="6922" max="6922" width="12.85546875" style="53" bestFit="1" customWidth="1"/>
    <col min="6923" max="7168" width="9.140625" style="53"/>
    <col min="7169" max="7169" width="9.28515625" style="53" customWidth="1"/>
    <col min="7170" max="7170" width="39.85546875" style="53" customWidth="1"/>
    <col min="7171" max="7171" width="18.28515625" style="53" customWidth="1"/>
    <col min="7172" max="7172" width="23.85546875" style="53" customWidth="1"/>
    <col min="7173" max="7173" width="16" style="53" bestFit="1" customWidth="1"/>
    <col min="7174" max="7174" width="13.7109375" style="53" bestFit="1" customWidth="1"/>
    <col min="7175" max="7175" width="15.7109375" style="53" bestFit="1" customWidth="1"/>
    <col min="7176" max="7176" width="13.140625" style="53" bestFit="1" customWidth="1"/>
    <col min="7177" max="7177" width="11.85546875" style="53" bestFit="1" customWidth="1"/>
    <col min="7178" max="7178" width="12.85546875" style="53" bestFit="1" customWidth="1"/>
    <col min="7179" max="7424" width="9.140625" style="53"/>
    <col min="7425" max="7425" width="9.28515625" style="53" customWidth="1"/>
    <col min="7426" max="7426" width="39.85546875" style="53" customWidth="1"/>
    <col min="7427" max="7427" width="18.28515625" style="53" customWidth="1"/>
    <col min="7428" max="7428" width="23.85546875" style="53" customWidth="1"/>
    <col min="7429" max="7429" width="16" style="53" bestFit="1" customWidth="1"/>
    <col min="7430" max="7430" width="13.7109375" style="53" bestFit="1" customWidth="1"/>
    <col min="7431" max="7431" width="15.7109375" style="53" bestFit="1" customWidth="1"/>
    <col min="7432" max="7432" width="13.140625" style="53" bestFit="1" customWidth="1"/>
    <col min="7433" max="7433" width="11.85546875" style="53" bestFit="1" customWidth="1"/>
    <col min="7434" max="7434" width="12.85546875" style="53" bestFit="1" customWidth="1"/>
    <col min="7435" max="7680" width="9.140625" style="53"/>
    <col min="7681" max="7681" width="9.28515625" style="53" customWidth="1"/>
    <col min="7682" max="7682" width="39.85546875" style="53" customWidth="1"/>
    <col min="7683" max="7683" width="18.28515625" style="53" customWidth="1"/>
    <col min="7684" max="7684" width="23.85546875" style="53" customWidth="1"/>
    <col min="7685" max="7685" width="16" style="53" bestFit="1" customWidth="1"/>
    <col min="7686" max="7686" width="13.7109375" style="53" bestFit="1" customWidth="1"/>
    <col min="7687" max="7687" width="15.7109375" style="53" bestFit="1" customWidth="1"/>
    <col min="7688" max="7688" width="13.140625" style="53" bestFit="1" customWidth="1"/>
    <col min="7689" max="7689" width="11.85546875" style="53" bestFit="1" customWidth="1"/>
    <col min="7690" max="7690" width="12.85546875" style="53" bestFit="1" customWidth="1"/>
    <col min="7691" max="7936" width="9.140625" style="53"/>
    <col min="7937" max="7937" width="9.28515625" style="53" customWidth="1"/>
    <col min="7938" max="7938" width="39.85546875" style="53" customWidth="1"/>
    <col min="7939" max="7939" width="18.28515625" style="53" customWidth="1"/>
    <col min="7940" max="7940" width="23.85546875" style="53" customWidth="1"/>
    <col min="7941" max="7941" width="16" style="53" bestFit="1" customWidth="1"/>
    <col min="7942" max="7942" width="13.7109375" style="53" bestFit="1" customWidth="1"/>
    <col min="7943" max="7943" width="15.7109375" style="53" bestFit="1" customWidth="1"/>
    <col min="7944" max="7944" width="13.140625" style="53" bestFit="1" customWidth="1"/>
    <col min="7945" max="7945" width="11.85546875" style="53" bestFit="1" customWidth="1"/>
    <col min="7946" max="7946" width="12.85546875" style="53" bestFit="1" customWidth="1"/>
    <col min="7947" max="8192" width="9.140625" style="53"/>
    <col min="8193" max="8193" width="9.28515625" style="53" customWidth="1"/>
    <col min="8194" max="8194" width="39.85546875" style="53" customWidth="1"/>
    <col min="8195" max="8195" width="18.28515625" style="53" customWidth="1"/>
    <col min="8196" max="8196" width="23.85546875" style="53" customWidth="1"/>
    <col min="8197" max="8197" width="16" style="53" bestFit="1" customWidth="1"/>
    <col min="8198" max="8198" width="13.7109375" style="53" bestFit="1" customWidth="1"/>
    <col min="8199" max="8199" width="15.7109375" style="53" bestFit="1" customWidth="1"/>
    <col min="8200" max="8200" width="13.140625" style="53" bestFit="1" customWidth="1"/>
    <col min="8201" max="8201" width="11.85546875" style="53" bestFit="1" customWidth="1"/>
    <col min="8202" max="8202" width="12.85546875" style="53" bestFit="1" customWidth="1"/>
    <col min="8203" max="8448" width="9.140625" style="53"/>
    <col min="8449" max="8449" width="9.28515625" style="53" customWidth="1"/>
    <col min="8450" max="8450" width="39.85546875" style="53" customWidth="1"/>
    <col min="8451" max="8451" width="18.28515625" style="53" customWidth="1"/>
    <col min="8452" max="8452" width="23.85546875" style="53" customWidth="1"/>
    <col min="8453" max="8453" width="16" style="53" bestFit="1" customWidth="1"/>
    <col min="8454" max="8454" width="13.7109375" style="53" bestFit="1" customWidth="1"/>
    <col min="8455" max="8455" width="15.7109375" style="53" bestFit="1" customWidth="1"/>
    <col min="8456" max="8456" width="13.140625" style="53" bestFit="1" customWidth="1"/>
    <col min="8457" max="8457" width="11.85546875" style="53" bestFit="1" customWidth="1"/>
    <col min="8458" max="8458" width="12.85546875" style="53" bestFit="1" customWidth="1"/>
    <col min="8459" max="8704" width="9.140625" style="53"/>
    <col min="8705" max="8705" width="9.28515625" style="53" customWidth="1"/>
    <col min="8706" max="8706" width="39.85546875" style="53" customWidth="1"/>
    <col min="8707" max="8707" width="18.28515625" style="53" customWidth="1"/>
    <col min="8708" max="8708" width="23.85546875" style="53" customWidth="1"/>
    <col min="8709" max="8709" width="16" style="53" bestFit="1" customWidth="1"/>
    <col min="8710" max="8710" width="13.7109375" style="53" bestFit="1" customWidth="1"/>
    <col min="8711" max="8711" width="15.7109375" style="53" bestFit="1" customWidth="1"/>
    <col min="8712" max="8712" width="13.140625" style="53" bestFit="1" customWidth="1"/>
    <col min="8713" max="8713" width="11.85546875" style="53" bestFit="1" customWidth="1"/>
    <col min="8714" max="8714" width="12.85546875" style="53" bestFit="1" customWidth="1"/>
    <col min="8715" max="8960" width="9.140625" style="53"/>
    <col min="8961" max="8961" width="9.28515625" style="53" customWidth="1"/>
    <col min="8962" max="8962" width="39.85546875" style="53" customWidth="1"/>
    <col min="8963" max="8963" width="18.28515625" style="53" customWidth="1"/>
    <col min="8964" max="8964" width="23.85546875" style="53" customWidth="1"/>
    <col min="8965" max="8965" width="16" style="53" bestFit="1" customWidth="1"/>
    <col min="8966" max="8966" width="13.7109375" style="53" bestFit="1" customWidth="1"/>
    <col min="8967" max="8967" width="15.7109375" style="53" bestFit="1" customWidth="1"/>
    <col min="8968" max="8968" width="13.140625" style="53" bestFit="1" customWidth="1"/>
    <col min="8969" max="8969" width="11.85546875" style="53" bestFit="1" customWidth="1"/>
    <col min="8970" max="8970" width="12.85546875" style="53" bestFit="1" customWidth="1"/>
    <col min="8971" max="9216" width="9.140625" style="53"/>
    <col min="9217" max="9217" width="9.28515625" style="53" customWidth="1"/>
    <col min="9218" max="9218" width="39.85546875" style="53" customWidth="1"/>
    <col min="9219" max="9219" width="18.28515625" style="53" customWidth="1"/>
    <col min="9220" max="9220" width="23.85546875" style="53" customWidth="1"/>
    <col min="9221" max="9221" width="16" style="53" bestFit="1" customWidth="1"/>
    <col min="9222" max="9222" width="13.7109375" style="53" bestFit="1" customWidth="1"/>
    <col min="9223" max="9223" width="15.7109375" style="53" bestFit="1" customWidth="1"/>
    <col min="9224" max="9224" width="13.140625" style="53" bestFit="1" customWidth="1"/>
    <col min="9225" max="9225" width="11.85546875" style="53" bestFit="1" customWidth="1"/>
    <col min="9226" max="9226" width="12.85546875" style="53" bestFit="1" customWidth="1"/>
    <col min="9227" max="9472" width="9.140625" style="53"/>
    <col min="9473" max="9473" width="9.28515625" style="53" customWidth="1"/>
    <col min="9474" max="9474" width="39.85546875" style="53" customWidth="1"/>
    <col min="9475" max="9475" width="18.28515625" style="53" customWidth="1"/>
    <col min="9476" max="9476" width="23.85546875" style="53" customWidth="1"/>
    <col min="9477" max="9477" width="16" style="53" bestFit="1" customWidth="1"/>
    <col min="9478" max="9478" width="13.7109375" style="53" bestFit="1" customWidth="1"/>
    <col min="9479" max="9479" width="15.7109375" style="53" bestFit="1" customWidth="1"/>
    <col min="9480" max="9480" width="13.140625" style="53" bestFit="1" customWidth="1"/>
    <col min="9481" max="9481" width="11.85546875" style="53" bestFit="1" customWidth="1"/>
    <col min="9482" max="9482" width="12.85546875" style="53" bestFit="1" customWidth="1"/>
    <col min="9483" max="9728" width="9.140625" style="53"/>
    <col min="9729" max="9729" width="9.28515625" style="53" customWidth="1"/>
    <col min="9730" max="9730" width="39.85546875" style="53" customWidth="1"/>
    <col min="9731" max="9731" width="18.28515625" style="53" customWidth="1"/>
    <col min="9732" max="9732" width="23.85546875" style="53" customWidth="1"/>
    <col min="9733" max="9733" width="16" style="53" bestFit="1" customWidth="1"/>
    <col min="9734" max="9734" width="13.7109375" style="53" bestFit="1" customWidth="1"/>
    <col min="9735" max="9735" width="15.7109375" style="53" bestFit="1" customWidth="1"/>
    <col min="9736" max="9736" width="13.140625" style="53" bestFit="1" customWidth="1"/>
    <col min="9737" max="9737" width="11.85546875" style="53" bestFit="1" customWidth="1"/>
    <col min="9738" max="9738" width="12.85546875" style="53" bestFit="1" customWidth="1"/>
    <col min="9739" max="9984" width="9.140625" style="53"/>
    <col min="9985" max="9985" width="9.28515625" style="53" customWidth="1"/>
    <col min="9986" max="9986" width="39.85546875" style="53" customWidth="1"/>
    <col min="9987" max="9987" width="18.28515625" style="53" customWidth="1"/>
    <col min="9988" max="9988" width="23.85546875" style="53" customWidth="1"/>
    <col min="9989" max="9989" width="16" style="53" bestFit="1" customWidth="1"/>
    <col min="9990" max="9990" width="13.7109375" style="53" bestFit="1" customWidth="1"/>
    <col min="9991" max="9991" width="15.7109375" style="53" bestFit="1" customWidth="1"/>
    <col min="9992" max="9992" width="13.140625" style="53" bestFit="1" customWidth="1"/>
    <col min="9993" max="9993" width="11.85546875" style="53" bestFit="1" customWidth="1"/>
    <col min="9994" max="9994" width="12.85546875" style="53" bestFit="1" customWidth="1"/>
    <col min="9995" max="10240" width="9.140625" style="53"/>
    <col min="10241" max="10241" width="9.28515625" style="53" customWidth="1"/>
    <col min="10242" max="10242" width="39.85546875" style="53" customWidth="1"/>
    <col min="10243" max="10243" width="18.28515625" style="53" customWidth="1"/>
    <col min="10244" max="10244" width="23.85546875" style="53" customWidth="1"/>
    <col min="10245" max="10245" width="16" style="53" bestFit="1" customWidth="1"/>
    <col min="10246" max="10246" width="13.7109375" style="53" bestFit="1" customWidth="1"/>
    <col min="10247" max="10247" width="15.7109375" style="53" bestFit="1" customWidth="1"/>
    <col min="10248" max="10248" width="13.140625" style="53" bestFit="1" customWidth="1"/>
    <col min="10249" max="10249" width="11.85546875" style="53" bestFit="1" customWidth="1"/>
    <col min="10250" max="10250" width="12.85546875" style="53" bestFit="1" customWidth="1"/>
    <col min="10251" max="10496" width="9.140625" style="53"/>
    <col min="10497" max="10497" width="9.28515625" style="53" customWidth="1"/>
    <col min="10498" max="10498" width="39.85546875" style="53" customWidth="1"/>
    <col min="10499" max="10499" width="18.28515625" style="53" customWidth="1"/>
    <col min="10500" max="10500" width="23.85546875" style="53" customWidth="1"/>
    <col min="10501" max="10501" width="16" style="53" bestFit="1" customWidth="1"/>
    <col min="10502" max="10502" width="13.7109375" style="53" bestFit="1" customWidth="1"/>
    <col min="10503" max="10503" width="15.7109375" style="53" bestFit="1" customWidth="1"/>
    <col min="10504" max="10504" width="13.140625" style="53" bestFit="1" customWidth="1"/>
    <col min="10505" max="10505" width="11.85546875" style="53" bestFit="1" customWidth="1"/>
    <col min="10506" max="10506" width="12.85546875" style="53" bestFit="1" customWidth="1"/>
    <col min="10507" max="10752" width="9.140625" style="53"/>
    <col min="10753" max="10753" width="9.28515625" style="53" customWidth="1"/>
    <col min="10754" max="10754" width="39.85546875" style="53" customWidth="1"/>
    <col min="10755" max="10755" width="18.28515625" style="53" customWidth="1"/>
    <col min="10756" max="10756" width="23.85546875" style="53" customWidth="1"/>
    <col min="10757" max="10757" width="16" style="53" bestFit="1" customWidth="1"/>
    <col min="10758" max="10758" width="13.7109375" style="53" bestFit="1" customWidth="1"/>
    <col min="10759" max="10759" width="15.7109375" style="53" bestFit="1" customWidth="1"/>
    <col min="10760" max="10760" width="13.140625" style="53" bestFit="1" customWidth="1"/>
    <col min="10761" max="10761" width="11.85546875" style="53" bestFit="1" customWidth="1"/>
    <col min="10762" max="10762" width="12.85546875" style="53" bestFit="1" customWidth="1"/>
    <col min="10763" max="11008" width="9.140625" style="53"/>
    <col min="11009" max="11009" width="9.28515625" style="53" customWidth="1"/>
    <col min="11010" max="11010" width="39.85546875" style="53" customWidth="1"/>
    <col min="11011" max="11011" width="18.28515625" style="53" customWidth="1"/>
    <col min="11012" max="11012" width="23.85546875" style="53" customWidth="1"/>
    <col min="11013" max="11013" width="16" style="53" bestFit="1" customWidth="1"/>
    <col min="11014" max="11014" width="13.7109375" style="53" bestFit="1" customWidth="1"/>
    <col min="11015" max="11015" width="15.7109375" style="53" bestFit="1" customWidth="1"/>
    <col min="11016" max="11016" width="13.140625" style="53" bestFit="1" customWidth="1"/>
    <col min="11017" max="11017" width="11.85546875" style="53" bestFit="1" customWidth="1"/>
    <col min="11018" max="11018" width="12.85546875" style="53" bestFit="1" customWidth="1"/>
    <col min="11019" max="11264" width="9.140625" style="53"/>
    <col min="11265" max="11265" width="9.28515625" style="53" customWidth="1"/>
    <col min="11266" max="11266" width="39.85546875" style="53" customWidth="1"/>
    <col min="11267" max="11267" width="18.28515625" style="53" customWidth="1"/>
    <col min="11268" max="11268" width="23.85546875" style="53" customWidth="1"/>
    <col min="11269" max="11269" width="16" style="53" bestFit="1" customWidth="1"/>
    <col min="11270" max="11270" width="13.7109375" style="53" bestFit="1" customWidth="1"/>
    <col min="11271" max="11271" width="15.7109375" style="53" bestFit="1" customWidth="1"/>
    <col min="11272" max="11272" width="13.140625" style="53" bestFit="1" customWidth="1"/>
    <col min="11273" max="11273" width="11.85546875" style="53" bestFit="1" customWidth="1"/>
    <col min="11274" max="11274" width="12.85546875" style="53" bestFit="1" customWidth="1"/>
    <col min="11275" max="11520" width="9.140625" style="53"/>
    <col min="11521" max="11521" width="9.28515625" style="53" customWidth="1"/>
    <col min="11522" max="11522" width="39.85546875" style="53" customWidth="1"/>
    <col min="11523" max="11523" width="18.28515625" style="53" customWidth="1"/>
    <col min="11524" max="11524" width="23.85546875" style="53" customWidth="1"/>
    <col min="11525" max="11525" width="16" style="53" bestFit="1" customWidth="1"/>
    <col min="11526" max="11526" width="13.7109375" style="53" bestFit="1" customWidth="1"/>
    <col min="11527" max="11527" width="15.7109375" style="53" bestFit="1" customWidth="1"/>
    <col min="11528" max="11528" width="13.140625" style="53" bestFit="1" customWidth="1"/>
    <col min="11529" max="11529" width="11.85546875" style="53" bestFit="1" customWidth="1"/>
    <col min="11530" max="11530" width="12.85546875" style="53" bestFit="1" customWidth="1"/>
    <col min="11531" max="11776" width="9.140625" style="53"/>
    <col min="11777" max="11777" width="9.28515625" style="53" customWidth="1"/>
    <col min="11778" max="11778" width="39.85546875" style="53" customWidth="1"/>
    <col min="11779" max="11779" width="18.28515625" style="53" customWidth="1"/>
    <col min="11780" max="11780" width="23.85546875" style="53" customWidth="1"/>
    <col min="11781" max="11781" width="16" style="53" bestFit="1" customWidth="1"/>
    <col min="11782" max="11782" width="13.7109375" style="53" bestFit="1" customWidth="1"/>
    <col min="11783" max="11783" width="15.7109375" style="53" bestFit="1" customWidth="1"/>
    <col min="11784" max="11784" width="13.140625" style="53" bestFit="1" customWidth="1"/>
    <col min="11785" max="11785" width="11.85546875" style="53" bestFit="1" customWidth="1"/>
    <col min="11786" max="11786" width="12.85546875" style="53" bestFit="1" customWidth="1"/>
    <col min="11787" max="12032" width="9.140625" style="53"/>
    <col min="12033" max="12033" width="9.28515625" style="53" customWidth="1"/>
    <col min="12034" max="12034" width="39.85546875" style="53" customWidth="1"/>
    <col min="12035" max="12035" width="18.28515625" style="53" customWidth="1"/>
    <col min="12036" max="12036" width="23.85546875" style="53" customWidth="1"/>
    <col min="12037" max="12037" width="16" style="53" bestFit="1" customWidth="1"/>
    <col min="12038" max="12038" width="13.7109375" style="53" bestFit="1" customWidth="1"/>
    <col min="12039" max="12039" width="15.7109375" style="53" bestFit="1" customWidth="1"/>
    <col min="12040" max="12040" width="13.140625" style="53" bestFit="1" customWidth="1"/>
    <col min="12041" max="12041" width="11.85546875" style="53" bestFit="1" customWidth="1"/>
    <col min="12042" max="12042" width="12.85546875" style="53" bestFit="1" customWidth="1"/>
    <col min="12043" max="12288" width="9.140625" style="53"/>
    <col min="12289" max="12289" width="9.28515625" style="53" customWidth="1"/>
    <col min="12290" max="12290" width="39.85546875" style="53" customWidth="1"/>
    <col min="12291" max="12291" width="18.28515625" style="53" customWidth="1"/>
    <col min="12292" max="12292" width="23.85546875" style="53" customWidth="1"/>
    <col min="12293" max="12293" width="16" style="53" bestFit="1" customWidth="1"/>
    <col min="12294" max="12294" width="13.7109375" style="53" bestFit="1" customWidth="1"/>
    <col min="12295" max="12295" width="15.7109375" style="53" bestFit="1" customWidth="1"/>
    <col min="12296" max="12296" width="13.140625" style="53" bestFit="1" customWidth="1"/>
    <col min="12297" max="12297" width="11.85546875" style="53" bestFit="1" customWidth="1"/>
    <col min="12298" max="12298" width="12.85546875" style="53" bestFit="1" customWidth="1"/>
    <col min="12299" max="12544" width="9.140625" style="53"/>
    <col min="12545" max="12545" width="9.28515625" style="53" customWidth="1"/>
    <col min="12546" max="12546" width="39.85546875" style="53" customWidth="1"/>
    <col min="12547" max="12547" width="18.28515625" style="53" customWidth="1"/>
    <col min="12548" max="12548" width="23.85546875" style="53" customWidth="1"/>
    <col min="12549" max="12549" width="16" style="53" bestFit="1" customWidth="1"/>
    <col min="12550" max="12550" width="13.7109375" style="53" bestFit="1" customWidth="1"/>
    <col min="12551" max="12551" width="15.7109375" style="53" bestFit="1" customWidth="1"/>
    <col min="12552" max="12552" width="13.140625" style="53" bestFit="1" customWidth="1"/>
    <col min="12553" max="12553" width="11.85546875" style="53" bestFit="1" customWidth="1"/>
    <col min="12554" max="12554" width="12.85546875" style="53" bestFit="1" customWidth="1"/>
    <col min="12555" max="12800" width="9.140625" style="53"/>
    <col min="12801" max="12801" width="9.28515625" style="53" customWidth="1"/>
    <col min="12802" max="12802" width="39.85546875" style="53" customWidth="1"/>
    <col min="12803" max="12803" width="18.28515625" style="53" customWidth="1"/>
    <col min="12804" max="12804" width="23.85546875" style="53" customWidth="1"/>
    <col min="12805" max="12805" width="16" style="53" bestFit="1" customWidth="1"/>
    <col min="12806" max="12806" width="13.7109375" style="53" bestFit="1" customWidth="1"/>
    <col min="12807" max="12807" width="15.7109375" style="53" bestFit="1" customWidth="1"/>
    <col min="12808" max="12808" width="13.140625" style="53" bestFit="1" customWidth="1"/>
    <col min="12809" max="12809" width="11.85546875" style="53" bestFit="1" customWidth="1"/>
    <col min="12810" max="12810" width="12.85546875" style="53" bestFit="1" customWidth="1"/>
    <col min="12811" max="13056" width="9.140625" style="53"/>
    <col min="13057" max="13057" width="9.28515625" style="53" customWidth="1"/>
    <col min="13058" max="13058" width="39.85546875" style="53" customWidth="1"/>
    <col min="13059" max="13059" width="18.28515625" style="53" customWidth="1"/>
    <col min="13060" max="13060" width="23.85546875" style="53" customWidth="1"/>
    <col min="13061" max="13061" width="16" style="53" bestFit="1" customWidth="1"/>
    <col min="13062" max="13062" width="13.7109375" style="53" bestFit="1" customWidth="1"/>
    <col min="13063" max="13063" width="15.7109375" style="53" bestFit="1" customWidth="1"/>
    <col min="13064" max="13064" width="13.140625" style="53" bestFit="1" customWidth="1"/>
    <col min="13065" max="13065" width="11.85546875" style="53" bestFit="1" customWidth="1"/>
    <col min="13066" max="13066" width="12.85546875" style="53" bestFit="1" customWidth="1"/>
    <col min="13067" max="13312" width="9.140625" style="53"/>
    <col min="13313" max="13313" width="9.28515625" style="53" customWidth="1"/>
    <col min="13314" max="13314" width="39.85546875" style="53" customWidth="1"/>
    <col min="13315" max="13315" width="18.28515625" style="53" customWidth="1"/>
    <col min="13316" max="13316" width="23.85546875" style="53" customWidth="1"/>
    <col min="13317" max="13317" width="16" style="53" bestFit="1" customWidth="1"/>
    <col min="13318" max="13318" width="13.7109375" style="53" bestFit="1" customWidth="1"/>
    <col min="13319" max="13319" width="15.7109375" style="53" bestFit="1" customWidth="1"/>
    <col min="13320" max="13320" width="13.140625" style="53" bestFit="1" customWidth="1"/>
    <col min="13321" max="13321" width="11.85546875" style="53" bestFit="1" customWidth="1"/>
    <col min="13322" max="13322" width="12.85546875" style="53" bestFit="1" customWidth="1"/>
    <col min="13323" max="13568" width="9.140625" style="53"/>
    <col min="13569" max="13569" width="9.28515625" style="53" customWidth="1"/>
    <col min="13570" max="13570" width="39.85546875" style="53" customWidth="1"/>
    <col min="13571" max="13571" width="18.28515625" style="53" customWidth="1"/>
    <col min="13572" max="13572" width="23.85546875" style="53" customWidth="1"/>
    <col min="13573" max="13573" width="16" style="53" bestFit="1" customWidth="1"/>
    <col min="13574" max="13574" width="13.7109375" style="53" bestFit="1" customWidth="1"/>
    <col min="13575" max="13575" width="15.7109375" style="53" bestFit="1" customWidth="1"/>
    <col min="13576" max="13576" width="13.140625" style="53" bestFit="1" customWidth="1"/>
    <col min="13577" max="13577" width="11.85546875" style="53" bestFit="1" customWidth="1"/>
    <col min="13578" max="13578" width="12.85546875" style="53" bestFit="1" customWidth="1"/>
    <col min="13579" max="13824" width="9.140625" style="53"/>
    <col min="13825" max="13825" width="9.28515625" style="53" customWidth="1"/>
    <col min="13826" max="13826" width="39.85546875" style="53" customWidth="1"/>
    <col min="13827" max="13827" width="18.28515625" style="53" customWidth="1"/>
    <col min="13828" max="13828" width="23.85546875" style="53" customWidth="1"/>
    <col min="13829" max="13829" width="16" style="53" bestFit="1" customWidth="1"/>
    <col min="13830" max="13830" width="13.7109375" style="53" bestFit="1" customWidth="1"/>
    <col min="13831" max="13831" width="15.7109375" style="53" bestFit="1" customWidth="1"/>
    <col min="13832" max="13832" width="13.140625" style="53" bestFit="1" customWidth="1"/>
    <col min="13833" max="13833" width="11.85546875" style="53" bestFit="1" customWidth="1"/>
    <col min="13834" max="13834" width="12.85546875" style="53" bestFit="1" customWidth="1"/>
    <col min="13835" max="14080" width="9.140625" style="53"/>
    <col min="14081" max="14081" width="9.28515625" style="53" customWidth="1"/>
    <col min="14082" max="14082" width="39.85546875" style="53" customWidth="1"/>
    <col min="14083" max="14083" width="18.28515625" style="53" customWidth="1"/>
    <col min="14084" max="14084" width="23.85546875" style="53" customWidth="1"/>
    <col min="14085" max="14085" width="16" style="53" bestFit="1" customWidth="1"/>
    <col min="14086" max="14086" width="13.7109375" style="53" bestFit="1" customWidth="1"/>
    <col min="14087" max="14087" width="15.7109375" style="53" bestFit="1" customWidth="1"/>
    <col min="14088" max="14088" width="13.140625" style="53" bestFit="1" customWidth="1"/>
    <col min="14089" max="14089" width="11.85546875" style="53" bestFit="1" customWidth="1"/>
    <col min="14090" max="14090" width="12.85546875" style="53" bestFit="1" customWidth="1"/>
    <col min="14091" max="14336" width="9.140625" style="53"/>
    <col min="14337" max="14337" width="9.28515625" style="53" customWidth="1"/>
    <col min="14338" max="14338" width="39.85546875" style="53" customWidth="1"/>
    <col min="14339" max="14339" width="18.28515625" style="53" customWidth="1"/>
    <col min="14340" max="14340" width="23.85546875" style="53" customWidth="1"/>
    <col min="14341" max="14341" width="16" style="53" bestFit="1" customWidth="1"/>
    <col min="14342" max="14342" width="13.7109375" style="53" bestFit="1" customWidth="1"/>
    <col min="14343" max="14343" width="15.7109375" style="53" bestFit="1" customWidth="1"/>
    <col min="14344" max="14344" width="13.140625" style="53" bestFit="1" customWidth="1"/>
    <col min="14345" max="14345" width="11.85546875" style="53" bestFit="1" customWidth="1"/>
    <col min="14346" max="14346" width="12.85546875" style="53" bestFit="1" customWidth="1"/>
    <col min="14347" max="14592" width="9.140625" style="53"/>
    <col min="14593" max="14593" width="9.28515625" style="53" customWidth="1"/>
    <col min="14594" max="14594" width="39.85546875" style="53" customWidth="1"/>
    <col min="14595" max="14595" width="18.28515625" style="53" customWidth="1"/>
    <col min="14596" max="14596" width="23.85546875" style="53" customWidth="1"/>
    <col min="14597" max="14597" width="16" style="53" bestFit="1" customWidth="1"/>
    <col min="14598" max="14598" width="13.7109375" style="53" bestFit="1" customWidth="1"/>
    <col min="14599" max="14599" width="15.7109375" style="53" bestFit="1" customWidth="1"/>
    <col min="14600" max="14600" width="13.140625" style="53" bestFit="1" customWidth="1"/>
    <col min="14601" max="14601" width="11.85546875" style="53" bestFit="1" customWidth="1"/>
    <col min="14602" max="14602" width="12.85546875" style="53" bestFit="1" customWidth="1"/>
    <col min="14603" max="14848" width="9.140625" style="53"/>
    <col min="14849" max="14849" width="9.28515625" style="53" customWidth="1"/>
    <col min="14850" max="14850" width="39.85546875" style="53" customWidth="1"/>
    <col min="14851" max="14851" width="18.28515625" style="53" customWidth="1"/>
    <col min="14852" max="14852" width="23.85546875" style="53" customWidth="1"/>
    <col min="14853" max="14853" width="16" style="53" bestFit="1" customWidth="1"/>
    <col min="14854" max="14854" width="13.7109375" style="53" bestFit="1" customWidth="1"/>
    <col min="14855" max="14855" width="15.7109375" style="53" bestFit="1" customWidth="1"/>
    <col min="14856" max="14856" width="13.140625" style="53" bestFit="1" customWidth="1"/>
    <col min="14857" max="14857" width="11.85546875" style="53" bestFit="1" customWidth="1"/>
    <col min="14858" max="14858" width="12.85546875" style="53" bestFit="1" customWidth="1"/>
    <col min="14859" max="15104" width="9.140625" style="53"/>
    <col min="15105" max="15105" width="9.28515625" style="53" customWidth="1"/>
    <col min="15106" max="15106" width="39.85546875" style="53" customWidth="1"/>
    <col min="15107" max="15107" width="18.28515625" style="53" customWidth="1"/>
    <col min="15108" max="15108" width="23.85546875" style="53" customWidth="1"/>
    <col min="15109" max="15109" width="16" style="53" bestFit="1" customWidth="1"/>
    <col min="15110" max="15110" width="13.7109375" style="53" bestFit="1" customWidth="1"/>
    <col min="15111" max="15111" width="15.7109375" style="53" bestFit="1" customWidth="1"/>
    <col min="15112" max="15112" width="13.140625" style="53" bestFit="1" customWidth="1"/>
    <col min="15113" max="15113" width="11.85546875" style="53" bestFit="1" customWidth="1"/>
    <col min="15114" max="15114" width="12.85546875" style="53" bestFit="1" customWidth="1"/>
    <col min="15115" max="15360" width="9.140625" style="53"/>
    <col min="15361" max="15361" width="9.28515625" style="53" customWidth="1"/>
    <col min="15362" max="15362" width="39.85546875" style="53" customWidth="1"/>
    <col min="15363" max="15363" width="18.28515625" style="53" customWidth="1"/>
    <col min="15364" max="15364" width="23.85546875" style="53" customWidth="1"/>
    <col min="15365" max="15365" width="16" style="53" bestFit="1" customWidth="1"/>
    <col min="15366" max="15366" width="13.7109375" style="53" bestFit="1" customWidth="1"/>
    <col min="15367" max="15367" width="15.7109375" style="53" bestFit="1" customWidth="1"/>
    <col min="15368" max="15368" width="13.140625" style="53" bestFit="1" customWidth="1"/>
    <col min="15369" max="15369" width="11.85546875" style="53" bestFit="1" customWidth="1"/>
    <col min="15370" max="15370" width="12.85546875" style="53" bestFit="1" customWidth="1"/>
    <col min="15371" max="15616" width="9.140625" style="53"/>
    <col min="15617" max="15617" width="9.28515625" style="53" customWidth="1"/>
    <col min="15618" max="15618" width="39.85546875" style="53" customWidth="1"/>
    <col min="15619" max="15619" width="18.28515625" style="53" customWidth="1"/>
    <col min="15620" max="15620" width="23.85546875" style="53" customWidth="1"/>
    <col min="15621" max="15621" width="16" style="53" bestFit="1" customWidth="1"/>
    <col min="15622" max="15622" width="13.7109375" style="53" bestFit="1" customWidth="1"/>
    <col min="15623" max="15623" width="15.7109375" style="53" bestFit="1" customWidth="1"/>
    <col min="15624" max="15624" width="13.140625" style="53" bestFit="1" customWidth="1"/>
    <col min="15625" max="15625" width="11.85546875" style="53" bestFit="1" customWidth="1"/>
    <col min="15626" max="15626" width="12.85546875" style="53" bestFit="1" customWidth="1"/>
    <col min="15627" max="15872" width="9.140625" style="53"/>
    <col min="15873" max="15873" width="9.28515625" style="53" customWidth="1"/>
    <col min="15874" max="15874" width="39.85546875" style="53" customWidth="1"/>
    <col min="15875" max="15875" width="18.28515625" style="53" customWidth="1"/>
    <col min="15876" max="15876" width="23.85546875" style="53" customWidth="1"/>
    <col min="15877" max="15877" width="16" style="53" bestFit="1" customWidth="1"/>
    <col min="15878" max="15878" width="13.7109375" style="53" bestFit="1" customWidth="1"/>
    <col min="15879" max="15879" width="15.7109375" style="53" bestFit="1" customWidth="1"/>
    <col min="15880" max="15880" width="13.140625" style="53" bestFit="1" customWidth="1"/>
    <col min="15881" max="15881" width="11.85546875" style="53" bestFit="1" customWidth="1"/>
    <col min="15882" max="15882" width="12.85546875" style="53" bestFit="1" customWidth="1"/>
    <col min="15883" max="16128" width="9.140625" style="53"/>
    <col min="16129" max="16129" width="9.28515625" style="53" customWidth="1"/>
    <col min="16130" max="16130" width="39.85546875" style="53" customWidth="1"/>
    <col min="16131" max="16131" width="18.28515625" style="53" customWidth="1"/>
    <col min="16132" max="16132" width="23.85546875" style="53" customWidth="1"/>
    <col min="16133" max="16133" width="16" style="53" bestFit="1" customWidth="1"/>
    <col min="16134" max="16134" width="13.7109375" style="53" bestFit="1" customWidth="1"/>
    <col min="16135" max="16135" width="15.7109375" style="53" bestFit="1" customWidth="1"/>
    <col min="16136" max="16136" width="13.140625" style="53" bestFit="1" customWidth="1"/>
    <col min="16137" max="16137" width="11.85546875" style="53" bestFit="1" customWidth="1"/>
    <col min="16138" max="16138" width="12.85546875" style="53" bestFit="1" customWidth="1"/>
    <col min="16139" max="16384" width="9.140625" style="53"/>
  </cols>
  <sheetData>
    <row r="3" spans="1:7" ht="15.75" customHeight="1">
      <c r="A3" s="543" t="s">
        <v>255</v>
      </c>
      <c r="B3" s="543"/>
      <c r="C3" s="543"/>
      <c r="D3" s="543"/>
      <c r="E3" s="52"/>
      <c r="F3" s="52"/>
      <c r="G3" s="52"/>
    </row>
    <row r="4" spans="1:7">
      <c r="A4" s="543"/>
      <c r="B4" s="543"/>
      <c r="C4" s="543"/>
      <c r="D4" s="543"/>
      <c r="E4" s="52"/>
      <c r="F4" s="52"/>
      <c r="G4" s="52"/>
    </row>
    <row r="5" spans="1:7">
      <c r="A5" s="54"/>
      <c r="B5" s="52"/>
      <c r="C5" s="52"/>
      <c r="D5" s="52"/>
      <c r="E5" s="52"/>
      <c r="F5" s="52"/>
      <c r="G5" s="52"/>
    </row>
    <row r="6" spans="1:7" ht="15.75" customHeight="1">
      <c r="A6" s="544" t="s">
        <v>550</v>
      </c>
      <c r="B6" s="544"/>
      <c r="C6" s="544"/>
      <c r="D6" s="544"/>
      <c r="E6" s="52"/>
      <c r="F6" s="52"/>
      <c r="G6" s="52"/>
    </row>
    <row r="7" spans="1:7">
      <c r="A7" s="522"/>
      <c r="B7" s="522"/>
      <c r="C7" s="522"/>
      <c r="D7" s="522"/>
    </row>
    <row r="8" spans="1:7">
      <c r="A8" s="237" t="s">
        <v>551</v>
      </c>
      <c r="B8" s="238"/>
      <c r="C8" s="187"/>
      <c r="D8" s="187"/>
    </row>
    <row r="9" spans="1:7">
      <c r="A9" s="522"/>
      <c r="B9" s="522"/>
      <c r="C9" s="522"/>
      <c r="D9" s="522"/>
    </row>
    <row r="10" spans="1:7">
      <c r="A10" s="57" t="s">
        <v>256</v>
      </c>
      <c r="B10" s="188"/>
      <c r="C10" s="187"/>
      <c r="D10" s="187"/>
    </row>
    <row r="11" spans="1:7">
      <c r="A11" s="59" t="s">
        <v>257</v>
      </c>
      <c r="B11" s="541" t="s">
        <v>258</v>
      </c>
      <c r="C11" s="542"/>
      <c r="D11" s="239">
        <v>42550</v>
      </c>
    </row>
    <row r="12" spans="1:7">
      <c r="A12" s="59" t="s">
        <v>259</v>
      </c>
      <c r="B12" s="62" t="s">
        <v>260</v>
      </c>
      <c r="C12" s="63"/>
      <c r="D12" s="240" t="s">
        <v>374</v>
      </c>
    </row>
    <row r="13" spans="1:7">
      <c r="A13" s="59" t="s">
        <v>261</v>
      </c>
      <c r="B13" s="541" t="s">
        <v>262</v>
      </c>
      <c r="C13" s="542"/>
      <c r="D13" s="240">
        <v>2016</v>
      </c>
    </row>
    <row r="14" spans="1:7">
      <c r="A14" s="64" t="s">
        <v>263</v>
      </c>
      <c r="B14" s="65" t="s">
        <v>555</v>
      </c>
      <c r="C14" s="66"/>
      <c r="D14" s="239">
        <v>42625</v>
      </c>
    </row>
    <row r="16" spans="1:7">
      <c r="A16" s="190"/>
    </row>
    <row r="17" spans="1:7">
      <c r="A17" s="523"/>
      <c r="B17" s="523"/>
      <c r="C17" s="523"/>
      <c r="D17" s="523"/>
      <c r="E17" s="523"/>
      <c r="F17" s="523"/>
      <c r="G17" s="523"/>
    </row>
    <row r="18" spans="1:7" ht="35.25" customHeight="1">
      <c r="A18" s="545" t="s">
        <v>264</v>
      </c>
      <c r="B18" s="545"/>
      <c r="C18" s="67" t="s">
        <v>265</v>
      </c>
      <c r="D18" s="67" t="s">
        <v>266</v>
      </c>
    </row>
    <row r="19" spans="1:7">
      <c r="A19" s="241">
        <v>1</v>
      </c>
      <c r="B19" s="242" t="s">
        <v>393</v>
      </c>
      <c r="C19" s="241" t="s">
        <v>267</v>
      </c>
      <c r="D19" s="243">
        <v>1</v>
      </c>
    </row>
    <row r="20" spans="1:7">
      <c r="A20" s="68"/>
      <c r="B20" s="69"/>
      <c r="C20" s="68"/>
      <c r="D20" s="70"/>
    </row>
    <row r="21" spans="1:7">
      <c r="A21" s="522" t="s">
        <v>268</v>
      </c>
      <c r="B21" s="522"/>
      <c r="C21" s="522"/>
      <c r="D21" s="522"/>
      <c r="E21" s="522"/>
      <c r="F21" s="522"/>
      <c r="G21" s="522"/>
    </row>
    <row r="22" spans="1:7">
      <c r="A22" s="71"/>
    </row>
    <row r="23" spans="1:7">
      <c r="A23" s="57" t="s">
        <v>269</v>
      </c>
    </row>
    <row r="24" spans="1:7">
      <c r="A24" s="57" t="s">
        <v>270</v>
      </c>
    </row>
    <row r="25" spans="1:7">
      <c r="A25" s="72" t="s">
        <v>271</v>
      </c>
      <c r="B25" s="60"/>
      <c r="C25" s="60"/>
      <c r="D25" s="61"/>
    </row>
    <row r="26" spans="1:7" ht="31.5">
      <c r="A26" s="73">
        <v>1</v>
      </c>
      <c r="B26" s="74" t="s">
        <v>272</v>
      </c>
      <c r="C26" s="74"/>
      <c r="D26" s="244" t="str">
        <f>B19</f>
        <v>OPERADOR DE CALDEIRA</v>
      </c>
    </row>
    <row r="27" spans="1:7" ht="30.75" customHeight="1">
      <c r="A27" s="73">
        <v>2</v>
      </c>
      <c r="B27" s="539" t="s">
        <v>273</v>
      </c>
      <c r="C27" s="540"/>
      <c r="D27" s="175">
        <v>1595</v>
      </c>
    </row>
    <row r="28" spans="1:7" ht="31.5" customHeight="1">
      <c r="A28" s="73">
        <v>3</v>
      </c>
      <c r="B28" s="539" t="s">
        <v>274</v>
      </c>
      <c r="C28" s="540"/>
      <c r="D28" s="176" t="s">
        <v>375</v>
      </c>
    </row>
    <row r="29" spans="1:7">
      <c r="A29" s="75">
        <v>4</v>
      </c>
      <c r="B29" s="76" t="s">
        <v>275</v>
      </c>
      <c r="C29" s="76"/>
      <c r="D29" s="77">
        <v>42206</v>
      </c>
    </row>
    <row r="30" spans="1:7">
      <c r="A30" s="71"/>
    </row>
    <row r="31" spans="1:7">
      <c r="A31" s="71"/>
    </row>
    <row r="32" spans="1:7">
      <c r="A32" s="71"/>
    </row>
    <row r="33" spans="1:7" ht="16.5" customHeight="1" thickBot="1">
      <c r="A33" s="523" t="s">
        <v>276</v>
      </c>
      <c r="B33" s="523"/>
      <c r="C33" s="523"/>
      <c r="D33" s="523"/>
      <c r="E33" s="523"/>
      <c r="F33" s="52"/>
      <c r="G33" s="52"/>
    </row>
    <row r="34" spans="1:7" ht="16.5" thickBot="1">
      <c r="A34" s="78" t="s">
        <v>277</v>
      </c>
      <c r="B34" s="79" t="s">
        <v>278</v>
      </c>
      <c r="C34" s="80"/>
      <c r="D34" s="81" t="s">
        <v>279</v>
      </c>
    </row>
    <row r="35" spans="1:7">
      <c r="A35" s="82" t="s">
        <v>257</v>
      </c>
      <c r="B35" s="83" t="s">
        <v>280</v>
      </c>
      <c r="C35" s="84"/>
      <c r="D35" s="85">
        <f>ROUND(((D27/220)*(365.25/12)*(40/6)),2)</f>
        <v>1471.15</v>
      </c>
      <c r="E35" s="160"/>
    </row>
    <row r="36" spans="1:7">
      <c r="A36" s="191" t="s">
        <v>259</v>
      </c>
      <c r="B36" s="87" t="s">
        <v>281</v>
      </c>
      <c r="C36" s="88"/>
      <c r="D36" s="89">
        <f>D35*30%</f>
        <v>441.34500000000003</v>
      </c>
    </row>
    <row r="37" spans="1:7">
      <c r="A37" s="191" t="s">
        <v>261</v>
      </c>
      <c r="B37" s="87" t="s">
        <v>282</v>
      </c>
      <c r="C37" s="90"/>
      <c r="D37" s="89">
        <v>0</v>
      </c>
    </row>
    <row r="38" spans="1:7">
      <c r="A38" s="191" t="s">
        <v>263</v>
      </c>
      <c r="B38" s="91" t="s">
        <v>552</v>
      </c>
      <c r="C38" s="88"/>
      <c r="D38" s="89">
        <v>0</v>
      </c>
    </row>
    <row r="39" spans="1:7">
      <c r="A39" s="191" t="s">
        <v>284</v>
      </c>
      <c r="B39" s="91" t="s">
        <v>285</v>
      </c>
      <c r="C39" s="92"/>
      <c r="D39" s="89">
        <v>0</v>
      </c>
    </row>
    <row r="40" spans="1:7">
      <c r="A40" s="191" t="s">
        <v>286</v>
      </c>
      <c r="B40" s="93" t="s">
        <v>287</v>
      </c>
      <c r="C40" s="92"/>
      <c r="D40" s="89">
        <v>0</v>
      </c>
    </row>
    <row r="41" spans="1:7">
      <c r="A41" s="191" t="s">
        <v>288</v>
      </c>
      <c r="B41" s="93" t="s">
        <v>289</v>
      </c>
      <c r="C41" s="92"/>
      <c r="D41" s="89">
        <v>0</v>
      </c>
    </row>
    <row r="42" spans="1:7" ht="16.5" thickBot="1">
      <c r="A42" s="191" t="s">
        <v>290</v>
      </c>
      <c r="B42" s="94" t="s">
        <v>376</v>
      </c>
      <c r="C42" s="95"/>
      <c r="D42" s="89">
        <v>0</v>
      </c>
    </row>
    <row r="43" spans="1:7" ht="16.5" thickBot="1">
      <c r="A43" s="96"/>
      <c r="B43" s="97" t="s">
        <v>292</v>
      </c>
      <c r="C43" s="98"/>
      <c r="D43" s="99">
        <f>SUM(D35:D42)</f>
        <v>1912.4950000000001</v>
      </c>
    </row>
    <row r="44" spans="1:7">
      <c r="A44" s="190"/>
    </row>
    <row r="45" spans="1:7" ht="16.5" thickBot="1">
      <c r="A45" s="523" t="s">
        <v>293</v>
      </c>
      <c r="B45" s="523"/>
      <c r="C45" s="523"/>
      <c r="D45" s="523"/>
      <c r="E45" s="523"/>
      <c r="F45" s="523"/>
      <c r="G45" s="523"/>
    </row>
    <row r="46" spans="1:7" ht="16.5" thickBot="1">
      <c r="A46" s="100">
        <v>2</v>
      </c>
      <c r="B46" s="189" t="s">
        <v>294</v>
      </c>
      <c r="C46" s="102"/>
      <c r="D46" s="100" t="s">
        <v>279</v>
      </c>
    </row>
    <row r="47" spans="1:7">
      <c r="A47" s="82" t="s">
        <v>257</v>
      </c>
      <c r="B47" s="83" t="s">
        <v>295</v>
      </c>
      <c r="C47" s="103"/>
      <c r="D47" s="104">
        <f>(3.7*44)-(D35*6%)</f>
        <v>74.531000000000006</v>
      </c>
    </row>
    <row r="48" spans="1:7" ht="31.5">
      <c r="A48" s="105" t="s">
        <v>259</v>
      </c>
      <c r="B48" s="106" t="s">
        <v>296</v>
      </c>
      <c r="C48" s="90"/>
      <c r="D48" s="107">
        <v>355</v>
      </c>
    </row>
    <row r="49" spans="1:7">
      <c r="A49" s="191" t="s">
        <v>261</v>
      </c>
      <c r="B49" s="87" t="s">
        <v>389</v>
      </c>
      <c r="C49" s="90"/>
      <c r="D49" s="107">
        <v>50</v>
      </c>
    </row>
    <row r="50" spans="1:7">
      <c r="A50" s="191" t="s">
        <v>263</v>
      </c>
      <c r="B50" s="87" t="s">
        <v>19</v>
      </c>
      <c r="C50" s="88"/>
      <c r="D50" s="107">
        <v>5.5</v>
      </c>
    </row>
    <row r="51" spans="1:7">
      <c r="A51" s="191" t="s">
        <v>284</v>
      </c>
      <c r="B51" s="87" t="s">
        <v>395</v>
      </c>
      <c r="C51" s="92"/>
      <c r="D51" s="108">
        <f>3.81*22</f>
        <v>83.820000000000007</v>
      </c>
    </row>
    <row r="52" spans="1:7" ht="16.5" customHeight="1">
      <c r="A52" s="191" t="s">
        <v>286</v>
      </c>
      <c r="B52" s="535" t="s">
        <v>394</v>
      </c>
      <c r="C52" s="536"/>
      <c r="D52" s="108">
        <f>355/12</f>
        <v>29.583333333333332</v>
      </c>
    </row>
    <row r="53" spans="1:7" ht="16.5" thickBot="1">
      <c r="A53" s="109" t="s">
        <v>288</v>
      </c>
      <c r="B53" s="537" t="s">
        <v>558</v>
      </c>
      <c r="C53" s="538"/>
      <c r="D53" s="110">
        <v>0</v>
      </c>
    </row>
    <row r="54" spans="1:7" ht="16.5" thickBot="1">
      <c r="A54" s="111"/>
      <c r="B54" s="189" t="s">
        <v>298</v>
      </c>
      <c r="C54" s="112"/>
      <c r="D54" s="113">
        <f>SUM(D47:D53)</f>
        <v>598.43433333333337</v>
      </c>
    </row>
    <row r="55" spans="1:7" ht="33" customHeight="1">
      <c r="A55" s="522" t="s">
        <v>299</v>
      </c>
      <c r="B55" s="522"/>
      <c r="C55" s="522"/>
      <c r="D55" s="522"/>
    </row>
    <row r="56" spans="1:7">
      <c r="A56" s="190"/>
    </row>
    <row r="57" spans="1:7" ht="16.5" thickBot="1">
      <c r="A57" s="523" t="s">
        <v>300</v>
      </c>
      <c r="B57" s="523"/>
      <c r="C57" s="523"/>
      <c r="D57" s="523"/>
      <c r="E57" s="523"/>
      <c r="F57" s="523"/>
      <c r="G57" s="523"/>
    </row>
    <row r="58" spans="1:7" ht="16.5" thickBot="1">
      <c r="A58" s="114">
        <v>3</v>
      </c>
      <c r="B58" s="189" t="s">
        <v>301</v>
      </c>
      <c r="C58" s="102"/>
      <c r="D58" s="100" t="s">
        <v>279</v>
      </c>
    </row>
    <row r="59" spans="1:7">
      <c r="A59" s="82" t="s">
        <v>257</v>
      </c>
      <c r="B59" s="83" t="s">
        <v>302</v>
      </c>
      <c r="C59" s="115"/>
      <c r="D59" s="116">
        <f>'ANEXO IV'!D69</f>
        <v>43</v>
      </c>
    </row>
    <row r="60" spans="1:7">
      <c r="A60" s="105" t="s">
        <v>259</v>
      </c>
      <c r="B60" s="106" t="s">
        <v>15</v>
      </c>
      <c r="C60" s="90"/>
      <c r="D60" s="107">
        <v>0</v>
      </c>
    </row>
    <row r="61" spans="1:7">
      <c r="A61" s="191" t="s">
        <v>261</v>
      </c>
      <c r="B61" s="87" t="s">
        <v>21</v>
      </c>
      <c r="C61" s="90"/>
      <c r="D61" s="107">
        <v>0</v>
      </c>
    </row>
    <row r="62" spans="1:7">
      <c r="A62" s="191" t="s">
        <v>263</v>
      </c>
      <c r="B62" s="535" t="s">
        <v>18</v>
      </c>
      <c r="C62" s="536"/>
      <c r="D62" s="108">
        <f>Equipamentos!D140</f>
        <v>18.423333333333336</v>
      </c>
    </row>
    <row r="63" spans="1:7" ht="16.5" thickBot="1">
      <c r="A63" s="109" t="s">
        <v>284</v>
      </c>
      <c r="B63" s="537" t="s">
        <v>291</v>
      </c>
      <c r="C63" s="538"/>
      <c r="D63" s="110">
        <v>0</v>
      </c>
    </row>
    <row r="64" spans="1:7" ht="16.5" thickBot="1">
      <c r="A64" s="111"/>
      <c r="B64" s="189" t="s">
        <v>303</v>
      </c>
      <c r="C64" s="112"/>
      <c r="D64" s="113">
        <f>SUM(D59:D63)</f>
        <v>61.423333333333332</v>
      </c>
    </row>
    <row r="65" spans="1:7">
      <c r="A65" s="522" t="s">
        <v>304</v>
      </c>
      <c r="B65" s="522"/>
      <c r="C65" s="522"/>
      <c r="D65" s="522"/>
      <c r="E65" s="522"/>
      <c r="F65" s="522"/>
      <c r="G65" s="522"/>
    </row>
    <row r="66" spans="1:7">
      <c r="A66" s="190"/>
    </row>
    <row r="67" spans="1:7">
      <c r="A67" s="523" t="s">
        <v>305</v>
      </c>
      <c r="B67" s="523"/>
      <c r="C67" s="523"/>
      <c r="D67" s="523"/>
      <c r="E67" s="523"/>
      <c r="F67" s="523"/>
      <c r="G67" s="523"/>
    </row>
    <row r="68" spans="1:7" ht="16.5" thickBot="1">
      <c r="A68" s="523" t="s">
        <v>306</v>
      </c>
      <c r="B68" s="523"/>
      <c r="C68" s="523"/>
      <c r="D68" s="523"/>
      <c r="E68" s="523"/>
      <c r="F68" s="523"/>
      <c r="G68" s="523"/>
    </row>
    <row r="69" spans="1:7" ht="16.5" thickBot="1">
      <c r="A69" s="117" t="s">
        <v>307</v>
      </c>
      <c r="B69" s="118" t="s">
        <v>308</v>
      </c>
      <c r="C69" s="117" t="s">
        <v>4</v>
      </c>
      <c r="D69" s="117" t="s">
        <v>279</v>
      </c>
    </row>
    <row r="70" spans="1:7">
      <c r="A70" s="82" t="s">
        <v>257</v>
      </c>
      <c r="B70" s="119" t="s">
        <v>8</v>
      </c>
      <c r="C70" s="120">
        <v>0.2</v>
      </c>
      <c r="D70" s="104">
        <f t="shared" ref="D70:D77" si="0">ROUND($D$43*C70,2)</f>
        <v>382.5</v>
      </c>
    </row>
    <row r="71" spans="1:7">
      <c r="A71" s="105" t="s">
        <v>259</v>
      </c>
      <c r="B71" s="121" t="s">
        <v>309</v>
      </c>
      <c r="C71" s="122">
        <v>1.4999999999999999E-2</v>
      </c>
      <c r="D71" s="107">
        <f t="shared" si="0"/>
        <v>28.69</v>
      </c>
    </row>
    <row r="72" spans="1:7">
      <c r="A72" s="191" t="s">
        <v>261</v>
      </c>
      <c r="B72" s="123" t="s">
        <v>310</v>
      </c>
      <c r="C72" s="122">
        <v>0.01</v>
      </c>
      <c r="D72" s="107">
        <f t="shared" si="0"/>
        <v>19.12</v>
      </c>
    </row>
    <row r="73" spans="1:7">
      <c r="A73" s="105" t="s">
        <v>263</v>
      </c>
      <c r="B73" s="121" t="s">
        <v>9</v>
      </c>
      <c r="C73" s="122">
        <v>2E-3</v>
      </c>
      <c r="D73" s="107">
        <f t="shared" si="0"/>
        <v>3.82</v>
      </c>
    </row>
    <row r="74" spans="1:7">
      <c r="A74" s="191" t="s">
        <v>284</v>
      </c>
      <c r="B74" s="123" t="s">
        <v>10</v>
      </c>
      <c r="C74" s="122">
        <v>2.5000000000000001E-2</v>
      </c>
      <c r="D74" s="107">
        <f t="shared" si="0"/>
        <v>47.81</v>
      </c>
    </row>
    <row r="75" spans="1:7">
      <c r="A75" s="105" t="s">
        <v>286</v>
      </c>
      <c r="B75" s="121" t="s">
        <v>11</v>
      </c>
      <c r="C75" s="122">
        <v>0.08</v>
      </c>
      <c r="D75" s="107">
        <f t="shared" si="0"/>
        <v>153</v>
      </c>
    </row>
    <row r="76" spans="1:7" ht="31.5">
      <c r="A76" s="191" t="s">
        <v>288</v>
      </c>
      <c r="B76" s="123" t="s">
        <v>378</v>
      </c>
      <c r="C76" s="141">
        <v>3.0499999999999999E-2</v>
      </c>
      <c r="D76" s="245">
        <f t="shared" si="0"/>
        <v>58.33</v>
      </c>
    </row>
    <row r="77" spans="1:7" ht="16.5" thickBot="1">
      <c r="A77" s="124" t="s">
        <v>290</v>
      </c>
      <c r="B77" s="125" t="s">
        <v>12</v>
      </c>
      <c r="C77" s="126">
        <v>6.0000000000000001E-3</v>
      </c>
      <c r="D77" s="110">
        <f t="shared" si="0"/>
        <v>11.47</v>
      </c>
    </row>
    <row r="78" spans="1:7" ht="16.5" thickBot="1">
      <c r="A78" s="530" t="s">
        <v>7</v>
      </c>
      <c r="B78" s="531"/>
      <c r="C78" s="127">
        <f>SUM(C70:C77)</f>
        <v>0.36850000000000005</v>
      </c>
      <c r="D78" s="113">
        <f>SUM(D70:D77)</f>
        <v>704.74000000000012</v>
      </c>
    </row>
    <row r="79" spans="1:7">
      <c r="A79" s="534" t="s">
        <v>311</v>
      </c>
      <c r="B79" s="534"/>
      <c r="C79" s="534"/>
      <c r="D79" s="534"/>
    </row>
    <row r="80" spans="1:7" ht="16.5" customHeight="1">
      <c r="A80" s="534" t="s">
        <v>312</v>
      </c>
      <c r="B80" s="534"/>
      <c r="C80" s="534"/>
      <c r="D80" s="534"/>
    </row>
    <row r="81" spans="1:7">
      <c r="A81" s="190"/>
    </row>
    <row r="82" spans="1:7" ht="16.5" thickBot="1">
      <c r="A82" s="523" t="s">
        <v>313</v>
      </c>
      <c r="B82" s="523"/>
      <c r="C82" s="523"/>
      <c r="D82" s="523"/>
      <c r="E82" s="523"/>
      <c r="F82" s="523"/>
      <c r="G82" s="523"/>
    </row>
    <row r="83" spans="1:7" ht="16.5" thickBot="1">
      <c r="A83" s="117" t="s">
        <v>314</v>
      </c>
      <c r="B83" s="118" t="s">
        <v>315</v>
      </c>
      <c r="C83" s="117" t="s">
        <v>4</v>
      </c>
      <c r="D83" s="117" t="s">
        <v>279</v>
      </c>
    </row>
    <row r="84" spans="1:7">
      <c r="A84" s="82" t="s">
        <v>257</v>
      </c>
      <c r="B84" s="119" t="s">
        <v>316</v>
      </c>
      <c r="C84" s="120">
        <f>((5/56)*100)/100</f>
        <v>8.9285714285714288E-2</v>
      </c>
      <c r="D84" s="104">
        <f>ROUND($D$43*C84,2)</f>
        <v>170.76</v>
      </c>
    </row>
    <row r="85" spans="1:7">
      <c r="A85" s="105" t="s">
        <v>259</v>
      </c>
      <c r="B85" s="121" t="s">
        <v>317</v>
      </c>
      <c r="C85" s="128">
        <f>(1/3)*(5/56)</f>
        <v>2.976190476190476E-2</v>
      </c>
      <c r="D85" s="129">
        <f>ROUND($D$43*C85,2)</f>
        <v>56.92</v>
      </c>
    </row>
    <row r="86" spans="1:7">
      <c r="A86" s="130" t="s">
        <v>318</v>
      </c>
      <c r="B86" s="121"/>
      <c r="C86" s="131">
        <f>SUM(C84:C85)</f>
        <v>0.11904761904761904</v>
      </c>
      <c r="D86" s="132">
        <f>SUM(D84:D85)</f>
        <v>227.68</v>
      </c>
    </row>
    <row r="87" spans="1:7" ht="32.25" thickBot="1">
      <c r="A87" s="105" t="s">
        <v>261</v>
      </c>
      <c r="B87" s="121" t="s">
        <v>319</v>
      </c>
      <c r="C87" s="122">
        <f>D87/D43</f>
        <v>4.3869395736982321E-2</v>
      </c>
      <c r="D87" s="107">
        <f>ROUND(D78*C86,2)</f>
        <v>83.9</v>
      </c>
    </row>
    <row r="88" spans="1:7" ht="16.5" thickBot="1">
      <c r="A88" s="530" t="s">
        <v>7</v>
      </c>
      <c r="B88" s="531"/>
      <c r="C88" s="127">
        <f>C87+C86</f>
        <v>0.16291701478460135</v>
      </c>
      <c r="D88" s="113">
        <f>D86+D87</f>
        <v>311.58000000000004</v>
      </c>
    </row>
    <row r="89" spans="1:7">
      <c r="A89" s="190"/>
    </row>
    <row r="90" spans="1:7" ht="16.5" thickBot="1">
      <c r="A90" s="523" t="s">
        <v>320</v>
      </c>
      <c r="B90" s="523"/>
      <c r="C90" s="523"/>
      <c r="D90" s="523"/>
      <c r="E90" s="523"/>
      <c r="F90" s="523"/>
      <c r="G90" s="523"/>
    </row>
    <row r="91" spans="1:7" ht="16.5" thickBot="1">
      <c r="A91" s="117" t="s">
        <v>321</v>
      </c>
      <c r="B91" s="118" t="s">
        <v>322</v>
      </c>
      <c r="C91" s="117" t="s">
        <v>4</v>
      </c>
      <c r="D91" s="117" t="s">
        <v>279</v>
      </c>
    </row>
    <row r="92" spans="1:7">
      <c r="A92" s="82" t="s">
        <v>257</v>
      </c>
      <c r="B92" s="133" t="s">
        <v>323</v>
      </c>
      <c r="C92" s="120">
        <f>0.1111*0.02*0.3333</f>
        <v>7.4059259999999997E-4</v>
      </c>
      <c r="D92" s="104">
        <f>ROUND($D$43*C92,2)</f>
        <v>1.42</v>
      </c>
    </row>
    <row r="93" spans="1:7" ht="32.25" thickBot="1">
      <c r="A93" s="109" t="s">
        <v>259</v>
      </c>
      <c r="B93" s="134" t="s">
        <v>324</v>
      </c>
      <c r="C93" s="126">
        <f>D93/D43</f>
        <v>2.7189613567617167E-4</v>
      </c>
      <c r="D93" s="110">
        <f>ROUND(D78*C92,2)</f>
        <v>0.52</v>
      </c>
    </row>
    <row r="94" spans="1:7" ht="16.5" thickBot="1">
      <c r="A94" s="530" t="s">
        <v>7</v>
      </c>
      <c r="B94" s="531"/>
      <c r="C94" s="127">
        <f>SUM(C92:C93)</f>
        <v>1.0124887356761716E-3</v>
      </c>
      <c r="D94" s="113">
        <f>SUM(D92:D93)</f>
        <v>1.94</v>
      </c>
    </row>
    <row r="95" spans="1:7">
      <c r="A95" s="190"/>
    </row>
    <row r="96" spans="1:7">
      <c r="A96" s="190"/>
    </row>
    <row r="97" spans="1:7" ht="16.5" thickBot="1">
      <c r="A97" s="523" t="s">
        <v>325</v>
      </c>
      <c r="B97" s="523"/>
      <c r="C97" s="523"/>
      <c r="D97" s="523"/>
      <c r="E97" s="523"/>
      <c r="F97" s="523"/>
      <c r="G97" s="523"/>
    </row>
    <row r="98" spans="1:7" ht="16.5" thickBot="1">
      <c r="A98" s="117" t="s">
        <v>326</v>
      </c>
      <c r="B98" s="118" t="s">
        <v>327</v>
      </c>
      <c r="C98" s="117" t="s">
        <v>4</v>
      </c>
      <c r="D98" s="117" t="s">
        <v>279</v>
      </c>
    </row>
    <row r="99" spans="1:7">
      <c r="A99" s="82" t="s">
        <v>257</v>
      </c>
      <c r="B99" s="133" t="s">
        <v>328</v>
      </c>
      <c r="C99" s="135">
        <f>((1/12)*0.05)</f>
        <v>4.1666666666666666E-3</v>
      </c>
      <c r="D99" s="104">
        <f>ROUND($D$43*C99,2)</f>
        <v>7.97</v>
      </c>
    </row>
    <row r="100" spans="1:7" ht="31.5">
      <c r="A100" s="191" t="s">
        <v>259</v>
      </c>
      <c r="B100" s="91" t="s">
        <v>329</v>
      </c>
      <c r="C100" s="136">
        <f>D100/D43</f>
        <v>3.3464139775528823E-4</v>
      </c>
      <c r="D100" s="137">
        <f>ROUND(D75*C99,2)</f>
        <v>0.64</v>
      </c>
    </row>
    <row r="101" spans="1:7">
      <c r="A101" s="191" t="s">
        <v>261</v>
      </c>
      <c r="B101" s="138" t="s">
        <v>330</v>
      </c>
      <c r="C101" s="139">
        <f>0.08*0.5*0.9*(1+(5/56)+(5/56)+(1/3)*(5/56))</f>
        <v>4.3499999999999997E-2</v>
      </c>
      <c r="D101" s="107">
        <f>ROUND($D$43*C101,2)</f>
        <v>83.19</v>
      </c>
    </row>
    <row r="102" spans="1:7">
      <c r="A102" s="191" t="s">
        <v>263</v>
      </c>
      <c r="B102" s="138" t="s">
        <v>331</v>
      </c>
      <c r="C102" s="140">
        <f>(((7/30)/12))</f>
        <v>1.9444444444444445E-2</v>
      </c>
      <c r="D102" s="107">
        <f>ROUND($D$43*C102,2)</f>
        <v>37.19</v>
      </c>
    </row>
    <row r="103" spans="1:7" ht="31.5">
      <c r="A103" s="191" t="s">
        <v>284</v>
      </c>
      <c r="B103" s="138" t="s">
        <v>332</v>
      </c>
      <c r="C103" s="141">
        <f>D103/D43</f>
        <v>7.1634174206991379E-3</v>
      </c>
      <c r="D103" s="107">
        <f>ROUND(D78*C102,2)</f>
        <v>13.7</v>
      </c>
    </row>
    <row r="104" spans="1:7" ht="16.5" thickBot="1">
      <c r="A104" s="109" t="s">
        <v>286</v>
      </c>
      <c r="B104" s="134" t="s">
        <v>333</v>
      </c>
      <c r="C104" s="142">
        <f>(40%+10%)*C75*C102</f>
        <v>7.7777777777777784E-4</v>
      </c>
      <c r="D104" s="107">
        <f>ROUND($D$43*C104,2)</f>
        <v>1.49</v>
      </c>
    </row>
    <row r="105" spans="1:7" ht="16.5" thickBot="1">
      <c r="A105" s="525" t="s">
        <v>7</v>
      </c>
      <c r="B105" s="526"/>
      <c r="C105" s="127">
        <f>SUM(C99:C104)</f>
        <v>7.5386947707343305E-2</v>
      </c>
      <c r="D105" s="143">
        <f>SUM(D99:D104)</f>
        <v>144.18</v>
      </c>
    </row>
    <row r="106" spans="1:7">
      <c r="A106" s="71"/>
    </row>
    <row r="107" spans="1:7" ht="16.5" thickBot="1">
      <c r="A107" s="523" t="s">
        <v>334</v>
      </c>
      <c r="B107" s="523"/>
      <c r="C107" s="523"/>
      <c r="D107" s="523"/>
      <c r="E107" s="523"/>
      <c r="F107" s="523"/>
      <c r="G107" s="523"/>
    </row>
    <row r="108" spans="1:7" ht="32.25" thickBot="1">
      <c r="A108" s="117" t="s">
        <v>335</v>
      </c>
      <c r="B108" s="118" t="s">
        <v>336</v>
      </c>
      <c r="C108" s="117" t="s">
        <v>4</v>
      </c>
      <c r="D108" s="117" t="s">
        <v>279</v>
      </c>
    </row>
    <row r="109" spans="1:7">
      <c r="A109" s="82" t="s">
        <v>257</v>
      </c>
      <c r="B109" s="133" t="s">
        <v>13</v>
      </c>
      <c r="C109" s="144">
        <f>(5/56)</f>
        <v>8.9285714285714288E-2</v>
      </c>
      <c r="D109" s="107">
        <f t="shared" ref="D109:D114" si="1">ROUND($D$43*C109,2)</f>
        <v>170.76</v>
      </c>
    </row>
    <row r="110" spans="1:7">
      <c r="A110" s="191" t="s">
        <v>259</v>
      </c>
      <c r="B110" s="138" t="s">
        <v>379</v>
      </c>
      <c r="C110" s="122">
        <f>(10.96/30)/12</f>
        <v>3.0444444444444444E-2</v>
      </c>
      <c r="D110" s="107">
        <f t="shared" si="1"/>
        <v>58.22</v>
      </c>
      <c r="E110" s="184"/>
    </row>
    <row r="111" spans="1:7">
      <c r="A111" s="191" t="s">
        <v>261</v>
      </c>
      <c r="B111" s="138" t="s">
        <v>337</v>
      </c>
      <c r="C111" s="122">
        <f>((5/30)/12)*0.015</f>
        <v>2.0833333333333332E-4</v>
      </c>
      <c r="D111" s="107">
        <f t="shared" si="1"/>
        <v>0.4</v>
      </c>
    </row>
    <row r="112" spans="1:7">
      <c r="A112" s="191" t="s">
        <v>263</v>
      </c>
      <c r="B112" s="138" t="s">
        <v>338</v>
      </c>
      <c r="C112" s="122">
        <f>((1/30)/12)</f>
        <v>2.7777777777777779E-3</v>
      </c>
      <c r="D112" s="107">
        <f t="shared" si="1"/>
        <v>5.31</v>
      </c>
    </row>
    <row r="113" spans="1:7">
      <c r="A113" s="191" t="s">
        <v>284</v>
      </c>
      <c r="B113" s="138" t="s">
        <v>339</v>
      </c>
      <c r="C113" s="122">
        <f>((15/30)/12)*0.0078</f>
        <v>3.2499999999999999E-4</v>
      </c>
      <c r="D113" s="107">
        <f t="shared" si="1"/>
        <v>0.62</v>
      </c>
    </row>
    <row r="114" spans="1:7">
      <c r="A114" s="191" t="s">
        <v>286</v>
      </c>
      <c r="B114" s="138" t="s">
        <v>291</v>
      </c>
      <c r="C114" s="145"/>
      <c r="D114" s="107">
        <f t="shared" si="1"/>
        <v>0</v>
      </c>
    </row>
    <row r="115" spans="1:7">
      <c r="A115" s="532" t="s">
        <v>318</v>
      </c>
      <c r="B115" s="533"/>
      <c r="C115" s="122">
        <f>SUM(C109:C114)</f>
        <v>0.12304126984126985</v>
      </c>
      <c r="D115" s="107">
        <f>SUM(D109:D114)</f>
        <v>235.31</v>
      </c>
    </row>
    <row r="116" spans="1:7" ht="32.25" thickBot="1">
      <c r="A116" s="109" t="s">
        <v>288</v>
      </c>
      <c r="B116" s="134" t="s">
        <v>340</v>
      </c>
      <c r="C116" s="142">
        <f>D116/$D$43</f>
        <v>4.5338680624001627E-2</v>
      </c>
      <c r="D116" s="107">
        <f>ROUND(D78*C115,2)</f>
        <v>86.71</v>
      </c>
    </row>
    <row r="117" spans="1:7" ht="16.5" thickBot="1">
      <c r="A117" s="525" t="s">
        <v>7</v>
      </c>
      <c r="B117" s="526"/>
      <c r="C117" s="127">
        <f>C116+C115</f>
        <v>0.16837995046527149</v>
      </c>
      <c r="D117" s="146">
        <f>D116+D115</f>
        <v>322.02</v>
      </c>
    </row>
    <row r="118" spans="1:7">
      <c r="A118" s="190" t="s">
        <v>341</v>
      </c>
    </row>
    <row r="119" spans="1:7" ht="16.5" thickBot="1">
      <c r="A119" s="522" t="s">
        <v>342</v>
      </c>
      <c r="B119" s="522"/>
      <c r="C119" s="522"/>
      <c r="D119" s="522"/>
      <c r="E119" s="522"/>
      <c r="F119" s="522"/>
      <c r="G119" s="522"/>
    </row>
    <row r="120" spans="1:7" ht="32.25" customHeight="1" thickBot="1">
      <c r="A120" s="147">
        <v>4</v>
      </c>
      <c r="B120" s="148" t="s">
        <v>343</v>
      </c>
      <c r="C120" s="149" t="s">
        <v>4</v>
      </c>
      <c r="D120" s="150" t="s">
        <v>279</v>
      </c>
    </row>
    <row r="121" spans="1:7">
      <c r="A121" s="82" t="s">
        <v>307</v>
      </c>
      <c r="B121" s="133" t="s">
        <v>344</v>
      </c>
      <c r="C121" s="142">
        <f t="shared" ref="C121:C126" si="2">D121/$D$43</f>
        <v>0.16291807298842612</v>
      </c>
      <c r="D121" s="107">
        <f>D88</f>
        <v>311.58000000000004</v>
      </c>
    </row>
    <row r="122" spans="1:7">
      <c r="A122" s="191" t="s">
        <v>314</v>
      </c>
      <c r="B122" s="138" t="s">
        <v>308</v>
      </c>
      <c r="C122" s="142">
        <f t="shared" si="2"/>
        <v>0.36849246664697166</v>
      </c>
      <c r="D122" s="107">
        <f>D78</f>
        <v>704.74000000000012</v>
      </c>
    </row>
    <row r="123" spans="1:7">
      <c r="A123" s="191" t="s">
        <v>321</v>
      </c>
      <c r="B123" s="138" t="s">
        <v>323</v>
      </c>
      <c r="C123" s="142">
        <f t="shared" si="2"/>
        <v>1.0143817369457175E-3</v>
      </c>
      <c r="D123" s="107">
        <f>D94</f>
        <v>1.94</v>
      </c>
    </row>
    <row r="124" spans="1:7">
      <c r="A124" s="151" t="s">
        <v>326</v>
      </c>
      <c r="B124" s="152" t="s">
        <v>345</v>
      </c>
      <c r="C124" s="142">
        <f t="shared" si="2"/>
        <v>7.5388432388058535E-2</v>
      </c>
      <c r="D124" s="107">
        <f>D105</f>
        <v>144.18</v>
      </c>
    </row>
    <row r="125" spans="1:7">
      <c r="A125" s="153" t="s">
        <v>335</v>
      </c>
      <c r="B125" s="154" t="s">
        <v>346</v>
      </c>
      <c r="C125" s="142">
        <f t="shared" si="2"/>
        <v>0.16837691078930922</v>
      </c>
      <c r="D125" s="107">
        <f>D117</f>
        <v>322.02</v>
      </c>
    </row>
    <row r="126" spans="1:7" ht="16.5" thickBot="1">
      <c r="A126" s="191" t="s">
        <v>347</v>
      </c>
      <c r="B126" s="138" t="s">
        <v>291</v>
      </c>
      <c r="C126" s="142">
        <f t="shared" si="2"/>
        <v>0</v>
      </c>
      <c r="D126" s="107">
        <v>0</v>
      </c>
    </row>
    <row r="127" spans="1:7" ht="37.5" customHeight="1" thickBot="1">
      <c r="A127" s="530" t="s">
        <v>348</v>
      </c>
      <c r="B127" s="531"/>
      <c r="C127" s="127">
        <f>SUM(C121:C126)</f>
        <v>0.77619026454971118</v>
      </c>
      <c r="D127" s="113">
        <f>SUM(D121:D126)</f>
        <v>1484.4600000000003</v>
      </c>
    </row>
    <row r="128" spans="1:7">
      <c r="A128" s="155"/>
      <c r="B128" s="155"/>
      <c r="C128" s="156"/>
      <c r="D128" s="157"/>
      <c r="E128" s="158"/>
      <c r="F128" s="159"/>
      <c r="G128" s="159"/>
    </row>
    <row r="129" spans="1:8" ht="16.5" thickBot="1">
      <c r="A129" s="522" t="s">
        <v>349</v>
      </c>
      <c r="B129" s="522"/>
      <c r="C129" s="522"/>
      <c r="D129" s="522"/>
      <c r="E129" s="522"/>
      <c r="F129" s="522"/>
      <c r="G129" s="522"/>
      <c r="H129" s="160"/>
    </row>
    <row r="130" spans="1:8" ht="16.5" thickBot="1">
      <c r="A130" s="147" t="s">
        <v>350</v>
      </c>
      <c r="B130" s="148" t="s">
        <v>351</v>
      </c>
      <c r="C130" s="149" t="s">
        <v>4</v>
      </c>
      <c r="D130" s="114" t="s">
        <v>279</v>
      </c>
      <c r="E130" s="161">
        <f>D43+D54+D64+D78+D88+D94+D105+D117</f>
        <v>4056.8126666666667</v>
      </c>
      <c r="G130" s="160"/>
    </row>
    <row r="131" spans="1:8">
      <c r="A131" s="82" t="s">
        <v>257</v>
      </c>
      <c r="B131" s="133" t="s">
        <v>352</v>
      </c>
      <c r="C131" s="162">
        <v>6.9847999999999993E-2</v>
      </c>
      <c r="D131" s="163">
        <f>E130*C131</f>
        <v>283.36025114133332</v>
      </c>
      <c r="G131" s="160"/>
    </row>
    <row r="132" spans="1:8">
      <c r="A132" s="191" t="s">
        <v>259</v>
      </c>
      <c r="B132" s="138" t="s">
        <v>353</v>
      </c>
      <c r="C132" s="142"/>
      <c r="D132" s="164"/>
      <c r="F132" s="165"/>
    </row>
    <row r="133" spans="1:8">
      <c r="A133" s="191"/>
      <c r="B133" s="138" t="s">
        <v>354</v>
      </c>
      <c r="C133" s="142"/>
      <c r="D133" s="129"/>
      <c r="F133" s="182"/>
      <c r="G133" s="160"/>
    </row>
    <row r="134" spans="1:8">
      <c r="A134" s="191"/>
      <c r="B134" s="138" t="s">
        <v>355</v>
      </c>
      <c r="C134" s="142">
        <v>7.5999999999999998E-2</v>
      </c>
      <c r="D134" s="107">
        <f>$D$152*C134</f>
        <v>383.41873704092086</v>
      </c>
      <c r="E134" s="165">
        <f>D152</f>
        <v>5044.9833821173797</v>
      </c>
      <c r="G134" s="160"/>
    </row>
    <row r="135" spans="1:8">
      <c r="A135" s="191"/>
      <c r="B135" s="138" t="s">
        <v>356</v>
      </c>
      <c r="C135" s="142">
        <v>1.6500000000000001E-2</v>
      </c>
      <c r="D135" s="107">
        <f>$D$152*C135</f>
        <v>83.242225804936766</v>
      </c>
      <c r="E135" s="246"/>
      <c r="G135" s="160"/>
    </row>
    <row r="136" spans="1:8">
      <c r="A136" s="191"/>
      <c r="B136" s="138" t="s">
        <v>357</v>
      </c>
      <c r="C136" s="142"/>
      <c r="D136" s="107"/>
    </row>
    <row r="137" spans="1:8">
      <c r="A137" s="191"/>
      <c r="B137" s="138" t="s">
        <v>358</v>
      </c>
      <c r="C137" s="142">
        <v>0.03</v>
      </c>
      <c r="D137" s="107">
        <f>$D$152*C137</f>
        <v>151.34950146352139</v>
      </c>
      <c r="G137" s="160"/>
    </row>
    <row r="138" spans="1:8">
      <c r="A138" s="191"/>
      <c r="B138" s="138" t="s">
        <v>359</v>
      </c>
      <c r="C138" s="142"/>
      <c r="D138" s="107"/>
    </row>
    <row r="139" spans="1:8" ht="16.5" thickBot="1">
      <c r="A139" s="191" t="s">
        <v>261</v>
      </c>
      <c r="B139" s="138" t="s">
        <v>360</v>
      </c>
      <c r="C139" s="142">
        <v>0.02</v>
      </c>
      <c r="D139" s="107">
        <f>ROUND(E139*C139,2)</f>
        <v>86.8</v>
      </c>
      <c r="E139" s="132">
        <f>E130+D131</f>
        <v>4340.1729178080004</v>
      </c>
    </row>
    <row r="140" spans="1:8" ht="33" customHeight="1" thickBot="1">
      <c r="A140" s="527" t="s">
        <v>361</v>
      </c>
      <c r="B140" s="528"/>
      <c r="C140" s="529"/>
      <c r="D140" s="166">
        <f>D131+D134+D135+D137+D139</f>
        <v>988.17071545071224</v>
      </c>
    </row>
    <row r="141" spans="1:8">
      <c r="A141" s="522" t="s">
        <v>362</v>
      </c>
      <c r="B141" s="522"/>
      <c r="C141" s="522"/>
      <c r="D141" s="522"/>
      <c r="E141" s="522"/>
      <c r="F141" s="522"/>
      <c r="G141" s="522"/>
    </row>
    <row r="142" spans="1:8">
      <c r="A142" s="522" t="s">
        <v>363</v>
      </c>
      <c r="B142" s="522"/>
      <c r="C142" s="522"/>
      <c r="D142" s="522"/>
      <c r="E142" s="522"/>
      <c r="F142" s="522"/>
      <c r="G142" s="522"/>
    </row>
    <row r="143" spans="1:8">
      <c r="A143" s="190"/>
    </row>
    <row r="144" spans="1:8" ht="16.5" thickBot="1">
      <c r="A144" s="523" t="s">
        <v>364</v>
      </c>
      <c r="B144" s="523"/>
      <c r="C144" s="523"/>
      <c r="D144" s="523"/>
      <c r="E144" s="523"/>
      <c r="F144" s="523"/>
      <c r="G144" s="523"/>
    </row>
    <row r="145" spans="1:8" ht="32.25" customHeight="1" thickBot="1">
      <c r="A145" s="147"/>
      <c r="B145" s="524" t="s">
        <v>365</v>
      </c>
      <c r="C145" s="524"/>
      <c r="D145" s="167" t="s">
        <v>366</v>
      </c>
    </row>
    <row r="146" spans="1:8">
      <c r="A146" s="191" t="s">
        <v>257</v>
      </c>
      <c r="B146" s="138" t="s">
        <v>367</v>
      </c>
      <c r="C146" s="122">
        <f t="shared" ref="C146:C151" si="3">D146/$D$152</f>
        <v>0.37908846375571725</v>
      </c>
      <c r="D146" s="129">
        <f>D43</f>
        <v>1912.4950000000001</v>
      </c>
    </row>
    <row r="147" spans="1:8">
      <c r="A147" s="191" t="s">
        <v>259</v>
      </c>
      <c r="B147" s="138" t="s">
        <v>368</v>
      </c>
      <c r="C147" s="122">
        <f t="shared" si="3"/>
        <v>0.11861968375447264</v>
      </c>
      <c r="D147" s="129">
        <f>D54</f>
        <v>598.43433333333337</v>
      </c>
    </row>
    <row r="148" spans="1:8" ht="31.5">
      <c r="A148" s="191" t="s">
        <v>261</v>
      </c>
      <c r="B148" s="138" t="s">
        <v>369</v>
      </c>
      <c r="C148" s="122">
        <f t="shared" si="3"/>
        <v>1.2175130953068464E-2</v>
      </c>
      <c r="D148" s="129">
        <f>D64</f>
        <v>61.423333333333332</v>
      </c>
      <c r="E148" s="165">
        <f>D150+D131+D139</f>
        <v>4426.9729178080006</v>
      </c>
    </row>
    <row r="149" spans="1:8" ht="31.5">
      <c r="A149" s="191" t="s">
        <v>263</v>
      </c>
      <c r="B149" s="138" t="s">
        <v>370</v>
      </c>
      <c r="C149" s="122">
        <f t="shared" si="3"/>
        <v>0.29424477497029383</v>
      </c>
      <c r="D149" s="129">
        <f>D127</f>
        <v>1484.4600000000003</v>
      </c>
      <c r="E149" s="174">
        <f>C137+C135+C134</f>
        <v>0.1225</v>
      </c>
    </row>
    <row r="150" spans="1:8" ht="16.5" customHeight="1">
      <c r="A150" s="168" t="s">
        <v>371</v>
      </c>
      <c r="B150" s="169"/>
      <c r="C150" s="131">
        <f t="shared" si="3"/>
        <v>0.80412805343355209</v>
      </c>
      <c r="D150" s="170">
        <f>SUM(D146:D149)</f>
        <v>4056.8126666666667</v>
      </c>
      <c r="E150" s="174">
        <f>100%-E149</f>
        <v>0.87749999999999995</v>
      </c>
    </row>
    <row r="151" spans="1:8" ht="32.25" thickBot="1">
      <c r="A151" s="191" t="s">
        <v>284</v>
      </c>
      <c r="B151" s="138" t="s">
        <v>372</v>
      </c>
      <c r="C151" s="122">
        <f t="shared" si="3"/>
        <v>0.19587194656644774</v>
      </c>
      <c r="D151" s="129">
        <f>D140</f>
        <v>988.17071545071224</v>
      </c>
      <c r="G151" s="171"/>
    </row>
    <row r="152" spans="1:8" ht="16.5" customHeight="1" thickBot="1">
      <c r="A152" s="525" t="s">
        <v>373</v>
      </c>
      <c r="B152" s="526"/>
      <c r="C152" s="127">
        <f>C151+C150</f>
        <v>0.99999999999999978</v>
      </c>
      <c r="D152" s="166">
        <f>(D150+D139+D131)/0.8775</f>
        <v>5044.9833821173797</v>
      </c>
      <c r="E152" s="171"/>
      <c r="F152" s="165">
        <f>D150+D151</f>
        <v>5044.9833821173788</v>
      </c>
      <c r="H152" s="172"/>
    </row>
    <row r="153" spans="1:8">
      <c r="E153" s="171"/>
    </row>
    <row r="154" spans="1:8">
      <c r="A154" s="186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1.299212598425197" right="0.51181102362204722" top="2.1653543307086616" bottom="0.98425196850393704" header="0.31496062992125984" footer="0.31496062992125984"/>
  <pageSetup paperSize="9" scale="79" fitToHeight="4" orientation="portrait" r:id="rId1"/>
  <headerFooter alignWithMargins="0"/>
  <rowBreaks count="3" manualBreakCount="3">
    <brk id="43" max="3" man="1"/>
    <brk id="88" max="3" man="1"/>
    <brk id="128" max="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154"/>
  <sheetViews>
    <sheetView showGridLines="0" view="pageBreakPreview" topLeftCell="A22" zoomScale="90" zoomScaleSheetLayoutView="90" workbookViewId="0">
      <selection activeCell="D48" sqref="D48"/>
    </sheetView>
  </sheetViews>
  <sheetFormatPr defaultRowHeight="15.75"/>
  <cols>
    <col min="1" max="1" width="9.28515625" style="53" customWidth="1"/>
    <col min="2" max="2" width="39.85546875" style="53" customWidth="1"/>
    <col min="3" max="3" width="18.28515625" style="53" customWidth="1"/>
    <col min="4" max="4" width="23.85546875" style="53" customWidth="1"/>
    <col min="5" max="5" width="16" style="53" bestFit="1" customWidth="1"/>
    <col min="6" max="6" width="13.7109375" style="53" bestFit="1" customWidth="1"/>
    <col min="7" max="7" width="15.7109375" style="53" bestFit="1" customWidth="1"/>
    <col min="8" max="8" width="13.140625" style="53" bestFit="1" customWidth="1"/>
    <col min="9" max="9" width="11.85546875" style="53" bestFit="1" customWidth="1"/>
    <col min="10" max="10" width="12.85546875" style="53" bestFit="1" customWidth="1"/>
    <col min="11" max="256" width="9.140625" style="53"/>
    <col min="257" max="257" width="9.28515625" style="53" customWidth="1"/>
    <col min="258" max="258" width="39.85546875" style="53" customWidth="1"/>
    <col min="259" max="259" width="18.28515625" style="53" customWidth="1"/>
    <col min="260" max="260" width="23.85546875" style="53" customWidth="1"/>
    <col min="261" max="261" width="16" style="53" bestFit="1" customWidth="1"/>
    <col min="262" max="262" width="13.7109375" style="53" bestFit="1" customWidth="1"/>
    <col min="263" max="263" width="15.7109375" style="53" bestFit="1" customWidth="1"/>
    <col min="264" max="264" width="13.140625" style="53" bestFit="1" customWidth="1"/>
    <col min="265" max="265" width="11.85546875" style="53" bestFit="1" customWidth="1"/>
    <col min="266" max="266" width="12.85546875" style="53" bestFit="1" customWidth="1"/>
    <col min="267" max="512" width="9.140625" style="53"/>
    <col min="513" max="513" width="9.28515625" style="53" customWidth="1"/>
    <col min="514" max="514" width="39.85546875" style="53" customWidth="1"/>
    <col min="515" max="515" width="18.28515625" style="53" customWidth="1"/>
    <col min="516" max="516" width="23.85546875" style="53" customWidth="1"/>
    <col min="517" max="517" width="16" style="53" bestFit="1" customWidth="1"/>
    <col min="518" max="518" width="13.7109375" style="53" bestFit="1" customWidth="1"/>
    <col min="519" max="519" width="15.7109375" style="53" bestFit="1" customWidth="1"/>
    <col min="520" max="520" width="13.140625" style="53" bestFit="1" customWidth="1"/>
    <col min="521" max="521" width="11.85546875" style="53" bestFit="1" customWidth="1"/>
    <col min="522" max="522" width="12.85546875" style="53" bestFit="1" customWidth="1"/>
    <col min="523" max="768" width="9.140625" style="53"/>
    <col min="769" max="769" width="9.28515625" style="53" customWidth="1"/>
    <col min="770" max="770" width="39.85546875" style="53" customWidth="1"/>
    <col min="771" max="771" width="18.28515625" style="53" customWidth="1"/>
    <col min="772" max="772" width="23.85546875" style="53" customWidth="1"/>
    <col min="773" max="773" width="16" style="53" bestFit="1" customWidth="1"/>
    <col min="774" max="774" width="13.7109375" style="53" bestFit="1" customWidth="1"/>
    <col min="775" max="775" width="15.7109375" style="53" bestFit="1" customWidth="1"/>
    <col min="776" max="776" width="13.140625" style="53" bestFit="1" customWidth="1"/>
    <col min="777" max="777" width="11.85546875" style="53" bestFit="1" customWidth="1"/>
    <col min="778" max="778" width="12.85546875" style="53" bestFit="1" customWidth="1"/>
    <col min="779" max="1024" width="9.140625" style="53"/>
    <col min="1025" max="1025" width="9.28515625" style="53" customWidth="1"/>
    <col min="1026" max="1026" width="39.85546875" style="53" customWidth="1"/>
    <col min="1027" max="1027" width="18.28515625" style="53" customWidth="1"/>
    <col min="1028" max="1028" width="23.85546875" style="53" customWidth="1"/>
    <col min="1029" max="1029" width="16" style="53" bestFit="1" customWidth="1"/>
    <col min="1030" max="1030" width="13.7109375" style="53" bestFit="1" customWidth="1"/>
    <col min="1031" max="1031" width="15.7109375" style="53" bestFit="1" customWidth="1"/>
    <col min="1032" max="1032" width="13.140625" style="53" bestFit="1" customWidth="1"/>
    <col min="1033" max="1033" width="11.85546875" style="53" bestFit="1" customWidth="1"/>
    <col min="1034" max="1034" width="12.85546875" style="53" bestFit="1" customWidth="1"/>
    <col min="1035" max="1280" width="9.140625" style="53"/>
    <col min="1281" max="1281" width="9.28515625" style="53" customWidth="1"/>
    <col min="1282" max="1282" width="39.85546875" style="53" customWidth="1"/>
    <col min="1283" max="1283" width="18.28515625" style="53" customWidth="1"/>
    <col min="1284" max="1284" width="23.85546875" style="53" customWidth="1"/>
    <col min="1285" max="1285" width="16" style="53" bestFit="1" customWidth="1"/>
    <col min="1286" max="1286" width="13.7109375" style="53" bestFit="1" customWidth="1"/>
    <col min="1287" max="1287" width="15.7109375" style="53" bestFit="1" customWidth="1"/>
    <col min="1288" max="1288" width="13.140625" style="53" bestFit="1" customWidth="1"/>
    <col min="1289" max="1289" width="11.85546875" style="53" bestFit="1" customWidth="1"/>
    <col min="1290" max="1290" width="12.85546875" style="53" bestFit="1" customWidth="1"/>
    <col min="1291" max="1536" width="9.140625" style="53"/>
    <col min="1537" max="1537" width="9.28515625" style="53" customWidth="1"/>
    <col min="1538" max="1538" width="39.85546875" style="53" customWidth="1"/>
    <col min="1539" max="1539" width="18.28515625" style="53" customWidth="1"/>
    <col min="1540" max="1540" width="23.85546875" style="53" customWidth="1"/>
    <col min="1541" max="1541" width="16" style="53" bestFit="1" customWidth="1"/>
    <col min="1542" max="1542" width="13.7109375" style="53" bestFit="1" customWidth="1"/>
    <col min="1543" max="1543" width="15.7109375" style="53" bestFit="1" customWidth="1"/>
    <col min="1544" max="1544" width="13.140625" style="53" bestFit="1" customWidth="1"/>
    <col min="1545" max="1545" width="11.85546875" style="53" bestFit="1" customWidth="1"/>
    <col min="1546" max="1546" width="12.85546875" style="53" bestFit="1" customWidth="1"/>
    <col min="1547" max="1792" width="9.140625" style="53"/>
    <col min="1793" max="1793" width="9.28515625" style="53" customWidth="1"/>
    <col min="1794" max="1794" width="39.85546875" style="53" customWidth="1"/>
    <col min="1795" max="1795" width="18.28515625" style="53" customWidth="1"/>
    <col min="1796" max="1796" width="23.85546875" style="53" customWidth="1"/>
    <col min="1797" max="1797" width="16" style="53" bestFit="1" customWidth="1"/>
    <col min="1798" max="1798" width="13.7109375" style="53" bestFit="1" customWidth="1"/>
    <col min="1799" max="1799" width="15.7109375" style="53" bestFit="1" customWidth="1"/>
    <col min="1800" max="1800" width="13.140625" style="53" bestFit="1" customWidth="1"/>
    <col min="1801" max="1801" width="11.85546875" style="53" bestFit="1" customWidth="1"/>
    <col min="1802" max="1802" width="12.85546875" style="53" bestFit="1" customWidth="1"/>
    <col min="1803" max="2048" width="9.140625" style="53"/>
    <col min="2049" max="2049" width="9.28515625" style="53" customWidth="1"/>
    <col min="2050" max="2050" width="39.85546875" style="53" customWidth="1"/>
    <col min="2051" max="2051" width="18.28515625" style="53" customWidth="1"/>
    <col min="2052" max="2052" width="23.85546875" style="53" customWidth="1"/>
    <col min="2053" max="2053" width="16" style="53" bestFit="1" customWidth="1"/>
    <col min="2054" max="2054" width="13.7109375" style="53" bestFit="1" customWidth="1"/>
    <col min="2055" max="2055" width="15.7109375" style="53" bestFit="1" customWidth="1"/>
    <col min="2056" max="2056" width="13.140625" style="53" bestFit="1" customWidth="1"/>
    <col min="2057" max="2057" width="11.85546875" style="53" bestFit="1" customWidth="1"/>
    <col min="2058" max="2058" width="12.85546875" style="53" bestFit="1" customWidth="1"/>
    <col min="2059" max="2304" width="9.140625" style="53"/>
    <col min="2305" max="2305" width="9.28515625" style="53" customWidth="1"/>
    <col min="2306" max="2306" width="39.85546875" style="53" customWidth="1"/>
    <col min="2307" max="2307" width="18.28515625" style="53" customWidth="1"/>
    <col min="2308" max="2308" width="23.85546875" style="53" customWidth="1"/>
    <col min="2309" max="2309" width="16" style="53" bestFit="1" customWidth="1"/>
    <col min="2310" max="2310" width="13.7109375" style="53" bestFit="1" customWidth="1"/>
    <col min="2311" max="2311" width="15.7109375" style="53" bestFit="1" customWidth="1"/>
    <col min="2312" max="2312" width="13.140625" style="53" bestFit="1" customWidth="1"/>
    <col min="2313" max="2313" width="11.85546875" style="53" bestFit="1" customWidth="1"/>
    <col min="2314" max="2314" width="12.85546875" style="53" bestFit="1" customWidth="1"/>
    <col min="2315" max="2560" width="9.140625" style="53"/>
    <col min="2561" max="2561" width="9.28515625" style="53" customWidth="1"/>
    <col min="2562" max="2562" width="39.85546875" style="53" customWidth="1"/>
    <col min="2563" max="2563" width="18.28515625" style="53" customWidth="1"/>
    <col min="2564" max="2564" width="23.85546875" style="53" customWidth="1"/>
    <col min="2565" max="2565" width="16" style="53" bestFit="1" customWidth="1"/>
    <col min="2566" max="2566" width="13.7109375" style="53" bestFit="1" customWidth="1"/>
    <col min="2567" max="2567" width="15.7109375" style="53" bestFit="1" customWidth="1"/>
    <col min="2568" max="2568" width="13.140625" style="53" bestFit="1" customWidth="1"/>
    <col min="2569" max="2569" width="11.85546875" style="53" bestFit="1" customWidth="1"/>
    <col min="2570" max="2570" width="12.85546875" style="53" bestFit="1" customWidth="1"/>
    <col min="2571" max="2816" width="9.140625" style="53"/>
    <col min="2817" max="2817" width="9.28515625" style="53" customWidth="1"/>
    <col min="2818" max="2818" width="39.85546875" style="53" customWidth="1"/>
    <col min="2819" max="2819" width="18.28515625" style="53" customWidth="1"/>
    <col min="2820" max="2820" width="23.85546875" style="53" customWidth="1"/>
    <col min="2821" max="2821" width="16" style="53" bestFit="1" customWidth="1"/>
    <col min="2822" max="2822" width="13.7109375" style="53" bestFit="1" customWidth="1"/>
    <col min="2823" max="2823" width="15.7109375" style="53" bestFit="1" customWidth="1"/>
    <col min="2824" max="2824" width="13.140625" style="53" bestFit="1" customWidth="1"/>
    <col min="2825" max="2825" width="11.85546875" style="53" bestFit="1" customWidth="1"/>
    <col min="2826" max="2826" width="12.85546875" style="53" bestFit="1" customWidth="1"/>
    <col min="2827" max="3072" width="9.140625" style="53"/>
    <col min="3073" max="3073" width="9.28515625" style="53" customWidth="1"/>
    <col min="3074" max="3074" width="39.85546875" style="53" customWidth="1"/>
    <col min="3075" max="3075" width="18.28515625" style="53" customWidth="1"/>
    <col min="3076" max="3076" width="23.85546875" style="53" customWidth="1"/>
    <col min="3077" max="3077" width="16" style="53" bestFit="1" customWidth="1"/>
    <col min="3078" max="3078" width="13.7109375" style="53" bestFit="1" customWidth="1"/>
    <col min="3079" max="3079" width="15.7109375" style="53" bestFit="1" customWidth="1"/>
    <col min="3080" max="3080" width="13.140625" style="53" bestFit="1" customWidth="1"/>
    <col min="3081" max="3081" width="11.85546875" style="53" bestFit="1" customWidth="1"/>
    <col min="3082" max="3082" width="12.85546875" style="53" bestFit="1" customWidth="1"/>
    <col min="3083" max="3328" width="9.140625" style="53"/>
    <col min="3329" max="3329" width="9.28515625" style="53" customWidth="1"/>
    <col min="3330" max="3330" width="39.85546875" style="53" customWidth="1"/>
    <col min="3331" max="3331" width="18.28515625" style="53" customWidth="1"/>
    <col min="3332" max="3332" width="23.85546875" style="53" customWidth="1"/>
    <col min="3333" max="3333" width="16" style="53" bestFit="1" customWidth="1"/>
    <col min="3334" max="3334" width="13.7109375" style="53" bestFit="1" customWidth="1"/>
    <col min="3335" max="3335" width="15.7109375" style="53" bestFit="1" customWidth="1"/>
    <col min="3336" max="3336" width="13.140625" style="53" bestFit="1" customWidth="1"/>
    <col min="3337" max="3337" width="11.85546875" style="53" bestFit="1" customWidth="1"/>
    <col min="3338" max="3338" width="12.85546875" style="53" bestFit="1" customWidth="1"/>
    <col min="3339" max="3584" width="9.140625" style="53"/>
    <col min="3585" max="3585" width="9.28515625" style="53" customWidth="1"/>
    <col min="3586" max="3586" width="39.85546875" style="53" customWidth="1"/>
    <col min="3587" max="3587" width="18.28515625" style="53" customWidth="1"/>
    <col min="3588" max="3588" width="23.85546875" style="53" customWidth="1"/>
    <col min="3589" max="3589" width="16" style="53" bestFit="1" customWidth="1"/>
    <col min="3590" max="3590" width="13.7109375" style="53" bestFit="1" customWidth="1"/>
    <col min="3591" max="3591" width="15.7109375" style="53" bestFit="1" customWidth="1"/>
    <col min="3592" max="3592" width="13.140625" style="53" bestFit="1" customWidth="1"/>
    <col min="3593" max="3593" width="11.85546875" style="53" bestFit="1" customWidth="1"/>
    <col min="3594" max="3594" width="12.85546875" style="53" bestFit="1" customWidth="1"/>
    <col min="3595" max="3840" width="9.140625" style="53"/>
    <col min="3841" max="3841" width="9.28515625" style="53" customWidth="1"/>
    <col min="3842" max="3842" width="39.85546875" style="53" customWidth="1"/>
    <col min="3843" max="3843" width="18.28515625" style="53" customWidth="1"/>
    <col min="3844" max="3844" width="23.85546875" style="53" customWidth="1"/>
    <col min="3845" max="3845" width="16" style="53" bestFit="1" customWidth="1"/>
    <col min="3846" max="3846" width="13.7109375" style="53" bestFit="1" customWidth="1"/>
    <col min="3847" max="3847" width="15.7109375" style="53" bestFit="1" customWidth="1"/>
    <col min="3848" max="3848" width="13.140625" style="53" bestFit="1" customWidth="1"/>
    <col min="3849" max="3849" width="11.85546875" style="53" bestFit="1" customWidth="1"/>
    <col min="3850" max="3850" width="12.85546875" style="53" bestFit="1" customWidth="1"/>
    <col min="3851" max="4096" width="9.140625" style="53"/>
    <col min="4097" max="4097" width="9.28515625" style="53" customWidth="1"/>
    <col min="4098" max="4098" width="39.85546875" style="53" customWidth="1"/>
    <col min="4099" max="4099" width="18.28515625" style="53" customWidth="1"/>
    <col min="4100" max="4100" width="23.85546875" style="53" customWidth="1"/>
    <col min="4101" max="4101" width="16" style="53" bestFit="1" customWidth="1"/>
    <col min="4102" max="4102" width="13.7109375" style="53" bestFit="1" customWidth="1"/>
    <col min="4103" max="4103" width="15.7109375" style="53" bestFit="1" customWidth="1"/>
    <col min="4104" max="4104" width="13.140625" style="53" bestFit="1" customWidth="1"/>
    <col min="4105" max="4105" width="11.85546875" style="53" bestFit="1" customWidth="1"/>
    <col min="4106" max="4106" width="12.85546875" style="53" bestFit="1" customWidth="1"/>
    <col min="4107" max="4352" width="9.140625" style="53"/>
    <col min="4353" max="4353" width="9.28515625" style="53" customWidth="1"/>
    <col min="4354" max="4354" width="39.85546875" style="53" customWidth="1"/>
    <col min="4355" max="4355" width="18.28515625" style="53" customWidth="1"/>
    <col min="4356" max="4356" width="23.85546875" style="53" customWidth="1"/>
    <col min="4357" max="4357" width="16" style="53" bestFit="1" customWidth="1"/>
    <col min="4358" max="4358" width="13.7109375" style="53" bestFit="1" customWidth="1"/>
    <col min="4359" max="4359" width="15.7109375" style="53" bestFit="1" customWidth="1"/>
    <col min="4360" max="4360" width="13.140625" style="53" bestFit="1" customWidth="1"/>
    <col min="4361" max="4361" width="11.85546875" style="53" bestFit="1" customWidth="1"/>
    <col min="4362" max="4362" width="12.85546875" style="53" bestFit="1" customWidth="1"/>
    <col min="4363" max="4608" width="9.140625" style="53"/>
    <col min="4609" max="4609" width="9.28515625" style="53" customWidth="1"/>
    <col min="4610" max="4610" width="39.85546875" style="53" customWidth="1"/>
    <col min="4611" max="4611" width="18.28515625" style="53" customWidth="1"/>
    <col min="4612" max="4612" width="23.85546875" style="53" customWidth="1"/>
    <col min="4613" max="4613" width="16" style="53" bestFit="1" customWidth="1"/>
    <col min="4614" max="4614" width="13.7109375" style="53" bestFit="1" customWidth="1"/>
    <col min="4615" max="4615" width="15.7109375" style="53" bestFit="1" customWidth="1"/>
    <col min="4616" max="4616" width="13.140625" style="53" bestFit="1" customWidth="1"/>
    <col min="4617" max="4617" width="11.85546875" style="53" bestFit="1" customWidth="1"/>
    <col min="4618" max="4618" width="12.85546875" style="53" bestFit="1" customWidth="1"/>
    <col min="4619" max="4864" width="9.140625" style="53"/>
    <col min="4865" max="4865" width="9.28515625" style="53" customWidth="1"/>
    <col min="4866" max="4866" width="39.85546875" style="53" customWidth="1"/>
    <col min="4867" max="4867" width="18.28515625" style="53" customWidth="1"/>
    <col min="4868" max="4868" width="23.85546875" style="53" customWidth="1"/>
    <col min="4869" max="4869" width="16" style="53" bestFit="1" customWidth="1"/>
    <col min="4870" max="4870" width="13.7109375" style="53" bestFit="1" customWidth="1"/>
    <col min="4871" max="4871" width="15.7109375" style="53" bestFit="1" customWidth="1"/>
    <col min="4872" max="4872" width="13.140625" style="53" bestFit="1" customWidth="1"/>
    <col min="4873" max="4873" width="11.85546875" style="53" bestFit="1" customWidth="1"/>
    <col min="4874" max="4874" width="12.85546875" style="53" bestFit="1" customWidth="1"/>
    <col min="4875" max="5120" width="9.140625" style="53"/>
    <col min="5121" max="5121" width="9.28515625" style="53" customWidth="1"/>
    <col min="5122" max="5122" width="39.85546875" style="53" customWidth="1"/>
    <col min="5123" max="5123" width="18.28515625" style="53" customWidth="1"/>
    <col min="5124" max="5124" width="23.85546875" style="53" customWidth="1"/>
    <col min="5125" max="5125" width="16" style="53" bestFit="1" customWidth="1"/>
    <col min="5126" max="5126" width="13.7109375" style="53" bestFit="1" customWidth="1"/>
    <col min="5127" max="5127" width="15.7109375" style="53" bestFit="1" customWidth="1"/>
    <col min="5128" max="5128" width="13.140625" style="53" bestFit="1" customWidth="1"/>
    <col min="5129" max="5129" width="11.85546875" style="53" bestFit="1" customWidth="1"/>
    <col min="5130" max="5130" width="12.85546875" style="53" bestFit="1" customWidth="1"/>
    <col min="5131" max="5376" width="9.140625" style="53"/>
    <col min="5377" max="5377" width="9.28515625" style="53" customWidth="1"/>
    <col min="5378" max="5378" width="39.85546875" style="53" customWidth="1"/>
    <col min="5379" max="5379" width="18.28515625" style="53" customWidth="1"/>
    <col min="5380" max="5380" width="23.85546875" style="53" customWidth="1"/>
    <col min="5381" max="5381" width="16" style="53" bestFit="1" customWidth="1"/>
    <col min="5382" max="5382" width="13.7109375" style="53" bestFit="1" customWidth="1"/>
    <col min="5383" max="5383" width="15.7109375" style="53" bestFit="1" customWidth="1"/>
    <col min="5384" max="5384" width="13.140625" style="53" bestFit="1" customWidth="1"/>
    <col min="5385" max="5385" width="11.85546875" style="53" bestFit="1" customWidth="1"/>
    <col min="5386" max="5386" width="12.85546875" style="53" bestFit="1" customWidth="1"/>
    <col min="5387" max="5632" width="9.140625" style="53"/>
    <col min="5633" max="5633" width="9.28515625" style="53" customWidth="1"/>
    <col min="5634" max="5634" width="39.85546875" style="53" customWidth="1"/>
    <col min="5635" max="5635" width="18.28515625" style="53" customWidth="1"/>
    <col min="5636" max="5636" width="23.85546875" style="53" customWidth="1"/>
    <col min="5637" max="5637" width="16" style="53" bestFit="1" customWidth="1"/>
    <col min="5638" max="5638" width="13.7109375" style="53" bestFit="1" customWidth="1"/>
    <col min="5639" max="5639" width="15.7109375" style="53" bestFit="1" customWidth="1"/>
    <col min="5640" max="5640" width="13.140625" style="53" bestFit="1" customWidth="1"/>
    <col min="5641" max="5641" width="11.85546875" style="53" bestFit="1" customWidth="1"/>
    <col min="5642" max="5642" width="12.85546875" style="53" bestFit="1" customWidth="1"/>
    <col min="5643" max="5888" width="9.140625" style="53"/>
    <col min="5889" max="5889" width="9.28515625" style="53" customWidth="1"/>
    <col min="5890" max="5890" width="39.85546875" style="53" customWidth="1"/>
    <col min="5891" max="5891" width="18.28515625" style="53" customWidth="1"/>
    <col min="5892" max="5892" width="23.85546875" style="53" customWidth="1"/>
    <col min="5893" max="5893" width="16" style="53" bestFit="1" customWidth="1"/>
    <col min="5894" max="5894" width="13.7109375" style="53" bestFit="1" customWidth="1"/>
    <col min="5895" max="5895" width="15.7109375" style="53" bestFit="1" customWidth="1"/>
    <col min="5896" max="5896" width="13.140625" style="53" bestFit="1" customWidth="1"/>
    <col min="5897" max="5897" width="11.85546875" style="53" bestFit="1" customWidth="1"/>
    <col min="5898" max="5898" width="12.85546875" style="53" bestFit="1" customWidth="1"/>
    <col min="5899" max="6144" width="9.140625" style="53"/>
    <col min="6145" max="6145" width="9.28515625" style="53" customWidth="1"/>
    <col min="6146" max="6146" width="39.85546875" style="53" customWidth="1"/>
    <col min="6147" max="6147" width="18.28515625" style="53" customWidth="1"/>
    <col min="6148" max="6148" width="23.85546875" style="53" customWidth="1"/>
    <col min="6149" max="6149" width="16" style="53" bestFit="1" customWidth="1"/>
    <col min="6150" max="6150" width="13.7109375" style="53" bestFit="1" customWidth="1"/>
    <col min="6151" max="6151" width="15.7109375" style="53" bestFit="1" customWidth="1"/>
    <col min="6152" max="6152" width="13.140625" style="53" bestFit="1" customWidth="1"/>
    <col min="6153" max="6153" width="11.85546875" style="53" bestFit="1" customWidth="1"/>
    <col min="6154" max="6154" width="12.85546875" style="53" bestFit="1" customWidth="1"/>
    <col min="6155" max="6400" width="9.140625" style="53"/>
    <col min="6401" max="6401" width="9.28515625" style="53" customWidth="1"/>
    <col min="6402" max="6402" width="39.85546875" style="53" customWidth="1"/>
    <col min="6403" max="6403" width="18.28515625" style="53" customWidth="1"/>
    <col min="6404" max="6404" width="23.85546875" style="53" customWidth="1"/>
    <col min="6405" max="6405" width="16" style="53" bestFit="1" customWidth="1"/>
    <col min="6406" max="6406" width="13.7109375" style="53" bestFit="1" customWidth="1"/>
    <col min="6407" max="6407" width="15.7109375" style="53" bestFit="1" customWidth="1"/>
    <col min="6408" max="6408" width="13.140625" style="53" bestFit="1" customWidth="1"/>
    <col min="6409" max="6409" width="11.85546875" style="53" bestFit="1" customWidth="1"/>
    <col min="6410" max="6410" width="12.85546875" style="53" bestFit="1" customWidth="1"/>
    <col min="6411" max="6656" width="9.140625" style="53"/>
    <col min="6657" max="6657" width="9.28515625" style="53" customWidth="1"/>
    <col min="6658" max="6658" width="39.85546875" style="53" customWidth="1"/>
    <col min="6659" max="6659" width="18.28515625" style="53" customWidth="1"/>
    <col min="6660" max="6660" width="23.85546875" style="53" customWidth="1"/>
    <col min="6661" max="6661" width="16" style="53" bestFit="1" customWidth="1"/>
    <col min="6662" max="6662" width="13.7109375" style="53" bestFit="1" customWidth="1"/>
    <col min="6663" max="6663" width="15.7109375" style="53" bestFit="1" customWidth="1"/>
    <col min="6664" max="6664" width="13.140625" style="53" bestFit="1" customWidth="1"/>
    <col min="6665" max="6665" width="11.85546875" style="53" bestFit="1" customWidth="1"/>
    <col min="6666" max="6666" width="12.85546875" style="53" bestFit="1" customWidth="1"/>
    <col min="6667" max="6912" width="9.140625" style="53"/>
    <col min="6913" max="6913" width="9.28515625" style="53" customWidth="1"/>
    <col min="6914" max="6914" width="39.85546875" style="53" customWidth="1"/>
    <col min="6915" max="6915" width="18.28515625" style="53" customWidth="1"/>
    <col min="6916" max="6916" width="23.85546875" style="53" customWidth="1"/>
    <col min="6917" max="6917" width="16" style="53" bestFit="1" customWidth="1"/>
    <col min="6918" max="6918" width="13.7109375" style="53" bestFit="1" customWidth="1"/>
    <col min="6919" max="6919" width="15.7109375" style="53" bestFit="1" customWidth="1"/>
    <col min="6920" max="6920" width="13.140625" style="53" bestFit="1" customWidth="1"/>
    <col min="6921" max="6921" width="11.85546875" style="53" bestFit="1" customWidth="1"/>
    <col min="6922" max="6922" width="12.85546875" style="53" bestFit="1" customWidth="1"/>
    <col min="6923" max="7168" width="9.140625" style="53"/>
    <col min="7169" max="7169" width="9.28515625" style="53" customWidth="1"/>
    <col min="7170" max="7170" width="39.85546875" style="53" customWidth="1"/>
    <col min="7171" max="7171" width="18.28515625" style="53" customWidth="1"/>
    <col min="7172" max="7172" width="23.85546875" style="53" customWidth="1"/>
    <col min="7173" max="7173" width="16" style="53" bestFit="1" customWidth="1"/>
    <col min="7174" max="7174" width="13.7109375" style="53" bestFit="1" customWidth="1"/>
    <col min="7175" max="7175" width="15.7109375" style="53" bestFit="1" customWidth="1"/>
    <col min="7176" max="7176" width="13.140625" style="53" bestFit="1" customWidth="1"/>
    <col min="7177" max="7177" width="11.85546875" style="53" bestFit="1" customWidth="1"/>
    <col min="7178" max="7178" width="12.85546875" style="53" bestFit="1" customWidth="1"/>
    <col min="7179" max="7424" width="9.140625" style="53"/>
    <col min="7425" max="7425" width="9.28515625" style="53" customWidth="1"/>
    <col min="7426" max="7426" width="39.85546875" style="53" customWidth="1"/>
    <col min="7427" max="7427" width="18.28515625" style="53" customWidth="1"/>
    <col min="7428" max="7428" width="23.85546875" style="53" customWidth="1"/>
    <col min="7429" max="7429" width="16" style="53" bestFit="1" customWidth="1"/>
    <col min="7430" max="7430" width="13.7109375" style="53" bestFit="1" customWidth="1"/>
    <col min="7431" max="7431" width="15.7109375" style="53" bestFit="1" customWidth="1"/>
    <col min="7432" max="7432" width="13.140625" style="53" bestFit="1" customWidth="1"/>
    <col min="7433" max="7433" width="11.85546875" style="53" bestFit="1" customWidth="1"/>
    <col min="7434" max="7434" width="12.85546875" style="53" bestFit="1" customWidth="1"/>
    <col min="7435" max="7680" width="9.140625" style="53"/>
    <col min="7681" max="7681" width="9.28515625" style="53" customWidth="1"/>
    <col min="7682" max="7682" width="39.85546875" style="53" customWidth="1"/>
    <col min="7683" max="7683" width="18.28515625" style="53" customWidth="1"/>
    <col min="7684" max="7684" width="23.85546875" style="53" customWidth="1"/>
    <col min="7685" max="7685" width="16" style="53" bestFit="1" customWidth="1"/>
    <col min="7686" max="7686" width="13.7109375" style="53" bestFit="1" customWidth="1"/>
    <col min="7687" max="7687" width="15.7109375" style="53" bestFit="1" customWidth="1"/>
    <col min="7688" max="7688" width="13.140625" style="53" bestFit="1" customWidth="1"/>
    <col min="7689" max="7689" width="11.85546875" style="53" bestFit="1" customWidth="1"/>
    <col min="7690" max="7690" width="12.85546875" style="53" bestFit="1" customWidth="1"/>
    <col min="7691" max="7936" width="9.140625" style="53"/>
    <col min="7937" max="7937" width="9.28515625" style="53" customWidth="1"/>
    <col min="7938" max="7938" width="39.85546875" style="53" customWidth="1"/>
    <col min="7939" max="7939" width="18.28515625" style="53" customWidth="1"/>
    <col min="7940" max="7940" width="23.85546875" style="53" customWidth="1"/>
    <col min="7941" max="7941" width="16" style="53" bestFit="1" customWidth="1"/>
    <col min="7942" max="7942" width="13.7109375" style="53" bestFit="1" customWidth="1"/>
    <col min="7943" max="7943" width="15.7109375" style="53" bestFit="1" customWidth="1"/>
    <col min="7944" max="7944" width="13.140625" style="53" bestFit="1" customWidth="1"/>
    <col min="7945" max="7945" width="11.85546875" style="53" bestFit="1" customWidth="1"/>
    <col min="7946" max="7946" width="12.85546875" style="53" bestFit="1" customWidth="1"/>
    <col min="7947" max="8192" width="9.140625" style="53"/>
    <col min="8193" max="8193" width="9.28515625" style="53" customWidth="1"/>
    <col min="8194" max="8194" width="39.85546875" style="53" customWidth="1"/>
    <col min="8195" max="8195" width="18.28515625" style="53" customWidth="1"/>
    <col min="8196" max="8196" width="23.85546875" style="53" customWidth="1"/>
    <col min="8197" max="8197" width="16" style="53" bestFit="1" customWidth="1"/>
    <col min="8198" max="8198" width="13.7109375" style="53" bestFit="1" customWidth="1"/>
    <col min="8199" max="8199" width="15.7109375" style="53" bestFit="1" customWidth="1"/>
    <col min="8200" max="8200" width="13.140625" style="53" bestFit="1" customWidth="1"/>
    <col min="8201" max="8201" width="11.85546875" style="53" bestFit="1" customWidth="1"/>
    <col min="8202" max="8202" width="12.85546875" style="53" bestFit="1" customWidth="1"/>
    <col min="8203" max="8448" width="9.140625" style="53"/>
    <col min="8449" max="8449" width="9.28515625" style="53" customWidth="1"/>
    <col min="8450" max="8450" width="39.85546875" style="53" customWidth="1"/>
    <col min="8451" max="8451" width="18.28515625" style="53" customWidth="1"/>
    <col min="8452" max="8452" width="23.85546875" style="53" customWidth="1"/>
    <col min="8453" max="8453" width="16" style="53" bestFit="1" customWidth="1"/>
    <col min="8454" max="8454" width="13.7109375" style="53" bestFit="1" customWidth="1"/>
    <col min="8455" max="8455" width="15.7109375" style="53" bestFit="1" customWidth="1"/>
    <col min="8456" max="8456" width="13.140625" style="53" bestFit="1" customWidth="1"/>
    <col min="8457" max="8457" width="11.85546875" style="53" bestFit="1" customWidth="1"/>
    <col min="8458" max="8458" width="12.85546875" style="53" bestFit="1" customWidth="1"/>
    <col min="8459" max="8704" width="9.140625" style="53"/>
    <col min="8705" max="8705" width="9.28515625" style="53" customWidth="1"/>
    <col min="8706" max="8706" width="39.85546875" style="53" customWidth="1"/>
    <col min="8707" max="8707" width="18.28515625" style="53" customWidth="1"/>
    <col min="8708" max="8708" width="23.85546875" style="53" customWidth="1"/>
    <col min="8709" max="8709" width="16" style="53" bestFit="1" customWidth="1"/>
    <col min="8710" max="8710" width="13.7109375" style="53" bestFit="1" customWidth="1"/>
    <col min="8711" max="8711" width="15.7109375" style="53" bestFit="1" customWidth="1"/>
    <col min="8712" max="8712" width="13.140625" style="53" bestFit="1" customWidth="1"/>
    <col min="8713" max="8713" width="11.85546875" style="53" bestFit="1" customWidth="1"/>
    <col min="8714" max="8714" width="12.85546875" style="53" bestFit="1" customWidth="1"/>
    <col min="8715" max="8960" width="9.140625" style="53"/>
    <col min="8961" max="8961" width="9.28515625" style="53" customWidth="1"/>
    <col min="8962" max="8962" width="39.85546875" style="53" customWidth="1"/>
    <col min="8963" max="8963" width="18.28515625" style="53" customWidth="1"/>
    <col min="8964" max="8964" width="23.85546875" style="53" customWidth="1"/>
    <col min="8965" max="8965" width="16" style="53" bestFit="1" customWidth="1"/>
    <col min="8966" max="8966" width="13.7109375" style="53" bestFit="1" customWidth="1"/>
    <col min="8967" max="8967" width="15.7109375" style="53" bestFit="1" customWidth="1"/>
    <col min="8968" max="8968" width="13.140625" style="53" bestFit="1" customWidth="1"/>
    <col min="8969" max="8969" width="11.85546875" style="53" bestFit="1" customWidth="1"/>
    <col min="8970" max="8970" width="12.85546875" style="53" bestFit="1" customWidth="1"/>
    <col min="8971" max="9216" width="9.140625" style="53"/>
    <col min="9217" max="9217" width="9.28515625" style="53" customWidth="1"/>
    <col min="9218" max="9218" width="39.85546875" style="53" customWidth="1"/>
    <col min="9219" max="9219" width="18.28515625" style="53" customWidth="1"/>
    <col min="9220" max="9220" width="23.85546875" style="53" customWidth="1"/>
    <col min="9221" max="9221" width="16" style="53" bestFit="1" customWidth="1"/>
    <col min="9222" max="9222" width="13.7109375" style="53" bestFit="1" customWidth="1"/>
    <col min="9223" max="9223" width="15.7109375" style="53" bestFit="1" customWidth="1"/>
    <col min="9224" max="9224" width="13.140625" style="53" bestFit="1" customWidth="1"/>
    <col min="9225" max="9225" width="11.85546875" style="53" bestFit="1" customWidth="1"/>
    <col min="9226" max="9226" width="12.85546875" style="53" bestFit="1" customWidth="1"/>
    <col min="9227" max="9472" width="9.140625" style="53"/>
    <col min="9473" max="9473" width="9.28515625" style="53" customWidth="1"/>
    <col min="9474" max="9474" width="39.85546875" style="53" customWidth="1"/>
    <col min="9475" max="9475" width="18.28515625" style="53" customWidth="1"/>
    <col min="9476" max="9476" width="23.85546875" style="53" customWidth="1"/>
    <col min="9477" max="9477" width="16" style="53" bestFit="1" customWidth="1"/>
    <col min="9478" max="9478" width="13.7109375" style="53" bestFit="1" customWidth="1"/>
    <col min="9479" max="9479" width="15.7109375" style="53" bestFit="1" customWidth="1"/>
    <col min="9480" max="9480" width="13.140625" style="53" bestFit="1" customWidth="1"/>
    <col min="9481" max="9481" width="11.85546875" style="53" bestFit="1" customWidth="1"/>
    <col min="9482" max="9482" width="12.85546875" style="53" bestFit="1" customWidth="1"/>
    <col min="9483" max="9728" width="9.140625" style="53"/>
    <col min="9729" max="9729" width="9.28515625" style="53" customWidth="1"/>
    <col min="9730" max="9730" width="39.85546875" style="53" customWidth="1"/>
    <col min="9731" max="9731" width="18.28515625" style="53" customWidth="1"/>
    <col min="9732" max="9732" width="23.85546875" style="53" customWidth="1"/>
    <col min="9733" max="9733" width="16" style="53" bestFit="1" customWidth="1"/>
    <col min="9734" max="9734" width="13.7109375" style="53" bestFit="1" customWidth="1"/>
    <col min="9735" max="9735" width="15.7109375" style="53" bestFit="1" customWidth="1"/>
    <col min="9736" max="9736" width="13.140625" style="53" bestFit="1" customWidth="1"/>
    <col min="9737" max="9737" width="11.85546875" style="53" bestFit="1" customWidth="1"/>
    <col min="9738" max="9738" width="12.85546875" style="53" bestFit="1" customWidth="1"/>
    <col min="9739" max="9984" width="9.140625" style="53"/>
    <col min="9985" max="9985" width="9.28515625" style="53" customWidth="1"/>
    <col min="9986" max="9986" width="39.85546875" style="53" customWidth="1"/>
    <col min="9987" max="9987" width="18.28515625" style="53" customWidth="1"/>
    <col min="9988" max="9988" width="23.85546875" style="53" customWidth="1"/>
    <col min="9989" max="9989" width="16" style="53" bestFit="1" customWidth="1"/>
    <col min="9990" max="9990" width="13.7109375" style="53" bestFit="1" customWidth="1"/>
    <col min="9991" max="9991" width="15.7109375" style="53" bestFit="1" customWidth="1"/>
    <col min="9992" max="9992" width="13.140625" style="53" bestFit="1" customWidth="1"/>
    <col min="9993" max="9993" width="11.85546875" style="53" bestFit="1" customWidth="1"/>
    <col min="9994" max="9994" width="12.85546875" style="53" bestFit="1" customWidth="1"/>
    <col min="9995" max="10240" width="9.140625" style="53"/>
    <col min="10241" max="10241" width="9.28515625" style="53" customWidth="1"/>
    <col min="10242" max="10242" width="39.85546875" style="53" customWidth="1"/>
    <col min="10243" max="10243" width="18.28515625" style="53" customWidth="1"/>
    <col min="10244" max="10244" width="23.85546875" style="53" customWidth="1"/>
    <col min="10245" max="10245" width="16" style="53" bestFit="1" customWidth="1"/>
    <col min="10246" max="10246" width="13.7109375" style="53" bestFit="1" customWidth="1"/>
    <col min="10247" max="10247" width="15.7109375" style="53" bestFit="1" customWidth="1"/>
    <col min="10248" max="10248" width="13.140625" style="53" bestFit="1" customWidth="1"/>
    <col min="10249" max="10249" width="11.85546875" style="53" bestFit="1" customWidth="1"/>
    <col min="10250" max="10250" width="12.85546875" style="53" bestFit="1" customWidth="1"/>
    <col min="10251" max="10496" width="9.140625" style="53"/>
    <col min="10497" max="10497" width="9.28515625" style="53" customWidth="1"/>
    <col min="10498" max="10498" width="39.85546875" style="53" customWidth="1"/>
    <col min="10499" max="10499" width="18.28515625" style="53" customWidth="1"/>
    <col min="10500" max="10500" width="23.85546875" style="53" customWidth="1"/>
    <col min="10501" max="10501" width="16" style="53" bestFit="1" customWidth="1"/>
    <col min="10502" max="10502" width="13.7109375" style="53" bestFit="1" customWidth="1"/>
    <col min="10503" max="10503" width="15.7109375" style="53" bestFit="1" customWidth="1"/>
    <col min="10504" max="10504" width="13.140625" style="53" bestFit="1" customWidth="1"/>
    <col min="10505" max="10505" width="11.85546875" style="53" bestFit="1" customWidth="1"/>
    <col min="10506" max="10506" width="12.85546875" style="53" bestFit="1" customWidth="1"/>
    <col min="10507" max="10752" width="9.140625" style="53"/>
    <col min="10753" max="10753" width="9.28515625" style="53" customWidth="1"/>
    <col min="10754" max="10754" width="39.85546875" style="53" customWidth="1"/>
    <col min="10755" max="10755" width="18.28515625" style="53" customWidth="1"/>
    <col min="10756" max="10756" width="23.85546875" style="53" customWidth="1"/>
    <col min="10757" max="10757" width="16" style="53" bestFit="1" customWidth="1"/>
    <col min="10758" max="10758" width="13.7109375" style="53" bestFit="1" customWidth="1"/>
    <col min="10759" max="10759" width="15.7109375" style="53" bestFit="1" customWidth="1"/>
    <col min="10760" max="10760" width="13.140625" style="53" bestFit="1" customWidth="1"/>
    <col min="10761" max="10761" width="11.85546875" style="53" bestFit="1" customWidth="1"/>
    <col min="10762" max="10762" width="12.85546875" style="53" bestFit="1" customWidth="1"/>
    <col min="10763" max="11008" width="9.140625" style="53"/>
    <col min="11009" max="11009" width="9.28515625" style="53" customWidth="1"/>
    <col min="11010" max="11010" width="39.85546875" style="53" customWidth="1"/>
    <col min="11011" max="11011" width="18.28515625" style="53" customWidth="1"/>
    <col min="11012" max="11012" width="23.85546875" style="53" customWidth="1"/>
    <col min="11013" max="11013" width="16" style="53" bestFit="1" customWidth="1"/>
    <col min="11014" max="11014" width="13.7109375" style="53" bestFit="1" customWidth="1"/>
    <col min="11015" max="11015" width="15.7109375" style="53" bestFit="1" customWidth="1"/>
    <col min="11016" max="11016" width="13.140625" style="53" bestFit="1" customWidth="1"/>
    <col min="11017" max="11017" width="11.85546875" style="53" bestFit="1" customWidth="1"/>
    <col min="11018" max="11018" width="12.85546875" style="53" bestFit="1" customWidth="1"/>
    <col min="11019" max="11264" width="9.140625" style="53"/>
    <col min="11265" max="11265" width="9.28515625" style="53" customWidth="1"/>
    <col min="11266" max="11266" width="39.85546875" style="53" customWidth="1"/>
    <col min="11267" max="11267" width="18.28515625" style="53" customWidth="1"/>
    <col min="11268" max="11268" width="23.85546875" style="53" customWidth="1"/>
    <col min="11269" max="11269" width="16" style="53" bestFit="1" customWidth="1"/>
    <col min="11270" max="11270" width="13.7109375" style="53" bestFit="1" customWidth="1"/>
    <col min="11271" max="11271" width="15.7109375" style="53" bestFit="1" customWidth="1"/>
    <col min="11272" max="11272" width="13.140625" style="53" bestFit="1" customWidth="1"/>
    <col min="11273" max="11273" width="11.85546875" style="53" bestFit="1" customWidth="1"/>
    <col min="11274" max="11274" width="12.85546875" style="53" bestFit="1" customWidth="1"/>
    <col min="11275" max="11520" width="9.140625" style="53"/>
    <col min="11521" max="11521" width="9.28515625" style="53" customWidth="1"/>
    <col min="11522" max="11522" width="39.85546875" style="53" customWidth="1"/>
    <col min="11523" max="11523" width="18.28515625" style="53" customWidth="1"/>
    <col min="11524" max="11524" width="23.85546875" style="53" customWidth="1"/>
    <col min="11525" max="11525" width="16" style="53" bestFit="1" customWidth="1"/>
    <col min="11526" max="11526" width="13.7109375" style="53" bestFit="1" customWidth="1"/>
    <col min="11527" max="11527" width="15.7109375" style="53" bestFit="1" customWidth="1"/>
    <col min="11528" max="11528" width="13.140625" style="53" bestFit="1" customWidth="1"/>
    <col min="11529" max="11529" width="11.85546875" style="53" bestFit="1" customWidth="1"/>
    <col min="11530" max="11530" width="12.85546875" style="53" bestFit="1" customWidth="1"/>
    <col min="11531" max="11776" width="9.140625" style="53"/>
    <col min="11777" max="11777" width="9.28515625" style="53" customWidth="1"/>
    <col min="11778" max="11778" width="39.85546875" style="53" customWidth="1"/>
    <col min="11779" max="11779" width="18.28515625" style="53" customWidth="1"/>
    <col min="11780" max="11780" width="23.85546875" style="53" customWidth="1"/>
    <col min="11781" max="11781" width="16" style="53" bestFit="1" customWidth="1"/>
    <col min="11782" max="11782" width="13.7109375" style="53" bestFit="1" customWidth="1"/>
    <col min="11783" max="11783" width="15.7109375" style="53" bestFit="1" customWidth="1"/>
    <col min="11784" max="11784" width="13.140625" style="53" bestFit="1" customWidth="1"/>
    <col min="11785" max="11785" width="11.85546875" style="53" bestFit="1" customWidth="1"/>
    <col min="11786" max="11786" width="12.85546875" style="53" bestFit="1" customWidth="1"/>
    <col min="11787" max="12032" width="9.140625" style="53"/>
    <col min="12033" max="12033" width="9.28515625" style="53" customWidth="1"/>
    <col min="12034" max="12034" width="39.85546875" style="53" customWidth="1"/>
    <col min="12035" max="12035" width="18.28515625" style="53" customWidth="1"/>
    <col min="12036" max="12036" width="23.85546875" style="53" customWidth="1"/>
    <col min="12037" max="12037" width="16" style="53" bestFit="1" customWidth="1"/>
    <col min="12038" max="12038" width="13.7109375" style="53" bestFit="1" customWidth="1"/>
    <col min="12039" max="12039" width="15.7109375" style="53" bestFit="1" customWidth="1"/>
    <col min="12040" max="12040" width="13.140625" style="53" bestFit="1" customWidth="1"/>
    <col min="12041" max="12041" width="11.85546875" style="53" bestFit="1" customWidth="1"/>
    <col min="12042" max="12042" width="12.85546875" style="53" bestFit="1" customWidth="1"/>
    <col min="12043" max="12288" width="9.140625" style="53"/>
    <col min="12289" max="12289" width="9.28515625" style="53" customWidth="1"/>
    <col min="12290" max="12290" width="39.85546875" style="53" customWidth="1"/>
    <col min="12291" max="12291" width="18.28515625" style="53" customWidth="1"/>
    <col min="12292" max="12292" width="23.85546875" style="53" customWidth="1"/>
    <col min="12293" max="12293" width="16" style="53" bestFit="1" customWidth="1"/>
    <col min="12294" max="12294" width="13.7109375" style="53" bestFit="1" customWidth="1"/>
    <col min="12295" max="12295" width="15.7109375" style="53" bestFit="1" customWidth="1"/>
    <col min="12296" max="12296" width="13.140625" style="53" bestFit="1" customWidth="1"/>
    <col min="12297" max="12297" width="11.85546875" style="53" bestFit="1" customWidth="1"/>
    <col min="12298" max="12298" width="12.85546875" style="53" bestFit="1" customWidth="1"/>
    <col min="12299" max="12544" width="9.140625" style="53"/>
    <col min="12545" max="12545" width="9.28515625" style="53" customWidth="1"/>
    <col min="12546" max="12546" width="39.85546875" style="53" customWidth="1"/>
    <col min="12547" max="12547" width="18.28515625" style="53" customWidth="1"/>
    <col min="12548" max="12548" width="23.85546875" style="53" customWidth="1"/>
    <col min="12549" max="12549" width="16" style="53" bestFit="1" customWidth="1"/>
    <col min="12550" max="12550" width="13.7109375" style="53" bestFit="1" customWidth="1"/>
    <col min="12551" max="12551" width="15.7109375" style="53" bestFit="1" customWidth="1"/>
    <col min="12552" max="12552" width="13.140625" style="53" bestFit="1" customWidth="1"/>
    <col min="12553" max="12553" width="11.85546875" style="53" bestFit="1" customWidth="1"/>
    <col min="12554" max="12554" width="12.85546875" style="53" bestFit="1" customWidth="1"/>
    <col min="12555" max="12800" width="9.140625" style="53"/>
    <col min="12801" max="12801" width="9.28515625" style="53" customWidth="1"/>
    <col min="12802" max="12802" width="39.85546875" style="53" customWidth="1"/>
    <col min="12803" max="12803" width="18.28515625" style="53" customWidth="1"/>
    <col min="12804" max="12804" width="23.85546875" style="53" customWidth="1"/>
    <col min="12805" max="12805" width="16" style="53" bestFit="1" customWidth="1"/>
    <col min="12806" max="12806" width="13.7109375" style="53" bestFit="1" customWidth="1"/>
    <col min="12807" max="12807" width="15.7109375" style="53" bestFit="1" customWidth="1"/>
    <col min="12808" max="12808" width="13.140625" style="53" bestFit="1" customWidth="1"/>
    <col min="12809" max="12809" width="11.85546875" style="53" bestFit="1" customWidth="1"/>
    <col min="12810" max="12810" width="12.85546875" style="53" bestFit="1" customWidth="1"/>
    <col min="12811" max="13056" width="9.140625" style="53"/>
    <col min="13057" max="13057" width="9.28515625" style="53" customWidth="1"/>
    <col min="13058" max="13058" width="39.85546875" style="53" customWidth="1"/>
    <col min="13059" max="13059" width="18.28515625" style="53" customWidth="1"/>
    <col min="13060" max="13060" width="23.85546875" style="53" customWidth="1"/>
    <col min="13061" max="13061" width="16" style="53" bestFit="1" customWidth="1"/>
    <col min="13062" max="13062" width="13.7109375" style="53" bestFit="1" customWidth="1"/>
    <col min="13063" max="13063" width="15.7109375" style="53" bestFit="1" customWidth="1"/>
    <col min="13064" max="13064" width="13.140625" style="53" bestFit="1" customWidth="1"/>
    <col min="13065" max="13065" width="11.85546875" style="53" bestFit="1" customWidth="1"/>
    <col min="13066" max="13066" width="12.85546875" style="53" bestFit="1" customWidth="1"/>
    <col min="13067" max="13312" width="9.140625" style="53"/>
    <col min="13313" max="13313" width="9.28515625" style="53" customWidth="1"/>
    <col min="13314" max="13314" width="39.85546875" style="53" customWidth="1"/>
    <col min="13315" max="13315" width="18.28515625" style="53" customWidth="1"/>
    <col min="13316" max="13316" width="23.85546875" style="53" customWidth="1"/>
    <col min="13317" max="13317" width="16" style="53" bestFit="1" customWidth="1"/>
    <col min="13318" max="13318" width="13.7109375" style="53" bestFit="1" customWidth="1"/>
    <col min="13319" max="13319" width="15.7109375" style="53" bestFit="1" customWidth="1"/>
    <col min="13320" max="13320" width="13.140625" style="53" bestFit="1" customWidth="1"/>
    <col min="13321" max="13321" width="11.85546875" style="53" bestFit="1" customWidth="1"/>
    <col min="13322" max="13322" width="12.85546875" style="53" bestFit="1" customWidth="1"/>
    <col min="13323" max="13568" width="9.140625" style="53"/>
    <col min="13569" max="13569" width="9.28515625" style="53" customWidth="1"/>
    <col min="13570" max="13570" width="39.85546875" style="53" customWidth="1"/>
    <col min="13571" max="13571" width="18.28515625" style="53" customWidth="1"/>
    <col min="13572" max="13572" width="23.85546875" style="53" customWidth="1"/>
    <col min="13573" max="13573" width="16" style="53" bestFit="1" customWidth="1"/>
    <col min="13574" max="13574" width="13.7109375" style="53" bestFit="1" customWidth="1"/>
    <col min="13575" max="13575" width="15.7109375" style="53" bestFit="1" customWidth="1"/>
    <col min="13576" max="13576" width="13.140625" style="53" bestFit="1" customWidth="1"/>
    <col min="13577" max="13577" width="11.85546875" style="53" bestFit="1" customWidth="1"/>
    <col min="13578" max="13578" width="12.85546875" style="53" bestFit="1" customWidth="1"/>
    <col min="13579" max="13824" width="9.140625" style="53"/>
    <col min="13825" max="13825" width="9.28515625" style="53" customWidth="1"/>
    <col min="13826" max="13826" width="39.85546875" style="53" customWidth="1"/>
    <col min="13827" max="13827" width="18.28515625" style="53" customWidth="1"/>
    <col min="13828" max="13828" width="23.85546875" style="53" customWidth="1"/>
    <col min="13829" max="13829" width="16" style="53" bestFit="1" customWidth="1"/>
    <col min="13830" max="13830" width="13.7109375" style="53" bestFit="1" customWidth="1"/>
    <col min="13831" max="13831" width="15.7109375" style="53" bestFit="1" customWidth="1"/>
    <col min="13832" max="13832" width="13.140625" style="53" bestFit="1" customWidth="1"/>
    <col min="13833" max="13833" width="11.85546875" style="53" bestFit="1" customWidth="1"/>
    <col min="13834" max="13834" width="12.85546875" style="53" bestFit="1" customWidth="1"/>
    <col min="13835" max="14080" width="9.140625" style="53"/>
    <col min="14081" max="14081" width="9.28515625" style="53" customWidth="1"/>
    <col min="14082" max="14082" width="39.85546875" style="53" customWidth="1"/>
    <col min="14083" max="14083" width="18.28515625" style="53" customWidth="1"/>
    <col min="14084" max="14084" width="23.85546875" style="53" customWidth="1"/>
    <col min="14085" max="14085" width="16" style="53" bestFit="1" customWidth="1"/>
    <col min="14086" max="14086" width="13.7109375" style="53" bestFit="1" customWidth="1"/>
    <col min="14087" max="14087" width="15.7109375" style="53" bestFit="1" customWidth="1"/>
    <col min="14088" max="14088" width="13.140625" style="53" bestFit="1" customWidth="1"/>
    <col min="14089" max="14089" width="11.85546875" style="53" bestFit="1" customWidth="1"/>
    <col min="14090" max="14090" width="12.85546875" style="53" bestFit="1" customWidth="1"/>
    <col min="14091" max="14336" width="9.140625" style="53"/>
    <col min="14337" max="14337" width="9.28515625" style="53" customWidth="1"/>
    <col min="14338" max="14338" width="39.85546875" style="53" customWidth="1"/>
    <col min="14339" max="14339" width="18.28515625" style="53" customWidth="1"/>
    <col min="14340" max="14340" width="23.85546875" style="53" customWidth="1"/>
    <col min="14341" max="14341" width="16" style="53" bestFit="1" customWidth="1"/>
    <col min="14342" max="14342" width="13.7109375" style="53" bestFit="1" customWidth="1"/>
    <col min="14343" max="14343" width="15.7109375" style="53" bestFit="1" customWidth="1"/>
    <col min="14344" max="14344" width="13.140625" style="53" bestFit="1" customWidth="1"/>
    <col min="14345" max="14345" width="11.85546875" style="53" bestFit="1" customWidth="1"/>
    <col min="14346" max="14346" width="12.85546875" style="53" bestFit="1" customWidth="1"/>
    <col min="14347" max="14592" width="9.140625" style="53"/>
    <col min="14593" max="14593" width="9.28515625" style="53" customWidth="1"/>
    <col min="14594" max="14594" width="39.85546875" style="53" customWidth="1"/>
    <col min="14595" max="14595" width="18.28515625" style="53" customWidth="1"/>
    <col min="14596" max="14596" width="23.85546875" style="53" customWidth="1"/>
    <col min="14597" max="14597" width="16" style="53" bestFit="1" customWidth="1"/>
    <col min="14598" max="14598" width="13.7109375" style="53" bestFit="1" customWidth="1"/>
    <col min="14599" max="14599" width="15.7109375" style="53" bestFit="1" customWidth="1"/>
    <col min="14600" max="14600" width="13.140625" style="53" bestFit="1" customWidth="1"/>
    <col min="14601" max="14601" width="11.85546875" style="53" bestFit="1" customWidth="1"/>
    <col min="14602" max="14602" width="12.85546875" style="53" bestFit="1" customWidth="1"/>
    <col min="14603" max="14848" width="9.140625" style="53"/>
    <col min="14849" max="14849" width="9.28515625" style="53" customWidth="1"/>
    <col min="14850" max="14850" width="39.85546875" style="53" customWidth="1"/>
    <col min="14851" max="14851" width="18.28515625" style="53" customWidth="1"/>
    <col min="14852" max="14852" width="23.85546875" style="53" customWidth="1"/>
    <col min="14853" max="14853" width="16" style="53" bestFit="1" customWidth="1"/>
    <col min="14854" max="14854" width="13.7109375" style="53" bestFit="1" customWidth="1"/>
    <col min="14855" max="14855" width="15.7109375" style="53" bestFit="1" customWidth="1"/>
    <col min="14856" max="14856" width="13.140625" style="53" bestFit="1" customWidth="1"/>
    <col min="14857" max="14857" width="11.85546875" style="53" bestFit="1" customWidth="1"/>
    <col min="14858" max="14858" width="12.85546875" style="53" bestFit="1" customWidth="1"/>
    <col min="14859" max="15104" width="9.140625" style="53"/>
    <col min="15105" max="15105" width="9.28515625" style="53" customWidth="1"/>
    <col min="15106" max="15106" width="39.85546875" style="53" customWidth="1"/>
    <col min="15107" max="15107" width="18.28515625" style="53" customWidth="1"/>
    <col min="15108" max="15108" width="23.85546875" style="53" customWidth="1"/>
    <col min="15109" max="15109" width="16" style="53" bestFit="1" customWidth="1"/>
    <col min="15110" max="15110" width="13.7109375" style="53" bestFit="1" customWidth="1"/>
    <col min="15111" max="15111" width="15.7109375" style="53" bestFit="1" customWidth="1"/>
    <col min="15112" max="15112" width="13.140625" style="53" bestFit="1" customWidth="1"/>
    <col min="15113" max="15113" width="11.85546875" style="53" bestFit="1" customWidth="1"/>
    <col min="15114" max="15114" width="12.85546875" style="53" bestFit="1" customWidth="1"/>
    <col min="15115" max="15360" width="9.140625" style="53"/>
    <col min="15361" max="15361" width="9.28515625" style="53" customWidth="1"/>
    <col min="15362" max="15362" width="39.85546875" style="53" customWidth="1"/>
    <col min="15363" max="15363" width="18.28515625" style="53" customWidth="1"/>
    <col min="15364" max="15364" width="23.85546875" style="53" customWidth="1"/>
    <col min="15365" max="15365" width="16" style="53" bestFit="1" customWidth="1"/>
    <col min="15366" max="15366" width="13.7109375" style="53" bestFit="1" customWidth="1"/>
    <col min="15367" max="15367" width="15.7109375" style="53" bestFit="1" customWidth="1"/>
    <col min="15368" max="15368" width="13.140625" style="53" bestFit="1" customWidth="1"/>
    <col min="15369" max="15369" width="11.85546875" style="53" bestFit="1" customWidth="1"/>
    <col min="15370" max="15370" width="12.85546875" style="53" bestFit="1" customWidth="1"/>
    <col min="15371" max="15616" width="9.140625" style="53"/>
    <col min="15617" max="15617" width="9.28515625" style="53" customWidth="1"/>
    <col min="15618" max="15618" width="39.85546875" style="53" customWidth="1"/>
    <col min="15619" max="15619" width="18.28515625" style="53" customWidth="1"/>
    <col min="15620" max="15620" width="23.85546875" style="53" customWidth="1"/>
    <col min="15621" max="15621" width="16" style="53" bestFit="1" customWidth="1"/>
    <col min="15622" max="15622" width="13.7109375" style="53" bestFit="1" customWidth="1"/>
    <col min="15623" max="15623" width="15.7109375" style="53" bestFit="1" customWidth="1"/>
    <col min="15624" max="15624" width="13.140625" style="53" bestFit="1" customWidth="1"/>
    <col min="15625" max="15625" width="11.85546875" style="53" bestFit="1" customWidth="1"/>
    <col min="15626" max="15626" width="12.85546875" style="53" bestFit="1" customWidth="1"/>
    <col min="15627" max="15872" width="9.140625" style="53"/>
    <col min="15873" max="15873" width="9.28515625" style="53" customWidth="1"/>
    <col min="15874" max="15874" width="39.85546875" style="53" customWidth="1"/>
    <col min="15875" max="15875" width="18.28515625" style="53" customWidth="1"/>
    <col min="15876" max="15876" width="23.85546875" style="53" customWidth="1"/>
    <col min="15877" max="15877" width="16" style="53" bestFit="1" customWidth="1"/>
    <col min="15878" max="15878" width="13.7109375" style="53" bestFit="1" customWidth="1"/>
    <col min="15879" max="15879" width="15.7109375" style="53" bestFit="1" customWidth="1"/>
    <col min="15880" max="15880" width="13.140625" style="53" bestFit="1" customWidth="1"/>
    <col min="15881" max="15881" width="11.85546875" style="53" bestFit="1" customWidth="1"/>
    <col min="15882" max="15882" width="12.85546875" style="53" bestFit="1" customWidth="1"/>
    <col min="15883" max="16128" width="9.140625" style="53"/>
    <col min="16129" max="16129" width="9.28515625" style="53" customWidth="1"/>
    <col min="16130" max="16130" width="39.85546875" style="53" customWidth="1"/>
    <col min="16131" max="16131" width="18.28515625" style="53" customWidth="1"/>
    <col min="16132" max="16132" width="23.85546875" style="53" customWidth="1"/>
    <col min="16133" max="16133" width="16" style="53" bestFit="1" customWidth="1"/>
    <col min="16134" max="16134" width="13.7109375" style="53" bestFit="1" customWidth="1"/>
    <col min="16135" max="16135" width="15.7109375" style="53" bestFit="1" customWidth="1"/>
    <col min="16136" max="16136" width="13.140625" style="53" bestFit="1" customWidth="1"/>
    <col min="16137" max="16137" width="11.85546875" style="53" bestFit="1" customWidth="1"/>
    <col min="16138" max="16138" width="12.85546875" style="53" bestFit="1" customWidth="1"/>
    <col min="16139" max="16384" width="9.140625" style="53"/>
  </cols>
  <sheetData>
    <row r="3" spans="1:7" ht="15.75" customHeight="1">
      <c r="A3" s="543" t="s">
        <v>255</v>
      </c>
      <c r="B3" s="543"/>
      <c r="C3" s="543"/>
      <c r="D3" s="543"/>
      <c r="E3" s="52"/>
      <c r="F3" s="52"/>
      <c r="G3" s="52"/>
    </row>
    <row r="4" spans="1:7">
      <c r="A4" s="543"/>
      <c r="B4" s="543"/>
      <c r="C4" s="543"/>
      <c r="D4" s="543"/>
      <c r="E4" s="52"/>
      <c r="F4" s="52"/>
      <c r="G4" s="52"/>
    </row>
    <row r="5" spans="1:7">
      <c r="A5" s="54"/>
      <c r="B5" s="52"/>
      <c r="C5" s="52"/>
      <c r="D5" s="52"/>
      <c r="E5" s="52"/>
      <c r="F5" s="52"/>
      <c r="G5" s="52"/>
    </row>
    <row r="6" spans="1:7" ht="15.75" customHeight="1">
      <c r="A6" s="544" t="s">
        <v>550</v>
      </c>
      <c r="B6" s="544"/>
      <c r="C6" s="544"/>
      <c r="D6" s="544"/>
      <c r="E6" s="52"/>
      <c r="F6" s="52"/>
      <c r="G6" s="52"/>
    </row>
    <row r="7" spans="1:7">
      <c r="A7" s="522"/>
      <c r="B7" s="522"/>
      <c r="C7" s="522"/>
      <c r="D7" s="522"/>
    </row>
    <row r="8" spans="1:7">
      <c r="A8" s="237" t="s">
        <v>551</v>
      </c>
      <c r="B8" s="238"/>
      <c r="C8" s="187"/>
      <c r="D8" s="187"/>
    </row>
    <row r="9" spans="1:7">
      <c r="A9" s="522"/>
      <c r="B9" s="522"/>
      <c r="C9" s="522"/>
      <c r="D9" s="522"/>
    </row>
    <row r="10" spans="1:7">
      <c r="A10" s="57" t="s">
        <v>256</v>
      </c>
      <c r="B10" s="188"/>
      <c r="C10" s="187"/>
      <c r="D10" s="187"/>
    </row>
    <row r="11" spans="1:7">
      <c r="A11" s="59" t="s">
        <v>257</v>
      </c>
      <c r="B11" s="541" t="s">
        <v>258</v>
      </c>
      <c r="C11" s="542"/>
      <c r="D11" s="239">
        <v>42550</v>
      </c>
    </row>
    <row r="12" spans="1:7">
      <c r="A12" s="59" t="s">
        <v>259</v>
      </c>
      <c r="B12" s="62" t="s">
        <v>260</v>
      </c>
      <c r="C12" s="63"/>
      <c r="D12" s="240" t="s">
        <v>374</v>
      </c>
    </row>
    <row r="13" spans="1:7">
      <c r="A13" s="59" t="s">
        <v>261</v>
      </c>
      <c r="B13" s="541" t="s">
        <v>262</v>
      </c>
      <c r="C13" s="542"/>
      <c r="D13" s="240">
        <v>2016</v>
      </c>
    </row>
    <row r="14" spans="1:7">
      <c r="A14" s="64" t="s">
        <v>263</v>
      </c>
      <c r="B14" s="65" t="s">
        <v>555</v>
      </c>
      <c r="C14" s="66"/>
      <c r="D14" s="239">
        <v>42625</v>
      </c>
    </row>
    <row r="16" spans="1:7">
      <c r="A16" s="190"/>
    </row>
    <row r="17" spans="1:7">
      <c r="A17" s="523"/>
      <c r="B17" s="523"/>
      <c r="C17" s="523"/>
      <c r="D17" s="523"/>
      <c r="E17" s="523"/>
      <c r="F17" s="523"/>
      <c r="G17" s="523"/>
    </row>
    <row r="18" spans="1:7" ht="35.25" customHeight="1">
      <c r="A18" s="545" t="s">
        <v>264</v>
      </c>
      <c r="B18" s="545"/>
      <c r="C18" s="67" t="s">
        <v>265</v>
      </c>
      <c r="D18" s="67" t="s">
        <v>266</v>
      </c>
    </row>
    <row r="19" spans="1:7">
      <c r="A19" s="241">
        <v>1</v>
      </c>
      <c r="B19" s="242" t="s">
        <v>396</v>
      </c>
      <c r="C19" s="241" t="s">
        <v>267</v>
      </c>
      <c r="D19" s="243">
        <v>1</v>
      </c>
    </row>
    <row r="20" spans="1:7">
      <c r="A20" s="68"/>
      <c r="B20" s="69"/>
      <c r="C20" s="68"/>
      <c r="D20" s="70"/>
    </row>
    <row r="21" spans="1:7">
      <c r="A21" s="522" t="s">
        <v>268</v>
      </c>
      <c r="B21" s="522"/>
      <c r="C21" s="522"/>
      <c r="D21" s="522"/>
      <c r="E21" s="522"/>
      <c r="F21" s="522"/>
      <c r="G21" s="522"/>
    </row>
    <row r="22" spans="1:7">
      <c r="A22" s="71"/>
    </row>
    <row r="23" spans="1:7">
      <c r="A23" s="57" t="s">
        <v>269</v>
      </c>
    </row>
    <row r="24" spans="1:7">
      <c r="A24" s="57" t="s">
        <v>270</v>
      </c>
    </row>
    <row r="25" spans="1:7">
      <c r="A25" s="72" t="s">
        <v>271</v>
      </c>
      <c r="B25" s="60"/>
      <c r="C25" s="60"/>
      <c r="D25" s="61"/>
    </row>
    <row r="26" spans="1:7">
      <c r="A26" s="73">
        <v>1</v>
      </c>
      <c r="B26" s="74" t="s">
        <v>272</v>
      </c>
      <c r="C26" s="74"/>
      <c r="D26" s="244" t="str">
        <f>B19</f>
        <v>ALMOXARIFE</v>
      </c>
    </row>
    <row r="27" spans="1:7" ht="30.75" customHeight="1">
      <c r="A27" s="73">
        <v>2</v>
      </c>
      <c r="B27" s="539" t="s">
        <v>273</v>
      </c>
      <c r="C27" s="540"/>
      <c r="D27" s="175">
        <v>1595</v>
      </c>
    </row>
    <row r="28" spans="1:7" ht="31.5" customHeight="1">
      <c r="A28" s="73">
        <v>3</v>
      </c>
      <c r="B28" s="539" t="s">
        <v>274</v>
      </c>
      <c r="C28" s="540"/>
      <c r="D28" s="176" t="s">
        <v>375</v>
      </c>
    </row>
    <row r="29" spans="1:7">
      <c r="A29" s="75">
        <v>4</v>
      </c>
      <c r="B29" s="76" t="s">
        <v>275</v>
      </c>
      <c r="C29" s="76"/>
      <c r="D29" s="77">
        <v>42206</v>
      </c>
    </row>
    <row r="30" spans="1:7">
      <c r="A30" s="71"/>
    </row>
    <row r="31" spans="1:7">
      <c r="A31" s="71"/>
    </row>
    <row r="32" spans="1:7">
      <c r="A32" s="71"/>
    </row>
    <row r="33" spans="1:7" ht="16.5" customHeight="1" thickBot="1">
      <c r="A33" s="523" t="s">
        <v>276</v>
      </c>
      <c r="B33" s="523"/>
      <c r="C33" s="523"/>
      <c r="D33" s="523"/>
      <c r="E33" s="523"/>
      <c r="F33" s="52"/>
      <c r="G33" s="52"/>
    </row>
    <row r="34" spans="1:7" ht="16.5" thickBot="1">
      <c r="A34" s="78" t="s">
        <v>277</v>
      </c>
      <c r="B34" s="79" t="s">
        <v>278</v>
      </c>
      <c r="C34" s="80"/>
      <c r="D34" s="81" t="s">
        <v>279</v>
      </c>
    </row>
    <row r="35" spans="1:7">
      <c r="A35" s="82" t="s">
        <v>257</v>
      </c>
      <c r="B35" s="83" t="s">
        <v>280</v>
      </c>
      <c r="C35" s="84"/>
      <c r="D35" s="85">
        <f>ROUND(((D27/220)*(365.25/12)*(40/6)),2)</f>
        <v>1471.15</v>
      </c>
    </row>
    <row r="36" spans="1:7">
      <c r="A36" s="191" t="s">
        <v>259</v>
      </c>
      <c r="B36" s="87" t="s">
        <v>281</v>
      </c>
      <c r="C36" s="88"/>
      <c r="D36" s="89">
        <v>0</v>
      </c>
    </row>
    <row r="37" spans="1:7">
      <c r="A37" s="191" t="s">
        <v>261</v>
      </c>
      <c r="B37" s="87" t="s">
        <v>282</v>
      </c>
      <c r="C37" s="90"/>
      <c r="D37" s="89">
        <v>0</v>
      </c>
    </row>
    <row r="38" spans="1:7">
      <c r="A38" s="191" t="s">
        <v>263</v>
      </c>
      <c r="B38" s="91" t="s">
        <v>552</v>
      </c>
      <c r="C38" s="88"/>
      <c r="D38" s="89">
        <v>0</v>
      </c>
    </row>
    <row r="39" spans="1:7">
      <c r="A39" s="191" t="s">
        <v>284</v>
      </c>
      <c r="B39" s="91" t="s">
        <v>285</v>
      </c>
      <c r="C39" s="92"/>
      <c r="D39" s="89">
        <v>0</v>
      </c>
    </row>
    <row r="40" spans="1:7">
      <c r="A40" s="191" t="s">
        <v>286</v>
      </c>
      <c r="B40" s="93" t="s">
        <v>287</v>
      </c>
      <c r="C40" s="92"/>
      <c r="D40" s="89">
        <v>0</v>
      </c>
    </row>
    <row r="41" spans="1:7">
      <c r="A41" s="191" t="s">
        <v>288</v>
      </c>
      <c r="B41" s="93" t="s">
        <v>289</v>
      </c>
      <c r="C41" s="92"/>
      <c r="D41" s="89">
        <v>0</v>
      </c>
    </row>
    <row r="42" spans="1:7" ht="16.5" thickBot="1">
      <c r="A42" s="191" t="s">
        <v>290</v>
      </c>
      <c r="B42" s="94" t="s">
        <v>376</v>
      </c>
      <c r="C42" s="95"/>
      <c r="D42" s="89">
        <v>0</v>
      </c>
    </row>
    <row r="43" spans="1:7" ht="16.5" thickBot="1">
      <c r="A43" s="96"/>
      <c r="B43" s="97" t="s">
        <v>292</v>
      </c>
      <c r="C43" s="98"/>
      <c r="D43" s="99">
        <f>SUM(D35:D42)</f>
        <v>1471.15</v>
      </c>
    </row>
    <row r="44" spans="1:7">
      <c r="A44" s="190"/>
    </row>
    <row r="45" spans="1:7" ht="16.5" thickBot="1">
      <c r="A45" s="523" t="s">
        <v>293</v>
      </c>
      <c r="B45" s="523"/>
      <c r="C45" s="523"/>
      <c r="D45" s="523"/>
      <c r="E45" s="523"/>
      <c r="F45" s="523"/>
      <c r="G45" s="523"/>
    </row>
    <row r="46" spans="1:7" ht="16.5" thickBot="1">
      <c r="A46" s="100">
        <v>2</v>
      </c>
      <c r="B46" s="189" t="s">
        <v>294</v>
      </c>
      <c r="C46" s="102"/>
      <c r="D46" s="100" t="s">
        <v>279</v>
      </c>
    </row>
    <row r="47" spans="1:7">
      <c r="A47" s="82" t="s">
        <v>257</v>
      </c>
      <c r="B47" s="83" t="s">
        <v>295</v>
      </c>
      <c r="C47" s="103"/>
      <c r="D47" s="104">
        <f>(3.7*44)-(D35*6%)</f>
        <v>74.531000000000006</v>
      </c>
    </row>
    <row r="48" spans="1:7" ht="31.5">
      <c r="A48" s="105" t="s">
        <v>259</v>
      </c>
      <c r="B48" s="106" t="s">
        <v>296</v>
      </c>
      <c r="C48" s="90"/>
      <c r="D48" s="107">
        <v>355</v>
      </c>
    </row>
    <row r="49" spans="1:7">
      <c r="A49" s="191" t="s">
        <v>261</v>
      </c>
      <c r="B49" s="87" t="s">
        <v>389</v>
      </c>
      <c r="C49" s="90"/>
      <c r="D49" s="107">
        <v>50</v>
      </c>
    </row>
    <row r="50" spans="1:7">
      <c r="A50" s="191" t="s">
        <v>263</v>
      </c>
      <c r="B50" s="87" t="s">
        <v>19</v>
      </c>
      <c r="C50" s="88"/>
      <c r="D50" s="107">
        <v>5.5</v>
      </c>
    </row>
    <row r="51" spans="1:7">
      <c r="A51" s="191" t="s">
        <v>284</v>
      </c>
      <c r="B51" s="87" t="s">
        <v>395</v>
      </c>
      <c r="C51" s="92"/>
      <c r="D51" s="108">
        <f>3.81*22</f>
        <v>83.820000000000007</v>
      </c>
    </row>
    <row r="52" spans="1:7" ht="16.5" customHeight="1">
      <c r="A52" s="191" t="s">
        <v>286</v>
      </c>
      <c r="B52" s="535" t="s">
        <v>394</v>
      </c>
      <c r="C52" s="536"/>
      <c r="D52" s="108">
        <v>29.583333333333332</v>
      </c>
    </row>
    <row r="53" spans="1:7" ht="16.5" thickBot="1">
      <c r="A53" s="109" t="s">
        <v>288</v>
      </c>
      <c r="B53" s="537" t="s">
        <v>291</v>
      </c>
      <c r="C53" s="538"/>
      <c r="D53" s="110">
        <v>0</v>
      </c>
    </row>
    <row r="54" spans="1:7" ht="16.5" thickBot="1">
      <c r="A54" s="111"/>
      <c r="B54" s="189" t="s">
        <v>298</v>
      </c>
      <c r="C54" s="112"/>
      <c r="D54" s="113">
        <f>SUM(D47:D53)</f>
        <v>598.43433333333337</v>
      </c>
    </row>
    <row r="55" spans="1:7" ht="33" customHeight="1">
      <c r="A55" s="522" t="s">
        <v>299</v>
      </c>
      <c r="B55" s="522"/>
      <c r="C55" s="522"/>
      <c r="D55" s="522"/>
    </row>
    <row r="56" spans="1:7">
      <c r="A56" s="190"/>
    </row>
    <row r="57" spans="1:7" ht="16.5" thickBot="1">
      <c r="A57" s="523" t="s">
        <v>300</v>
      </c>
      <c r="B57" s="523"/>
      <c r="C57" s="523"/>
      <c r="D57" s="523"/>
      <c r="E57" s="523"/>
      <c r="F57" s="523"/>
      <c r="G57" s="523"/>
    </row>
    <row r="58" spans="1:7" ht="16.5" thickBot="1">
      <c r="A58" s="114">
        <v>3</v>
      </c>
      <c r="B58" s="189" t="s">
        <v>301</v>
      </c>
      <c r="C58" s="102"/>
      <c r="D58" s="100" t="s">
        <v>279</v>
      </c>
    </row>
    <row r="59" spans="1:7">
      <c r="A59" s="82" t="s">
        <v>257</v>
      </c>
      <c r="B59" s="83" t="s">
        <v>302</v>
      </c>
      <c r="C59" s="115"/>
      <c r="D59" s="116">
        <f>'ANEXO IV'!D55</f>
        <v>33.333333333333336</v>
      </c>
    </row>
    <row r="60" spans="1:7">
      <c r="A60" s="105" t="s">
        <v>259</v>
      </c>
      <c r="B60" s="106" t="s">
        <v>15</v>
      </c>
      <c r="C60" s="90"/>
      <c r="D60" s="107">
        <v>0</v>
      </c>
    </row>
    <row r="61" spans="1:7">
      <c r="A61" s="191" t="s">
        <v>261</v>
      </c>
      <c r="B61" s="87" t="s">
        <v>21</v>
      </c>
      <c r="C61" s="90"/>
      <c r="D61" s="107">
        <v>0</v>
      </c>
    </row>
    <row r="62" spans="1:7">
      <c r="A62" s="191" t="s">
        <v>263</v>
      </c>
      <c r="B62" s="535" t="s">
        <v>18</v>
      </c>
      <c r="C62" s="536"/>
      <c r="D62" s="108">
        <f>Equipamentos!D140</f>
        <v>18.423333333333336</v>
      </c>
    </row>
    <row r="63" spans="1:7" ht="16.5" thickBot="1">
      <c r="A63" s="109" t="s">
        <v>284</v>
      </c>
      <c r="B63" s="537" t="s">
        <v>291</v>
      </c>
      <c r="C63" s="538"/>
      <c r="D63" s="110">
        <v>0</v>
      </c>
    </row>
    <row r="64" spans="1:7" ht="16.5" thickBot="1">
      <c r="A64" s="111"/>
      <c r="B64" s="189" t="s">
        <v>303</v>
      </c>
      <c r="C64" s="112"/>
      <c r="D64" s="113">
        <f>SUM(D59:D63)</f>
        <v>51.756666666666675</v>
      </c>
    </row>
    <row r="65" spans="1:7">
      <c r="A65" s="522" t="s">
        <v>304</v>
      </c>
      <c r="B65" s="522"/>
      <c r="C65" s="522"/>
      <c r="D65" s="522"/>
      <c r="E65" s="522"/>
      <c r="F65" s="522"/>
      <c r="G65" s="522"/>
    </row>
    <row r="66" spans="1:7">
      <c r="A66" s="190"/>
    </row>
    <row r="67" spans="1:7">
      <c r="A67" s="523" t="s">
        <v>305</v>
      </c>
      <c r="B67" s="523"/>
      <c r="C67" s="523"/>
      <c r="D67" s="523"/>
      <c r="E67" s="523"/>
      <c r="F67" s="523"/>
      <c r="G67" s="523"/>
    </row>
    <row r="68" spans="1:7" ht="16.5" thickBot="1">
      <c r="A68" s="523" t="s">
        <v>306</v>
      </c>
      <c r="B68" s="523"/>
      <c r="C68" s="523"/>
      <c r="D68" s="523"/>
      <c r="E68" s="523"/>
      <c r="F68" s="523"/>
      <c r="G68" s="523"/>
    </row>
    <row r="69" spans="1:7" ht="16.5" thickBot="1">
      <c r="A69" s="117" t="s">
        <v>307</v>
      </c>
      <c r="B69" s="118" t="s">
        <v>308</v>
      </c>
      <c r="C69" s="117" t="s">
        <v>4</v>
      </c>
      <c r="D69" s="117" t="s">
        <v>279</v>
      </c>
    </row>
    <row r="70" spans="1:7">
      <c r="A70" s="82" t="s">
        <v>257</v>
      </c>
      <c r="B70" s="119" t="s">
        <v>8</v>
      </c>
      <c r="C70" s="120">
        <v>0.2</v>
      </c>
      <c r="D70" s="104">
        <f t="shared" ref="D70:D77" si="0">ROUND($D$43*C70,2)</f>
        <v>294.23</v>
      </c>
    </row>
    <row r="71" spans="1:7">
      <c r="A71" s="105" t="s">
        <v>259</v>
      </c>
      <c r="B71" s="121" t="s">
        <v>309</v>
      </c>
      <c r="C71" s="122">
        <v>1.4999999999999999E-2</v>
      </c>
      <c r="D71" s="107">
        <f t="shared" si="0"/>
        <v>22.07</v>
      </c>
    </row>
    <row r="72" spans="1:7">
      <c r="A72" s="191" t="s">
        <v>261</v>
      </c>
      <c r="B72" s="123" t="s">
        <v>310</v>
      </c>
      <c r="C72" s="122">
        <v>0.01</v>
      </c>
      <c r="D72" s="107">
        <f t="shared" si="0"/>
        <v>14.71</v>
      </c>
    </row>
    <row r="73" spans="1:7">
      <c r="A73" s="105" t="s">
        <v>263</v>
      </c>
      <c r="B73" s="121" t="s">
        <v>9</v>
      </c>
      <c r="C73" s="122">
        <v>2E-3</v>
      </c>
      <c r="D73" s="107">
        <f t="shared" si="0"/>
        <v>2.94</v>
      </c>
    </row>
    <row r="74" spans="1:7">
      <c r="A74" s="191" t="s">
        <v>284</v>
      </c>
      <c r="B74" s="123" t="s">
        <v>10</v>
      </c>
      <c r="C74" s="122">
        <v>2.5000000000000001E-2</v>
      </c>
      <c r="D74" s="107">
        <f t="shared" si="0"/>
        <v>36.78</v>
      </c>
    </row>
    <row r="75" spans="1:7">
      <c r="A75" s="105" t="s">
        <v>286</v>
      </c>
      <c r="B75" s="121" t="s">
        <v>11</v>
      </c>
      <c r="C75" s="122">
        <v>0.08</v>
      </c>
      <c r="D75" s="107">
        <f t="shared" si="0"/>
        <v>117.69</v>
      </c>
    </row>
    <row r="76" spans="1:7" ht="31.5">
      <c r="A76" s="191" t="s">
        <v>288</v>
      </c>
      <c r="B76" s="123" t="s">
        <v>378</v>
      </c>
      <c r="C76" s="141">
        <v>3.0499999999999999E-2</v>
      </c>
      <c r="D76" s="245">
        <f t="shared" si="0"/>
        <v>44.87</v>
      </c>
    </row>
    <row r="77" spans="1:7" ht="16.5" thickBot="1">
      <c r="A77" s="124" t="s">
        <v>290</v>
      </c>
      <c r="B77" s="125" t="s">
        <v>12</v>
      </c>
      <c r="C77" s="126">
        <v>6.0000000000000001E-3</v>
      </c>
      <c r="D77" s="110">
        <f t="shared" si="0"/>
        <v>8.83</v>
      </c>
    </row>
    <row r="78" spans="1:7" ht="16.5" thickBot="1">
      <c r="A78" s="530" t="s">
        <v>7</v>
      </c>
      <c r="B78" s="531"/>
      <c r="C78" s="127">
        <f>SUM(C70:C77)</f>
        <v>0.36850000000000005</v>
      </c>
      <c r="D78" s="113">
        <f>SUM(D70:D77)</f>
        <v>542.12</v>
      </c>
    </row>
    <row r="79" spans="1:7">
      <c r="A79" s="534" t="s">
        <v>311</v>
      </c>
      <c r="B79" s="534"/>
      <c r="C79" s="534"/>
      <c r="D79" s="534"/>
    </row>
    <row r="80" spans="1:7" ht="16.5" customHeight="1">
      <c r="A80" s="534" t="s">
        <v>312</v>
      </c>
      <c r="B80" s="534"/>
      <c r="C80" s="534"/>
      <c r="D80" s="534"/>
    </row>
    <row r="81" spans="1:7">
      <c r="A81" s="190"/>
    </row>
    <row r="82" spans="1:7" ht="16.5" thickBot="1">
      <c r="A82" s="523" t="s">
        <v>313</v>
      </c>
      <c r="B82" s="523"/>
      <c r="C82" s="523"/>
      <c r="D82" s="523"/>
      <c r="E82" s="523"/>
      <c r="F82" s="523"/>
      <c r="G82" s="523"/>
    </row>
    <row r="83" spans="1:7" ht="16.5" thickBot="1">
      <c r="A83" s="117" t="s">
        <v>314</v>
      </c>
      <c r="B83" s="118" t="s">
        <v>315</v>
      </c>
      <c r="C83" s="117" t="s">
        <v>4</v>
      </c>
      <c r="D83" s="117" t="s">
        <v>279</v>
      </c>
    </row>
    <row r="84" spans="1:7">
      <c r="A84" s="82" t="s">
        <v>257</v>
      </c>
      <c r="B84" s="119" t="s">
        <v>316</v>
      </c>
      <c r="C84" s="120">
        <f>((5/56)*100)/100</f>
        <v>8.9285714285714288E-2</v>
      </c>
      <c r="D84" s="104">
        <f>ROUND($D$43*C84,2)</f>
        <v>131.35</v>
      </c>
    </row>
    <row r="85" spans="1:7">
      <c r="A85" s="105" t="s">
        <v>259</v>
      </c>
      <c r="B85" s="121" t="s">
        <v>317</v>
      </c>
      <c r="C85" s="128">
        <f>(1/3)*(5/56)</f>
        <v>2.976190476190476E-2</v>
      </c>
      <c r="D85" s="129">
        <f>ROUND($D$43*C85,2)</f>
        <v>43.78</v>
      </c>
    </row>
    <row r="86" spans="1:7">
      <c r="A86" s="130" t="s">
        <v>318</v>
      </c>
      <c r="B86" s="121"/>
      <c r="C86" s="131">
        <f>SUM(C84:C85)</f>
        <v>0.11904761904761904</v>
      </c>
      <c r="D86" s="132">
        <f>SUM(D84:D85)</f>
        <v>175.13</v>
      </c>
    </row>
    <row r="87" spans="1:7" ht="32.25" thickBot="1">
      <c r="A87" s="105" t="s">
        <v>261</v>
      </c>
      <c r="B87" s="121" t="s">
        <v>319</v>
      </c>
      <c r="C87" s="122">
        <f>D87/D43</f>
        <v>4.3870441491350304E-2</v>
      </c>
      <c r="D87" s="107">
        <f>ROUND(D78*C86,2)</f>
        <v>64.540000000000006</v>
      </c>
    </row>
    <row r="88" spans="1:7" ht="16.5" thickBot="1">
      <c r="A88" s="530" t="s">
        <v>7</v>
      </c>
      <c r="B88" s="531"/>
      <c r="C88" s="127">
        <f>C87+C86</f>
        <v>0.16291806053896934</v>
      </c>
      <c r="D88" s="113">
        <f>D86+D87</f>
        <v>239.67000000000002</v>
      </c>
    </row>
    <row r="89" spans="1:7">
      <c r="A89" s="190"/>
    </row>
    <row r="90" spans="1:7" ht="16.5" thickBot="1">
      <c r="A90" s="523" t="s">
        <v>320</v>
      </c>
      <c r="B90" s="523"/>
      <c r="C90" s="523"/>
      <c r="D90" s="523"/>
      <c r="E90" s="523"/>
      <c r="F90" s="523"/>
      <c r="G90" s="523"/>
    </row>
    <row r="91" spans="1:7" ht="16.5" thickBot="1">
      <c r="A91" s="117" t="s">
        <v>321</v>
      </c>
      <c r="B91" s="118" t="s">
        <v>322</v>
      </c>
      <c r="C91" s="117" t="s">
        <v>4</v>
      </c>
      <c r="D91" s="117" t="s">
        <v>279</v>
      </c>
    </row>
    <row r="92" spans="1:7">
      <c r="A92" s="82" t="s">
        <v>257</v>
      </c>
      <c r="B92" s="133" t="s">
        <v>323</v>
      </c>
      <c r="C92" s="120">
        <f>0.1111*0.02*0.3333</f>
        <v>7.4059259999999997E-4</v>
      </c>
      <c r="D92" s="104">
        <f>ROUND($D$43*C92,2)</f>
        <v>1.0900000000000001</v>
      </c>
    </row>
    <row r="93" spans="1:7" ht="32.25" thickBot="1">
      <c r="A93" s="109" t="s">
        <v>259</v>
      </c>
      <c r="B93" s="134" t="s">
        <v>324</v>
      </c>
      <c r="C93" s="126">
        <f>D93/D43</f>
        <v>2.7189613567617173E-4</v>
      </c>
      <c r="D93" s="110">
        <f>ROUND(D78*C92,2)</f>
        <v>0.4</v>
      </c>
    </row>
    <row r="94" spans="1:7" ht="16.5" thickBot="1">
      <c r="A94" s="530" t="s">
        <v>7</v>
      </c>
      <c r="B94" s="531"/>
      <c r="C94" s="127">
        <f>SUM(C92:C93)</f>
        <v>1.0124887356761716E-3</v>
      </c>
      <c r="D94" s="113">
        <f>SUM(D92:D93)</f>
        <v>1.4900000000000002</v>
      </c>
    </row>
    <row r="95" spans="1:7">
      <c r="A95" s="190"/>
    </row>
    <row r="96" spans="1:7">
      <c r="A96" s="190"/>
    </row>
    <row r="97" spans="1:7" ht="16.5" thickBot="1">
      <c r="A97" s="523" t="s">
        <v>325</v>
      </c>
      <c r="B97" s="523"/>
      <c r="C97" s="523"/>
      <c r="D97" s="523"/>
      <c r="E97" s="523"/>
      <c r="F97" s="523"/>
      <c r="G97" s="523"/>
    </row>
    <row r="98" spans="1:7" ht="16.5" thickBot="1">
      <c r="A98" s="117" t="s">
        <v>326</v>
      </c>
      <c r="B98" s="118" t="s">
        <v>327</v>
      </c>
      <c r="C98" s="117" t="s">
        <v>4</v>
      </c>
      <c r="D98" s="117" t="s">
        <v>279</v>
      </c>
    </row>
    <row r="99" spans="1:7">
      <c r="A99" s="82" t="s">
        <v>257</v>
      </c>
      <c r="B99" s="133" t="s">
        <v>328</v>
      </c>
      <c r="C99" s="135">
        <f>((1/12)*0.05)</f>
        <v>4.1666666666666666E-3</v>
      </c>
      <c r="D99" s="104">
        <f>ROUND($D$43*C99,2)</f>
        <v>6.13</v>
      </c>
    </row>
    <row r="100" spans="1:7" ht="31.5">
      <c r="A100" s="191" t="s">
        <v>259</v>
      </c>
      <c r="B100" s="91" t="s">
        <v>329</v>
      </c>
      <c r="C100" s="136">
        <f>D100/D43</f>
        <v>3.3307276620331028E-4</v>
      </c>
      <c r="D100" s="137">
        <f>ROUND(D75*C99,2)</f>
        <v>0.49</v>
      </c>
    </row>
    <row r="101" spans="1:7">
      <c r="A101" s="191" t="s">
        <v>261</v>
      </c>
      <c r="B101" s="138" t="s">
        <v>330</v>
      </c>
      <c r="C101" s="139">
        <f>0.08*0.5*0.9*(1+(5/56)+(5/56)+(1/3)*(5/56))</f>
        <v>4.3499999999999997E-2</v>
      </c>
      <c r="D101" s="107">
        <f>ROUND($D$43*C101,2)</f>
        <v>64</v>
      </c>
    </row>
    <row r="102" spans="1:7">
      <c r="A102" s="191" t="s">
        <v>263</v>
      </c>
      <c r="B102" s="138" t="s">
        <v>331</v>
      </c>
      <c r="C102" s="140">
        <f>(((7/30)/12))</f>
        <v>1.9444444444444445E-2</v>
      </c>
      <c r="D102" s="107">
        <f>ROUND($D$43*C102,2)</f>
        <v>28.61</v>
      </c>
    </row>
    <row r="103" spans="1:7" ht="31.5">
      <c r="A103" s="191" t="s">
        <v>284</v>
      </c>
      <c r="B103" s="138" t="s">
        <v>332</v>
      </c>
      <c r="C103" s="141">
        <f>D103/D43</f>
        <v>7.1644631750671234E-3</v>
      </c>
      <c r="D103" s="107">
        <f>ROUND(D78*C102,2)</f>
        <v>10.54</v>
      </c>
    </row>
    <row r="104" spans="1:7" ht="16.5" thickBot="1">
      <c r="A104" s="109" t="s">
        <v>286</v>
      </c>
      <c r="B104" s="134" t="s">
        <v>333</v>
      </c>
      <c r="C104" s="142">
        <f>(40%+10%)*C75*C102</f>
        <v>7.7777777777777784E-4</v>
      </c>
      <c r="D104" s="107">
        <f>ROUND($D$43*C104,2)</f>
        <v>1.1399999999999999</v>
      </c>
    </row>
    <row r="105" spans="1:7" ht="16.5" thickBot="1">
      <c r="A105" s="525" t="s">
        <v>7</v>
      </c>
      <c r="B105" s="526"/>
      <c r="C105" s="127">
        <f>SUM(C99:C104)</f>
        <v>7.5386424830159324E-2</v>
      </c>
      <c r="D105" s="143">
        <f>SUM(D99:D104)</f>
        <v>110.91000000000001</v>
      </c>
    </row>
    <row r="106" spans="1:7">
      <c r="A106" s="71"/>
    </row>
    <row r="107" spans="1:7" ht="16.5" thickBot="1">
      <c r="A107" s="523" t="s">
        <v>334</v>
      </c>
      <c r="B107" s="523"/>
      <c r="C107" s="523"/>
      <c r="D107" s="523"/>
      <c r="E107" s="523"/>
      <c r="F107" s="523"/>
      <c r="G107" s="523"/>
    </row>
    <row r="108" spans="1:7" ht="32.25" thickBot="1">
      <c r="A108" s="117" t="s">
        <v>335</v>
      </c>
      <c r="B108" s="118" t="s">
        <v>336</v>
      </c>
      <c r="C108" s="117" t="s">
        <v>4</v>
      </c>
      <c r="D108" s="117" t="s">
        <v>279</v>
      </c>
    </row>
    <row r="109" spans="1:7">
      <c r="A109" s="82" t="s">
        <v>257</v>
      </c>
      <c r="B109" s="133" t="s">
        <v>13</v>
      </c>
      <c r="C109" s="144">
        <f>(5/56)</f>
        <v>8.9285714285714288E-2</v>
      </c>
      <c r="D109" s="107">
        <f t="shared" ref="D109:D114" si="1">ROUND($D$43*C109,2)</f>
        <v>131.35</v>
      </c>
    </row>
    <row r="110" spans="1:7">
      <c r="A110" s="191" t="s">
        <v>259</v>
      </c>
      <c r="B110" s="138" t="s">
        <v>379</v>
      </c>
      <c r="C110" s="122">
        <f>(10.96/30)/12</f>
        <v>3.0444444444444444E-2</v>
      </c>
      <c r="D110" s="107">
        <f t="shared" si="1"/>
        <v>44.79</v>
      </c>
      <c r="E110" s="184"/>
    </row>
    <row r="111" spans="1:7">
      <c r="A111" s="191" t="s">
        <v>261</v>
      </c>
      <c r="B111" s="138" t="s">
        <v>337</v>
      </c>
      <c r="C111" s="122">
        <f>((5/30)/12)*0.015</f>
        <v>2.0833333333333332E-4</v>
      </c>
      <c r="D111" s="107">
        <f t="shared" si="1"/>
        <v>0.31</v>
      </c>
    </row>
    <row r="112" spans="1:7">
      <c r="A112" s="191" t="s">
        <v>263</v>
      </c>
      <c r="B112" s="138" t="s">
        <v>338</v>
      </c>
      <c r="C112" s="122">
        <f>((1/30)/12)</f>
        <v>2.7777777777777779E-3</v>
      </c>
      <c r="D112" s="107">
        <f t="shared" si="1"/>
        <v>4.09</v>
      </c>
    </row>
    <row r="113" spans="1:7">
      <c r="A113" s="191" t="s">
        <v>284</v>
      </c>
      <c r="B113" s="138" t="s">
        <v>339</v>
      </c>
      <c r="C113" s="122">
        <f>((15/30)/12)*0.0078</f>
        <v>3.2499999999999999E-4</v>
      </c>
      <c r="D113" s="107">
        <f t="shared" si="1"/>
        <v>0.48</v>
      </c>
    </row>
    <row r="114" spans="1:7">
      <c r="A114" s="191" t="s">
        <v>286</v>
      </c>
      <c r="B114" s="138" t="s">
        <v>291</v>
      </c>
      <c r="C114" s="145"/>
      <c r="D114" s="107">
        <f t="shared" si="1"/>
        <v>0</v>
      </c>
    </row>
    <row r="115" spans="1:7">
      <c r="A115" s="532" t="s">
        <v>318</v>
      </c>
      <c r="B115" s="533"/>
      <c r="C115" s="122">
        <f>SUM(C109:C114)</f>
        <v>0.12304126984126985</v>
      </c>
      <c r="D115" s="107">
        <f>SUM(D109:D114)</f>
        <v>181.01999999999998</v>
      </c>
    </row>
    <row r="116" spans="1:7" ht="32.25" thickBot="1">
      <c r="A116" s="109" t="s">
        <v>288</v>
      </c>
      <c r="B116" s="134" t="s">
        <v>340</v>
      </c>
      <c r="C116" s="142">
        <f>D116/$D$43</f>
        <v>4.5338680624001627E-2</v>
      </c>
      <c r="D116" s="107">
        <f>ROUND(D78*C115,2)</f>
        <v>66.7</v>
      </c>
    </row>
    <row r="117" spans="1:7" ht="16.5" thickBot="1">
      <c r="A117" s="525" t="s">
        <v>7</v>
      </c>
      <c r="B117" s="526"/>
      <c r="C117" s="127">
        <f>C116+C115</f>
        <v>0.16837995046527149</v>
      </c>
      <c r="D117" s="146">
        <f>D116+D115</f>
        <v>247.71999999999997</v>
      </c>
    </row>
    <row r="118" spans="1:7">
      <c r="A118" s="190" t="s">
        <v>341</v>
      </c>
    </row>
    <row r="119" spans="1:7" ht="16.5" thickBot="1">
      <c r="A119" s="522" t="s">
        <v>342</v>
      </c>
      <c r="B119" s="522"/>
      <c r="C119" s="522"/>
      <c r="D119" s="522"/>
      <c r="E119" s="522"/>
      <c r="F119" s="522"/>
      <c r="G119" s="522"/>
    </row>
    <row r="120" spans="1:7" ht="32.25" customHeight="1" thickBot="1">
      <c r="A120" s="147">
        <v>4</v>
      </c>
      <c r="B120" s="148" t="s">
        <v>343</v>
      </c>
      <c r="C120" s="149" t="s">
        <v>4</v>
      </c>
      <c r="D120" s="150" t="s">
        <v>279</v>
      </c>
    </row>
    <row r="121" spans="1:7">
      <c r="A121" s="82" t="s">
        <v>307</v>
      </c>
      <c r="B121" s="133" t="s">
        <v>344</v>
      </c>
      <c r="C121" s="142">
        <f t="shared" ref="C121:C126" si="2">D121/$D$43</f>
        <v>0.16291336709377019</v>
      </c>
      <c r="D121" s="107">
        <f>D88</f>
        <v>239.67000000000002</v>
      </c>
    </row>
    <row r="122" spans="1:7">
      <c r="A122" s="191" t="s">
        <v>314</v>
      </c>
      <c r="B122" s="138" t="s">
        <v>308</v>
      </c>
      <c r="C122" s="142">
        <f t="shared" si="2"/>
        <v>0.36850083268191547</v>
      </c>
      <c r="D122" s="107">
        <f>D78</f>
        <v>542.12</v>
      </c>
    </row>
    <row r="123" spans="1:7">
      <c r="A123" s="191" t="s">
        <v>321</v>
      </c>
      <c r="B123" s="138" t="s">
        <v>323</v>
      </c>
      <c r="C123" s="142">
        <f t="shared" si="2"/>
        <v>1.0128131053937397E-3</v>
      </c>
      <c r="D123" s="107">
        <f>D94</f>
        <v>1.4900000000000002</v>
      </c>
    </row>
    <row r="124" spans="1:7">
      <c r="A124" s="151" t="s">
        <v>326</v>
      </c>
      <c r="B124" s="152" t="s">
        <v>345</v>
      </c>
      <c r="C124" s="142">
        <f t="shared" si="2"/>
        <v>7.5390001019610506E-2</v>
      </c>
      <c r="D124" s="107">
        <f>D105</f>
        <v>110.91000000000001</v>
      </c>
    </row>
    <row r="125" spans="1:7">
      <c r="A125" s="153" t="s">
        <v>335</v>
      </c>
      <c r="B125" s="154" t="s">
        <v>346</v>
      </c>
      <c r="C125" s="142">
        <f t="shared" si="2"/>
        <v>0.16838527682425311</v>
      </c>
      <c r="D125" s="107">
        <f>D117</f>
        <v>247.71999999999997</v>
      </c>
    </row>
    <row r="126" spans="1:7" ht="16.5" thickBot="1">
      <c r="A126" s="191" t="s">
        <v>347</v>
      </c>
      <c r="B126" s="138" t="s">
        <v>291</v>
      </c>
      <c r="C126" s="142">
        <f t="shared" si="2"/>
        <v>0</v>
      </c>
      <c r="D126" s="107">
        <v>0</v>
      </c>
    </row>
    <row r="127" spans="1:7" ht="37.5" customHeight="1" thickBot="1">
      <c r="A127" s="530" t="s">
        <v>348</v>
      </c>
      <c r="B127" s="531"/>
      <c r="C127" s="127">
        <f>SUM(C121:C126)</f>
        <v>0.77620229072494284</v>
      </c>
      <c r="D127" s="113">
        <f>SUM(D121:D126)</f>
        <v>1141.9099999999999</v>
      </c>
    </row>
    <row r="128" spans="1:7">
      <c r="A128" s="155"/>
      <c r="B128" s="155"/>
      <c r="C128" s="156"/>
      <c r="D128" s="157"/>
      <c r="E128" s="158"/>
      <c r="F128" s="159"/>
      <c r="G128" s="159"/>
    </row>
    <row r="129" spans="1:8" ht="16.5" thickBot="1">
      <c r="A129" s="522" t="s">
        <v>349</v>
      </c>
      <c r="B129" s="522"/>
      <c r="C129" s="522"/>
      <c r="D129" s="522"/>
      <c r="E129" s="522"/>
      <c r="F129" s="522"/>
      <c r="G129" s="522"/>
      <c r="H129" s="160"/>
    </row>
    <row r="130" spans="1:8" ht="16.5" thickBot="1">
      <c r="A130" s="147" t="s">
        <v>350</v>
      </c>
      <c r="B130" s="148" t="s">
        <v>351</v>
      </c>
      <c r="C130" s="149" t="s">
        <v>4</v>
      </c>
      <c r="D130" s="114" t="s">
        <v>279</v>
      </c>
      <c r="E130" s="161">
        <f>D43+D54+D64+D78+D88+D94+D105+D117</f>
        <v>3263.2509999999993</v>
      </c>
      <c r="G130" s="160"/>
    </row>
    <row r="131" spans="1:8">
      <c r="A131" s="82" t="s">
        <v>257</v>
      </c>
      <c r="B131" s="133" t="s">
        <v>352</v>
      </c>
      <c r="C131" s="162">
        <v>6.3627000000000003E-2</v>
      </c>
      <c r="D131" s="163">
        <f>E130*C131</f>
        <v>207.63087137699998</v>
      </c>
      <c r="G131" s="160"/>
    </row>
    <row r="132" spans="1:8">
      <c r="A132" s="191" t="s">
        <v>259</v>
      </c>
      <c r="B132" s="138" t="s">
        <v>353</v>
      </c>
      <c r="C132" s="142"/>
      <c r="D132" s="164"/>
      <c r="F132" s="165"/>
    </row>
    <row r="133" spans="1:8">
      <c r="A133" s="191"/>
      <c r="B133" s="138" t="s">
        <v>354</v>
      </c>
      <c r="C133" s="142"/>
      <c r="D133" s="129"/>
      <c r="F133" s="182"/>
      <c r="G133" s="160"/>
    </row>
    <row r="134" spans="1:8">
      <c r="A134" s="191"/>
      <c r="B134" s="138" t="s">
        <v>355</v>
      </c>
      <c r="C134" s="142">
        <v>7.5999999999999998E-2</v>
      </c>
      <c r="D134" s="107">
        <f>$D$152*C134</f>
        <v>304.88718665682944</v>
      </c>
      <c r="E134" s="165">
        <f>D152</f>
        <v>4011.6735086424928</v>
      </c>
      <c r="G134" s="160"/>
    </row>
    <row r="135" spans="1:8">
      <c r="A135" s="191"/>
      <c r="B135" s="138" t="s">
        <v>356</v>
      </c>
      <c r="C135" s="142">
        <v>1.6500000000000001E-2</v>
      </c>
      <c r="D135" s="107">
        <f>$D$152*C135</f>
        <v>66.192612892601133</v>
      </c>
      <c r="E135" s="246"/>
      <c r="G135" s="160"/>
    </row>
    <row r="136" spans="1:8">
      <c r="A136" s="191"/>
      <c r="B136" s="138" t="s">
        <v>357</v>
      </c>
      <c r="C136" s="142"/>
      <c r="D136" s="107"/>
    </row>
    <row r="137" spans="1:8">
      <c r="A137" s="191"/>
      <c r="B137" s="138" t="s">
        <v>358</v>
      </c>
      <c r="C137" s="142">
        <v>2.5000000000000001E-2</v>
      </c>
      <c r="D137" s="107">
        <f>$D$152*C137</f>
        <v>100.29183771606233</v>
      </c>
      <c r="G137" s="160"/>
    </row>
    <row r="138" spans="1:8">
      <c r="A138" s="191"/>
      <c r="B138" s="138" t="s">
        <v>359</v>
      </c>
      <c r="C138" s="142"/>
      <c r="D138" s="107"/>
    </row>
    <row r="139" spans="1:8" ht="16.5" thickBot="1">
      <c r="A139" s="191" t="s">
        <v>261</v>
      </c>
      <c r="B139" s="138" t="s">
        <v>360</v>
      </c>
      <c r="C139" s="142">
        <v>0.02</v>
      </c>
      <c r="D139" s="107">
        <f>ROUND(E139*C139,2)</f>
        <v>69.42</v>
      </c>
      <c r="E139" s="132">
        <f>E130+D131</f>
        <v>3470.8818713769992</v>
      </c>
    </row>
    <row r="140" spans="1:8" ht="33" customHeight="1" thickBot="1">
      <c r="A140" s="527" t="s">
        <v>361</v>
      </c>
      <c r="B140" s="528"/>
      <c r="C140" s="529"/>
      <c r="D140" s="166">
        <f>D131+D134+D135+D137+D139</f>
        <v>748.42250864249286</v>
      </c>
    </row>
    <row r="141" spans="1:8">
      <c r="A141" s="522" t="s">
        <v>362</v>
      </c>
      <c r="B141" s="522"/>
      <c r="C141" s="522"/>
      <c r="D141" s="522"/>
      <c r="E141" s="522"/>
      <c r="F141" s="522"/>
      <c r="G141" s="522"/>
    </row>
    <row r="142" spans="1:8">
      <c r="A142" s="522" t="s">
        <v>363</v>
      </c>
      <c r="B142" s="522"/>
      <c r="C142" s="522"/>
      <c r="D142" s="522"/>
      <c r="E142" s="522"/>
      <c r="F142" s="522"/>
      <c r="G142" s="522"/>
    </row>
    <row r="143" spans="1:8">
      <c r="A143" s="190"/>
    </row>
    <row r="144" spans="1:8" ht="16.5" thickBot="1">
      <c r="A144" s="523" t="s">
        <v>364</v>
      </c>
      <c r="B144" s="523"/>
      <c r="C144" s="523"/>
      <c r="D144" s="523"/>
      <c r="E144" s="523"/>
      <c r="F144" s="523"/>
      <c r="G144" s="523"/>
    </row>
    <row r="145" spans="1:8" ht="32.25" customHeight="1" thickBot="1">
      <c r="A145" s="147"/>
      <c r="B145" s="524" t="s">
        <v>365</v>
      </c>
      <c r="C145" s="524"/>
      <c r="D145" s="167" t="s">
        <v>366</v>
      </c>
    </row>
    <row r="146" spans="1:8">
      <c r="A146" s="191" t="s">
        <v>257</v>
      </c>
      <c r="B146" s="138" t="s">
        <v>367</v>
      </c>
      <c r="C146" s="122">
        <f t="shared" ref="C146:C151" si="3">D146/$D$152</f>
        <v>0.36671728066370524</v>
      </c>
      <c r="D146" s="129">
        <f>D43</f>
        <v>1471.15</v>
      </c>
    </row>
    <row r="147" spans="1:8">
      <c r="A147" s="191" t="s">
        <v>259</v>
      </c>
      <c r="B147" s="138" t="s">
        <v>368</v>
      </c>
      <c r="C147" s="122">
        <f t="shared" si="3"/>
        <v>0.14917323955803102</v>
      </c>
      <c r="D147" s="129">
        <f>D54</f>
        <v>598.43433333333337</v>
      </c>
    </row>
    <row r="148" spans="1:8" ht="31.5">
      <c r="A148" s="191" t="s">
        <v>261</v>
      </c>
      <c r="B148" s="138" t="s">
        <v>369</v>
      </c>
      <c r="C148" s="122">
        <f t="shared" si="3"/>
        <v>1.2901515179429588E-2</v>
      </c>
      <c r="D148" s="129">
        <f>D64</f>
        <v>51.756666666666675</v>
      </c>
      <c r="E148" s="165">
        <f>D150+D131+D139</f>
        <v>3540.3018713769998</v>
      </c>
    </row>
    <row r="149" spans="1:8" ht="31.5">
      <c r="A149" s="191" t="s">
        <v>263</v>
      </c>
      <c r="B149" s="138" t="s">
        <v>370</v>
      </c>
      <c r="C149" s="122">
        <f t="shared" si="3"/>
        <v>0.28464679329958981</v>
      </c>
      <c r="D149" s="129">
        <f>D127</f>
        <v>1141.9099999999999</v>
      </c>
      <c r="E149" s="174">
        <f>C137+C135+C134</f>
        <v>0.11749999999999999</v>
      </c>
    </row>
    <row r="150" spans="1:8" ht="16.5" customHeight="1">
      <c r="A150" s="168" t="s">
        <v>371</v>
      </c>
      <c r="B150" s="169"/>
      <c r="C150" s="131">
        <f t="shared" si="3"/>
        <v>0.81343882870075557</v>
      </c>
      <c r="D150" s="170">
        <f>SUM(D146:D149)</f>
        <v>3263.2509999999997</v>
      </c>
      <c r="E150" s="174">
        <f>100%-E149</f>
        <v>0.88250000000000006</v>
      </c>
    </row>
    <row r="151" spans="1:8" ht="32.25" thickBot="1">
      <c r="A151" s="191" t="s">
        <v>284</v>
      </c>
      <c r="B151" s="138" t="s">
        <v>372</v>
      </c>
      <c r="C151" s="122">
        <f t="shared" si="3"/>
        <v>0.18656117129924438</v>
      </c>
      <c r="D151" s="129">
        <f>D140</f>
        <v>748.42250864249286</v>
      </c>
      <c r="G151" s="171"/>
    </row>
    <row r="152" spans="1:8" ht="16.5" customHeight="1" thickBot="1">
      <c r="A152" s="525" t="s">
        <v>373</v>
      </c>
      <c r="B152" s="526"/>
      <c r="C152" s="127">
        <f>C151+C150</f>
        <v>1</v>
      </c>
      <c r="D152" s="166">
        <f>(D150+D139+D131)/0.8825</f>
        <v>4011.6735086424928</v>
      </c>
      <c r="E152" s="171"/>
      <c r="F152" s="165">
        <f>D150+D151</f>
        <v>4011.6735086424924</v>
      </c>
      <c r="H152" s="172"/>
    </row>
    <row r="153" spans="1:8">
      <c r="E153" s="171"/>
    </row>
    <row r="154" spans="1:8">
      <c r="A154" s="186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1.299212598425197" right="0.51181102362204722" top="2.1653543307086616" bottom="0.98425196850393704" header="0.31496062992125984" footer="0.31496062992125984"/>
  <pageSetup paperSize="9" scale="79" fitToHeight="4" orientation="portrait" r:id="rId1"/>
  <headerFooter alignWithMargins="0"/>
  <rowBreaks count="3" manualBreakCount="3">
    <brk id="43" max="3" man="1"/>
    <brk id="88" max="3" man="1"/>
    <brk id="128" max="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154"/>
  <sheetViews>
    <sheetView showGridLines="0" view="pageBreakPreview" topLeftCell="A21" zoomScale="90" zoomScaleSheetLayoutView="90" workbookViewId="0">
      <selection activeCell="D35" sqref="D35"/>
    </sheetView>
  </sheetViews>
  <sheetFormatPr defaultRowHeight="15.75"/>
  <cols>
    <col min="1" max="1" width="9.28515625" style="53" customWidth="1"/>
    <col min="2" max="2" width="39.85546875" style="53" customWidth="1"/>
    <col min="3" max="3" width="18.28515625" style="53" customWidth="1"/>
    <col min="4" max="4" width="23.85546875" style="53" customWidth="1"/>
    <col min="5" max="5" width="16" style="53" bestFit="1" customWidth="1"/>
    <col min="6" max="6" width="13.7109375" style="53" bestFit="1" customWidth="1"/>
    <col min="7" max="7" width="15.7109375" style="53" bestFit="1" customWidth="1"/>
    <col min="8" max="8" width="13.140625" style="53" bestFit="1" customWidth="1"/>
    <col min="9" max="9" width="11.85546875" style="53" bestFit="1" customWidth="1"/>
    <col min="10" max="10" width="12.85546875" style="53" bestFit="1" customWidth="1"/>
    <col min="11" max="256" width="9.140625" style="53"/>
    <col min="257" max="257" width="9.28515625" style="53" customWidth="1"/>
    <col min="258" max="258" width="39.85546875" style="53" customWidth="1"/>
    <col min="259" max="259" width="18.28515625" style="53" customWidth="1"/>
    <col min="260" max="260" width="23.85546875" style="53" customWidth="1"/>
    <col min="261" max="261" width="16" style="53" bestFit="1" customWidth="1"/>
    <col min="262" max="262" width="13.7109375" style="53" bestFit="1" customWidth="1"/>
    <col min="263" max="263" width="15.7109375" style="53" bestFit="1" customWidth="1"/>
    <col min="264" max="264" width="13.140625" style="53" bestFit="1" customWidth="1"/>
    <col min="265" max="265" width="11.85546875" style="53" bestFit="1" customWidth="1"/>
    <col min="266" max="266" width="12.85546875" style="53" bestFit="1" customWidth="1"/>
    <col min="267" max="512" width="9.140625" style="53"/>
    <col min="513" max="513" width="9.28515625" style="53" customWidth="1"/>
    <col min="514" max="514" width="39.85546875" style="53" customWidth="1"/>
    <col min="515" max="515" width="18.28515625" style="53" customWidth="1"/>
    <col min="516" max="516" width="23.85546875" style="53" customWidth="1"/>
    <col min="517" max="517" width="16" style="53" bestFit="1" customWidth="1"/>
    <col min="518" max="518" width="13.7109375" style="53" bestFit="1" customWidth="1"/>
    <col min="519" max="519" width="15.7109375" style="53" bestFit="1" customWidth="1"/>
    <col min="520" max="520" width="13.140625" style="53" bestFit="1" customWidth="1"/>
    <col min="521" max="521" width="11.85546875" style="53" bestFit="1" customWidth="1"/>
    <col min="522" max="522" width="12.85546875" style="53" bestFit="1" customWidth="1"/>
    <col min="523" max="768" width="9.140625" style="53"/>
    <col min="769" max="769" width="9.28515625" style="53" customWidth="1"/>
    <col min="770" max="770" width="39.85546875" style="53" customWidth="1"/>
    <col min="771" max="771" width="18.28515625" style="53" customWidth="1"/>
    <col min="772" max="772" width="23.85546875" style="53" customWidth="1"/>
    <col min="773" max="773" width="16" style="53" bestFit="1" customWidth="1"/>
    <col min="774" max="774" width="13.7109375" style="53" bestFit="1" customWidth="1"/>
    <col min="775" max="775" width="15.7109375" style="53" bestFit="1" customWidth="1"/>
    <col min="776" max="776" width="13.140625" style="53" bestFit="1" customWidth="1"/>
    <col min="777" max="777" width="11.85546875" style="53" bestFit="1" customWidth="1"/>
    <col min="778" max="778" width="12.85546875" style="53" bestFit="1" customWidth="1"/>
    <col min="779" max="1024" width="9.140625" style="53"/>
    <col min="1025" max="1025" width="9.28515625" style="53" customWidth="1"/>
    <col min="1026" max="1026" width="39.85546875" style="53" customWidth="1"/>
    <col min="1027" max="1027" width="18.28515625" style="53" customWidth="1"/>
    <col min="1028" max="1028" width="23.85546875" style="53" customWidth="1"/>
    <col min="1029" max="1029" width="16" style="53" bestFit="1" customWidth="1"/>
    <col min="1030" max="1030" width="13.7109375" style="53" bestFit="1" customWidth="1"/>
    <col min="1031" max="1031" width="15.7109375" style="53" bestFit="1" customWidth="1"/>
    <col min="1032" max="1032" width="13.140625" style="53" bestFit="1" customWidth="1"/>
    <col min="1033" max="1033" width="11.85546875" style="53" bestFit="1" customWidth="1"/>
    <col min="1034" max="1034" width="12.85546875" style="53" bestFit="1" customWidth="1"/>
    <col min="1035" max="1280" width="9.140625" style="53"/>
    <col min="1281" max="1281" width="9.28515625" style="53" customWidth="1"/>
    <col min="1282" max="1282" width="39.85546875" style="53" customWidth="1"/>
    <col min="1283" max="1283" width="18.28515625" style="53" customWidth="1"/>
    <col min="1284" max="1284" width="23.85546875" style="53" customWidth="1"/>
    <col min="1285" max="1285" width="16" style="53" bestFit="1" customWidth="1"/>
    <col min="1286" max="1286" width="13.7109375" style="53" bestFit="1" customWidth="1"/>
    <col min="1287" max="1287" width="15.7109375" style="53" bestFit="1" customWidth="1"/>
    <col min="1288" max="1288" width="13.140625" style="53" bestFit="1" customWidth="1"/>
    <col min="1289" max="1289" width="11.85546875" style="53" bestFit="1" customWidth="1"/>
    <col min="1290" max="1290" width="12.85546875" style="53" bestFit="1" customWidth="1"/>
    <col min="1291" max="1536" width="9.140625" style="53"/>
    <col min="1537" max="1537" width="9.28515625" style="53" customWidth="1"/>
    <col min="1538" max="1538" width="39.85546875" style="53" customWidth="1"/>
    <col min="1539" max="1539" width="18.28515625" style="53" customWidth="1"/>
    <col min="1540" max="1540" width="23.85546875" style="53" customWidth="1"/>
    <col min="1541" max="1541" width="16" style="53" bestFit="1" customWidth="1"/>
    <col min="1542" max="1542" width="13.7109375" style="53" bestFit="1" customWidth="1"/>
    <col min="1543" max="1543" width="15.7109375" style="53" bestFit="1" customWidth="1"/>
    <col min="1544" max="1544" width="13.140625" style="53" bestFit="1" customWidth="1"/>
    <col min="1545" max="1545" width="11.85546875" style="53" bestFit="1" customWidth="1"/>
    <col min="1546" max="1546" width="12.85546875" style="53" bestFit="1" customWidth="1"/>
    <col min="1547" max="1792" width="9.140625" style="53"/>
    <col min="1793" max="1793" width="9.28515625" style="53" customWidth="1"/>
    <col min="1794" max="1794" width="39.85546875" style="53" customWidth="1"/>
    <col min="1795" max="1795" width="18.28515625" style="53" customWidth="1"/>
    <col min="1796" max="1796" width="23.85546875" style="53" customWidth="1"/>
    <col min="1797" max="1797" width="16" style="53" bestFit="1" customWidth="1"/>
    <col min="1798" max="1798" width="13.7109375" style="53" bestFit="1" customWidth="1"/>
    <col min="1799" max="1799" width="15.7109375" style="53" bestFit="1" customWidth="1"/>
    <col min="1800" max="1800" width="13.140625" style="53" bestFit="1" customWidth="1"/>
    <col min="1801" max="1801" width="11.85546875" style="53" bestFit="1" customWidth="1"/>
    <col min="1802" max="1802" width="12.85546875" style="53" bestFit="1" customWidth="1"/>
    <col min="1803" max="2048" width="9.140625" style="53"/>
    <col min="2049" max="2049" width="9.28515625" style="53" customWidth="1"/>
    <col min="2050" max="2050" width="39.85546875" style="53" customWidth="1"/>
    <col min="2051" max="2051" width="18.28515625" style="53" customWidth="1"/>
    <col min="2052" max="2052" width="23.85546875" style="53" customWidth="1"/>
    <col min="2053" max="2053" width="16" style="53" bestFit="1" customWidth="1"/>
    <col min="2054" max="2054" width="13.7109375" style="53" bestFit="1" customWidth="1"/>
    <col min="2055" max="2055" width="15.7109375" style="53" bestFit="1" customWidth="1"/>
    <col min="2056" max="2056" width="13.140625" style="53" bestFit="1" customWidth="1"/>
    <col min="2057" max="2057" width="11.85546875" style="53" bestFit="1" customWidth="1"/>
    <col min="2058" max="2058" width="12.85546875" style="53" bestFit="1" customWidth="1"/>
    <col min="2059" max="2304" width="9.140625" style="53"/>
    <col min="2305" max="2305" width="9.28515625" style="53" customWidth="1"/>
    <col min="2306" max="2306" width="39.85546875" style="53" customWidth="1"/>
    <col min="2307" max="2307" width="18.28515625" style="53" customWidth="1"/>
    <col min="2308" max="2308" width="23.85546875" style="53" customWidth="1"/>
    <col min="2309" max="2309" width="16" style="53" bestFit="1" customWidth="1"/>
    <col min="2310" max="2310" width="13.7109375" style="53" bestFit="1" customWidth="1"/>
    <col min="2311" max="2311" width="15.7109375" style="53" bestFit="1" customWidth="1"/>
    <col min="2312" max="2312" width="13.140625" style="53" bestFit="1" customWidth="1"/>
    <col min="2313" max="2313" width="11.85546875" style="53" bestFit="1" customWidth="1"/>
    <col min="2314" max="2314" width="12.85546875" style="53" bestFit="1" customWidth="1"/>
    <col min="2315" max="2560" width="9.140625" style="53"/>
    <col min="2561" max="2561" width="9.28515625" style="53" customWidth="1"/>
    <col min="2562" max="2562" width="39.85546875" style="53" customWidth="1"/>
    <col min="2563" max="2563" width="18.28515625" style="53" customWidth="1"/>
    <col min="2564" max="2564" width="23.85546875" style="53" customWidth="1"/>
    <col min="2565" max="2565" width="16" style="53" bestFit="1" customWidth="1"/>
    <col min="2566" max="2566" width="13.7109375" style="53" bestFit="1" customWidth="1"/>
    <col min="2567" max="2567" width="15.7109375" style="53" bestFit="1" customWidth="1"/>
    <col min="2568" max="2568" width="13.140625" style="53" bestFit="1" customWidth="1"/>
    <col min="2569" max="2569" width="11.85546875" style="53" bestFit="1" customWidth="1"/>
    <col min="2570" max="2570" width="12.85546875" style="53" bestFit="1" customWidth="1"/>
    <col min="2571" max="2816" width="9.140625" style="53"/>
    <col min="2817" max="2817" width="9.28515625" style="53" customWidth="1"/>
    <col min="2818" max="2818" width="39.85546875" style="53" customWidth="1"/>
    <col min="2819" max="2819" width="18.28515625" style="53" customWidth="1"/>
    <col min="2820" max="2820" width="23.85546875" style="53" customWidth="1"/>
    <col min="2821" max="2821" width="16" style="53" bestFit="1" customWidth="1"/>
    <col min="2822" max="2822" width="13.7109375" style="53" bestFit="1" customWidth="1"/>
    <col min="2823" max="2823" width="15.7109375" style="53" bestFit="1" customWidth="1"/>
    <col min="2824" max="2824" width="13.140625" style="53" bestFit="1" customWidth="1"/>
    <col min="2825" max="2825" width="11.85546875" style="53" bestFit="1" customWidth="1"/>
    <col min="2826" max="2826" width="12.85546875" style="53" bestFit="1" customWidth="1"/>
    <col min="2827" max="3072" width="9.140625" style="53"/>
    <col min="3073" max="3073" width="9.28515625" style="53" customWidth="1"/>
    <col min="3074" max="3074" width="39.85546875" style="53" customWidth="1"/>
    <col min="3075" max="3075" width="18.28515625" style="53" customWidth="1"/>
    <col min="3076" max="3076" width="23.85546875" style="53" customWidth="1"/>
    <col min="3077" max="3077" width="16" style="53" bestFit="1" customWidth="1"/>
    <col min="3078" max="3078" width="13.7109375" style="53" bestFit="1" customWidth="1"/>
    <col min="3079" max="3079" width="15.7109375" style="53" bestFit="1" customWidth="1"/>
    <col min="3080" max="3080" width="13.140625" style="53" bestFit="1" customWidth="1"/>
    <col min="3081" max="3081" width="11.85546875" style="53" bestFit="1" customWidth="1"/>
    <col min="3082" max="3082" width="12.85546875" style="53" bestFit="1" customWidth="1"/>
    <col min="3083" max="3328" width="9.140625" style="53"/>
    <col min="3329" max="3329" width="9.28515625" style="53" customWidth="1"/>
    <col min="3330" max="3330" width="39.85546875" style="53" customWidth="1"/>
    <col min="3331" max="3331" width="18.28515625" style="53" customWidth="1"/>
    <col min="3332" max="3332" width="23.85546875" style="53" customWidth="1"/>
    <col min="3333" max="3333" width="16" style="53" bestFit="1" customWidth="1"/>
    <col min="3334" max="3334" width="13.7109375" style="53" bestFit="1" customWidth="1"/>
    <col min="3335" max="3335" width="15.7109375" style="53" bestFit="1" customWidth="1"/>
    <col min="3336" max="3336" width="13.140625" style="53" bestFit="1" customWidth="1"/>
    <col min="3337" max="3337" width="11.85546875" style="53" bestFit="1" customWidth="1"/>
    <col min="3338" max="3338" width="12.85546875" style="53" bestFit="1" customWidth="1"/>
    <col min="3339" max="3584" width="9.140625" style="53"/>
    <col min="3585" max="3585" width="9.28515625" style="53" customWidth="1"/>
    <col min="3586" max="3586" width="39.85546875" style="53" customWidth="1"/>
    <col min="3587" max="3587" width="18.28515625" style="53" customWidth="1"/>
    <col min="3588" max="3588" width="23.85546875" style="53" customWidth="1"/>
    <col min="3589" max="3589" width="16" style="53" bestFit="1" customWidth="1"/>
    <col min="3590" max="3590" width="13.7109375" style="53" bestFit="1" customWidth="1"/>
    <col min="3591" max="3591" width="15.7109375" style="53" bestFit="1" customWidth="1"/>
    <col min="3592" max="3592" width="13.140625" style="53" bestFit="1" customWidth="1"/>
    <col min="3593" max="3593" width="11.85546875" style="53" bestFit="1" customWidth="1"/>
    <col min="3594" max="3594" width="12.85546875" style="53" bestFit="1" customWidth="1"/>
    <col min="3595" max="3840" width="9.140625" style="53"/>
    <col min="3841" max="3841" width="9.28515625" style="53" customWidth="1"/>
    <col min="3842" max="3842" width="39.85546875" style="53" customWidth="1"/>
    <col min="3843" max="3843" width="18.28515625" style="53" customWidth="1"/>
    <col min="3844" max="3844" width="23.85546875" style="53" customWidth="1"/>
    <col min="3845" max="3845" width="16" style="53" bestFit="1" customWidth="1"/>
    <col min="3846" max="3846" width="13.7109375" style="53" bestFit="1" customWidth="1"/>
    <col min="3847" max="3847" width="15.7109375" style="53" bestFit="1" customWidth="1"/>
    <col min="3848" max="3848" width="13.140625" style="53" bestFit="1" customWidth="1"/>
    <col min="3849" max="3849" width="11.85546875" style="53" bestFit="1" customWidth="1"/>
    <col min="3850" max="3850" width="12.85546875" style="53" bestFit="1" customWidth="1"/>
    <col min="3851" max="4096" width="9.140625" style="53"/>
    <col min="4097" max="4097" width="9.28515625" style="53" customWidth="1"/>
    <col min="4098" max="4098" width="39.85546875" style="53" customWidth="1"/>
    <col min="4099" max="4099" width="18.28515625" style="53" customWidth="1"/>
    <col min="4100" max="4100" width="23.85546875" style="53" customWidth="1"/>
    <col min="4101" max="4101" width="16" style="53" bestFit="1" customWidth="1"/>
    <col min="4102" max="4102" width="13.7109375" style="53" bestFit="1" customWidth="1"/>
    <col min="4103" max="4103" width="15.7109375" style="53" bestFit="1" customWidth="1"/>
    <col min="4104" max="4104" width="13.140625" style="53" bestFit="1" customWidth="1"/>
    <col min="4105" max="4105" width="11.85546875" style="53" bestFit="1" customWidth="1"/>
    <col min="4106" max="4106" width="12.85546875" style="53" bestFit="1" customWidth="1"/>
    <col min="4107" max="4352" width="9.140625" style="53"/>
    <col min="4353" max="4353" width="9.28515625" style="53" customWidth="1"/>
    <col min="4354" max="4354" width="39.85546875" style="53" customWidth="1"/>
    <col min="4355" max="4355" width="18.28515625" style="53" customWidth="1"/>
    <col min="4356" max="4356" width="23.85546875" style="53" customWidth="1"/>
    <col min="4357" max="4357" width="16" style="53" bestFit="1" customWidth="1"/>
    <col min="4358" max="4358" width="13.7109375" style="53" bestFit="1" customWidth="1"/>
    <col min="4359" max="4359" width="15.7109375" style="53" bestFit="1" customWidth="1"/>
    <col min="4360" max="4360" width="13.140625" style="53" bestFit="1" customWidth="1"/>
    <col min="4361" max="4361" width="11.85546875" style="53" bestFit="1" customWidth="1"/>
    <col min="4362" max="4362" width="12.85546875" style="53" bestFit="1" customWidth="1"/>
    <col min="4363" max="4608" width="9.140625" style="53"/>
    <col min="4609" max="4609" width="9.28515625" style="53" customWidth="1"/>
    <col min="4610" max="4610" width="39.85546875" style="53" customWidth="1"/>
    <col min="4611" max="4611" width="18.28515625" style="53" customWidth="1"/>
    <col min="4612" max="4612" width="23.85546875" style="53" customWidth="1"/>
    <col min="4613" max="4613" width="16" style="53" bestFit="1" customWidth="1"/>
    <col min="4614" max="4614" width="13.7109375" style="53" bestFit="1" customWidth="1"/>
    <col min="4615" max="4615" width="15.7109375" style="53" bestFit="1" customWidth="1"/>
    <col min="4616" max="4616" width="13.140625" style="53" bestFit="1" customWidth="1"/>
    <col min="4617" max="4617" width="11.85546875" style="53" bestFit="1" customWidth="1"/>
    <col min="4618" max="4618" width="12.85546875" style="53" bestFit="1" customWidth="1"/>
    <col min="4619" max="4864" width="9.140625" style="53"/>
    <col min="4865" max="4865" width="9.28515625" style="53" customWidth="1"/>
    <col min="4866" max="4866" width="39.85546875" style="53" customWidth="1"/>
    <col min="4867" max="4867" width="18.28515625" style="53" customWidth="1"/>
    <col min="4868" max="4868" width="23.85546875" style="53" customWidth="1"/>
    <col min="4869" max="4869" width="16" style="53" bestFit="1" customWidth="1"/>
    <col min="4870" max="4870" width="13.7109375" style="53" bestFit="1" customWidth="1"/>
    <col min="4871" max="4871" width="15.7109375" style="53" bestFit="1" customWidth="1"/>
    <col min="4872" max="4872" width="13.140625" style="53" bestFit="1" customWidth="1"/>
    <col min="4873" max="4873" width="11.85546875" style="53" bestFit="1" customWidth="1"/>
    <col min="4874" max="4874" width="12.85546875" style="53" bestFit="1" customWidth="1"/>
    <col min="4875" max="5120" width="9.140625" style="53"/>
    <col min="5121" max="5121" width="9.28515625" style="53" customWidth="1"/>
    <col min="5122" max="5122" width="39.85546875" style="53" customWidth="1"/>
    <col min="5123" max="5123" width="18.28515625" style="53" customWidth="1"/>
    <col min="5124" max="5124" width="23.85546875" style="53" customWidth="1"/>
    <col min="5125" max="5125" width="16" style="53" bestFit="1" customWidth="1"/>
    <col min="5126" max="5126" width="13.7109375" style="53" bestFit="1" customWidth="1"/>
    <col min="5127" max="5127" width="15.7109375" style="53" bestFit="1" customWidth="1"/>
    <col min="5128" max="5128" width="13.140625" style="53" bestFit="1" customWidth="1"/>
    <col min="5129" max="5129" width="11.85546875" style="53" bestFit="1" customWidth="1"/>
    <col min="5130" max="5130" width="12.85546875" style="53" bestFit="1" customWidth="1"/>
    <col min="5131" max="5376" width="9.140625" style="53"/>
    <col min="5377" max="5377" width="9.28515625" style="53" customWidth="1"/>
    <col min="5378" max="5378" width="39.85546875" style="53" customWidth="1"/>
    <col min="5379" max="5379" width="18.28515625" style="53" customWidth="1"/>
    <col min="5380" max="5380" width="23.85546875" style="53" customWidth="1"/>
    <col min="5381" max="5381" width="16" style="53" bestFit="1" customWidth="1"/>
    <col min="5382" max="5382" width="13.7109375" style="53" bestFit="1" customWidth="1"/>
    <col min="5383" max="5383" width="15.7109375" style="53" bestFit="1" customWidth="1"/>
    <col min="5384" max="5384" width="13.140625" style="53" bestFit="1" customWidth="1"/>
    <col min="5385" max="5385" width="11.85546875" style="53" bestFit="1" customWidth="1"/>
    <col min="5386" max="5386" width="12.85546875" style="53" bestFit="1" customWidth="1"/>
    <col min="5387" max="5632" width="9.140625" style="53"/>
    <col min="5633" max="5633" width="9.28515625" style="53" customWidth="1"/>
    <col min="5634" max="5634" width="39.85546875" style="53" customWidth="1"/>
    <col min="5635" max="5635" width="18.28515625" style="53" customWidth="1"/>
    <col min="5636" max="5636" width="23.85546875" style="53" customWidth="1"/>
    <col min="5637" max="5637" width="16" style="53" bestFit="1" customWidth="1"/>
    <col min="5638" max="5638" width="13.7109375" style="53" bestFit="1" customWidth="1"/>
    <col min="5639" max="5639" width="15.7109375" style="53" bestFit="1" customWidth="1"/>
    <col min="5640" max="5640" width="13.140625" style="53" bestFit="1" customWidth="1"/>
    <col min="5641" max="5641" width="11.85546875" style="53" bestFit="1" customWidth="1"/>
    <col min="5642" max="5642" width="12.85546875" style="53" bestFit="1" customWidth="1"/>
    <col min="5643" max="5888" width="9.140625" style="53"/>
    <col min="5889" max="5889" width="9.28515625" style="53" customWidth="1"/>
    <col min="5890" max="5890" width="39.85546875" style="53" customWidth="1"/>
    <col min="5891" max="5891" width="18.28515625" style="53" customWidth="1"/>
    <col min="5892" max="5892" width="23.85546875" style="53" customWidth="1"/>
    <col min="5893" max="5893" width="16" style="53" bestFit="1" customWidth="1"/>
    <col min="5894" max="5894" width="13.7109375" style="53" bestFit="1" customWidth="1"/>
    <col min="5895" max="5895" width="15.7109375" style="53" bestFit="1" customWidth="1"/>
    <col min="5896" max="5896" width="13.140625" style="53" bestFit="1" customWidth="1"/>
    <col min="5897" max="5897" width="11.85546875" style="53" bestFit="1" customWidth="1"/>
    <col min="5898" max="5898" width="12.85546875" style="53" bestFit="1" customWidth="1"/>
    <col min="5899" max="6144" width="9.140625" style="53"/>
    <col min="6145" max="6145" width="9.28515625" style="53" customWidth="1"/>
    <col min="6146" max="6146" width="39.85546875" style="53" customWidth="1"/>
    <col min="6147" max="6147" width="18.28515625" style="53" customWidth="1"/>
    <col min="6148" max="6148" width="23.85546875" style="53" customWidth="1"/>
    <col min="6149" max="6149" width="16" style="53" bestFit="1" customWidth="1"/>
    <col min="6150" max="6150" width="13.7109375" style="53" bestFit="1" customWidth="1"/>
    <col min="6151" max="6151" width="15.7109375" style="53" bestFit="1" customWidth="1"/>
    <col min="6152" max="6152" width="13.140625" style="53" bestFit="1" customWidth="1"/>
    <col min="6153" max="6153" width="11.85546875" style="53" bestFit="1" customWidth="1"/>
    <col min="6154" max="6154" width="12.85546875" style="53" bestFit="1" customWidth="1"/>
    <col min="6155" max="6400" width="9.140625" style="53"/>
    <col min="6401" max="6401" width="9.28515625" style="53" customWidth="1"/>
    <col min="6402" max="6402" width="39.85546875" style="53" customWidth="1"/>
    <col min="6403" max="6403" width="18.28515625" style="53" customWidth="1"/>
    <col min="6404" max="6404" width="23.85546875" style="53" customWidth="1"/>
    <col min="6405" max="6405" width="16" style="53" bestFit="1" customWidth="1"/>
    <col min="6406" max="6406" width="13.7109375" style="53" bestFit="1" customWidth="1"/>
    <col min="6407" max="6407" width="15.7109375" style="53" bestFit="1" customWidth="1"/>
    <col min="6408" max="6408" width="13.140625" style="53" bestFit="1" customWidth="1"/>
    <col min="6409" max="6409" width="11.85546875" style="53" bestFit="1" customWidth="1"/>
    <col min="6410" max="6410" width="12.85546875" style="53" bestFit="1" customWidth="1"/>
    <col min="6411" max="6656" width="9.140625" style="53"/>
    <col min="6657" max="6657" width="9.28515625" style="53" customWidth="1"/>
    <col min="6658" max="6658" width="39.85546875" style="53" customWidth="1"/>
    <col min="6659" max="6659" width="18.28515625" style="53" customWidth="1"/>
    <col min="6660" max="6660" width="23.85546875" style="53" customWidth="1"/>
    <col min="6661" max="6661" width="16" style="53" bestFit="1" customWidth="1"/>
    <col min="6662" max="6662" width="13.7109375" style="53" bestFit="1" customWidth="1"/>
    <col min="6663" max="6663" width="15.7109375" style="53" bestFit="1" customWidth="1"/>
    <col min="6664" max="6664" width="13.140625" style="53" bestFit="1" customWidth="1"/>
    <col min="6665" max="6665" width="11.85546875" style="53" bestFit="1" customWidth="1"/>
    <col min="6666" max="6666" width="12.85546875" style="53" bestFit="1" customWidth="1"/>
    <col min="6667" max="6912" width="9.140625" style="53"/>
    <col min="6913" max="6913" width="9.28515625" style="53" customWidth="1"/>
    <col min="6914" max="6914" width="39.85546875" style="53" customWidth="1"/>
    <col min="6915" max="6915" width="18.28515625" style="53" customWidth="1"/>
    <col min="6916" max="6916" width="23.85546875" style="53" customWidth="1"/>
    <col min="6917" max="6917" width="16" style="53" bestFit="1" customWidth="1"/>
    <col min="6918" max="6918" width="13.7109375" style="53" bestFit="1" customWidth="1"/>
    <col min="6919" max="6919" width="15.7109375" style="53" bestFit="1" customWidth="1"/>
    <col min="6920" max="6920" width="13.140625" style="53" bestFit="1" customWidth="1"/>
    <col min="6921" max="6921" width="11.85546875" style="53" bestFit="1" customWidth="1"/>
    <col min="6922" max="6922" width="12.85546875" style="53" bestFit="1" customWidth="1"/>
    <col min="6923" max="7168" width="9.140625" style="53"/>
    <col min="7169" max="7169" width="9.28515625" style="53" customWidth="1"/>
    <col min="7170" max="7170" width="39.85546875" style="53" customWidth="1"/>
    <col min="7171" max="7171" width="18.28515625" style="53" customWidth="1"/>
    <col min="7172" max="7172" width="23.85546875" style="53" customWidth="1"/>
    <col min="7173" max="7173" width="16" style="53" bestFit="1" customWidth="1"/>
    <col min="7174" max="7174" width="13.7109375" style="53" bestFit="1" customWidth="1"/>
    <col min="7175" max="7175" width="15.7109375" style="53" bestFit="1" customWidth="1"/>
    <col min="7176" max="7176" width="13.140625" style="53" bestFit="1" customWidth="1"/>
    <col min="7177" max="7177" width="11.85546875" style="53" bestFit="1" customWidth="1"/>
    <col min="7178" max="7178" width="12.85546875" style="53" bestFit="1" customWidth="1"/>
    <col min="7179" max="7424" width="9.140625" style="53"/>
    <col min="7425" max="7425" width="9.28515625" style="53" customWidth="1"/>
    <col min="7426" max="7426" width="39.85546875" style="53" customWidth="1"/>
    <col min="7427" max="7427" width="18.28515625" style="53" customWidth="1"/>
    <col min="7428" max="7428" width="23.85546875" style="53" customWidth="1"/>
    <col min="7429" max="7429" width="16" style="53" bestFit="1" customWidth="1"/>
    <col min="7430" max="7430" width="13.7109375" style="53" bestFit="1" customWidth="1"/>
    <col min="7431" max="7431" width="15.7109375" style="53" bestFit="1" customWidth="1"/>
    <col min="7432" max="7432" width="13.140625" style="53" bestFit="1" customWidth="1"/>
    <col min="7433" max="7433" width="11.85546875" style="53" bestFit="1" customWidth="1"/>
    <col min="7434" max="7434" width="12.85546875" style="53" bestFit="1" customWidth="1"/>
    <col min="7435" max="7680" width="9.140625" style="53"/>
    <col min="7681" max="7681" width="9.28515625" style="53" customWidth="1"/>
    <col min="7682" max="7682" width="39.85546875" style="53" customWidth="1"/>
    <col min="7683" max="7683" width="18.28515625" style="53" customWidth="1"/>
    <col min="7684" max="7684" width="23.85546875" style="53" customWidth="1"/>
    <col min="7685" max="7685" width="16" style="53" bestFit="1" customWidth="1"/>
    <col min="7686" max="7686" width="13.7109375" style="53" bestFit="1" customWidth="1"/>
    <col min="7687" max="7687" width="15.7109375" style="53" bestFit="1" customWidth="1"/>
    <col min="7688" max="7688" width="13.140625" style="53" bestFit="1" customWidth="1"/>
    <col min="7689" max="7689" width="11.85546875" style="53" bestFit="1" customWidth="1"/>
    <col min="7690" max="7690" width="12.85546875" style="53" bestFit="1" customWidth="1"/>
    <col min="7691" max="7936" width="9.140625" style="53"/>
    <col min="7937" max="7937" width="9.28515625" style="53" customWidth="1"/>
    <col min="7938" max="7938" width="39.85546875" style="53" customWidth="1"/>
    <col min="7939" max="7939" width="18.28515625" style="53" customWidth="1"/>
    <col min="7940" max="7940" width="23.85546875" style="53" customWidth="1"/>
    <col min="7941" max="7941" width="16" style="53" bestFit="1" customWidth="1"/>
    <col min="7942" max="7942" width="13.7109375" style="53" bestFit="1" customWidth="1"/>
    <col min="7943" max="7943" width="15.7109375" style="53" bestFit="1" customWidth="1"/>
    <col min="7944" max="7944" width="13.140625" style="53" bestFit="1" customWidth="1"/>
    <col min="7945" max="7945" width="11.85546875" style="53" bestFit="1" customWidth="1"/>
    <col min="7946" max="7946" width="12.85546875" style="53" bestFit="1" customWidth="1"/>
    <col min="7947" max="8192" width="9.140625" style="53"/>
    <col min="8193" max="8193" width="9.28515625" style="53" customWidth="1"/>
    <col min="8194" max="8194" width="39.85546875" style="53" customWidth="1"/>
    <col min="8195" max="8195" width="18.28515625" style="53" customWidth="1"/>
    <col min="8196" max="8196" width="23.85546875" style="53" customWidth="1"/>
    <col min="8197" max="8197" width="16" style="53" bestFit="1" customWidth="1"/>
    <col min="8198" max="8198" width="13.7109375" style="53" bestFit="1" customWidth="1"/>
    <col min="8199" max="8199" width="15.7109375" style="53" bestFit="1" customWidth="1"/>
    <col min="8200" max="8200" width="13.140625" style="53" bestFit="1" customWidth="1"/>
    <col min="8201" max="8201" width="11.85546875" style="53" bestFit="1" customWidth="1"/>
    <col min="8202" max="8202" width="12.85546875" style="53" bestFit="1" customWidth="1"/>
    <col min="8203" max="8448" width="9.140625" style="53"/>
    <col min="8449" max="8449" width="9.28515625" style="53" customWidth="1"/>
    <col min="8450" max="8450" width="39.85546875" style="53" customWidth="1"/>
    <col min="8451" max="8451" width="18.28515625" style="53" customWidth="1"/>
    <col min="8452" max="8452" width="23.85546875" style="53" customWidth="1"/>
    <col min="8453" max="8453" width="16" style="53" bestFit="1" customWidth="1"/>
    <col min="8454" max="8454" width="13.7109375" style="53" bestFit="1" customWidth="1"/>
    <col min="8455" max="8455" width="15.7109375" style="53" bestFit="1" customWidth="1"/>
    <col min="8456" max="8456" width="13.140625" style="53" bestFit="1" customWidth="1"/>
    <col min="8457" max="8457" width="11.85546875" style="53" bestFit="1" customWidth="1"/>
    <col min="8458" max="8458" width="12.85546875" style="53" bestFit="1" customWidth="1"/>
    <col min="8459" max="8704" width="9.140625" style="53"/>
    <col min="8705" max="8705" width="9.28515625" style="53" customWidth="1"/>
    <col min="8706" max="8706" width="39.85546875" style="53" customWidth="1"/>
    <col min="8707" max="8707" width="18.28515625" style="53" customWidth="1"/>
    <col min="8708" max="8708" width="23.85546875" style="53" customWidth="1"/>
    <col min="8709" max="8709" width="16" style="53" bestFit="1" customWidth="1"/>
    <col min="8710" max="8710" width="13.7109375" style="53" bestFit="1" customWidth="1"/>
    <col min="8711" max="8711" width="15.7109375" style="53" bestFit="1" customWidth="1"/>
    <col min="8712" max="8712" width="13.140625" style="53" bestFit="1" customWidth="1"/>
    <col min="8713" max="8713" width="11.85546875" style="53" bestFit="1" customWidth="1"/>
    <col min="8714" max="8714" width="12.85546875" style="53" bestFit="1" customWidth="1"/>
    <col min="8715" max="8960" width="9.140625" style="53"/>
    <col min="8961" max="8961" width="9.28515625" style="53" customWidth="1"/>
    <col min="8962" max="8962" width="39.85546875" style="53" customWidth="1"/>
    <col min="8963" max="8963" width="18.28515625" style="53" customWidth="1"/>
    <col min="8964" max="8964" width="23.85546875" style="53" customWidth="1"/>
    <col min="8965" max="8965" width="16" style="53" bestFit="1" customWidth="1"/>
    <col min="8966" max="8966" width="13.7109375" style="53" bestFit="1" customWidth="1"/>
    <col min="8967" max="8967" width="15.7109375" style="53" bestFit="1" customWidth="1"/>
    <col min="8968" max="8968" width="13.140625" style="53" bestFit="1" customWidth="1"/>
    <col min="8969" max="8969" width="11.85546875" style="53" bestFit="1" customWidth="1"/>
    <col min="8970" max="8970" width="12.85546875" style="53" bestFit="1" customWidth="1"/>
    <col min="8971" max="9216" width="9.140625" style="53"/>
    <col min="9217" max="9217" width="9.28515625" style="53" customWidth="1"/>
    <col min="9218" max="9218" width="39.85546875" style="53" customWidth="1"/>
    <col min="9219" max="9219" width="18.28515625" style="53" customWidth="1"/>
    <col min="9220" max="9220" width="23.85546875" style="53" customWidth="1"/>
    <col min="9221" max="9221" width="16" style="53" bestFit="1" customWidth="1"/>
    <col min="9222" max="9222" width="13.7109375" style="53" bestFit="1" customWidth="1"/>
    <col min="9223" max="9223" width="15.7109375" style="53" bestFit="1" customWidth="1"/>
    <col min="9224" max="9224" width="13.140625" style="53" bestFit="1" customWidth="1"/>
    <col min="9225" max="9225" width="11.85546875" style="53" bestFit="1" customWidth="1"/>
    <col min="9226" max="9226" width="12.85546875" style="53" bestFit="1" customWidth="1"/>
    <col min="9227" max="9472" width="9.140625" style="53"/>
    <col min="9473" max="9473" width="9.28515625" style="53" customWidth="1"/>
    <col min="9474" max="9474" width="39.85546875" style="53" customWidth="1"/>
    <col min="9475" max="9475" width="18.28515625" style="53" customWidth="1"/>
    <col min="9476" max="9476" width="23.85546875" style="53" customWidth="1"/>
    <col min="9477" max="9477" width="16" style="53" bestFit="1" customWidth="1"/>
    <col min="9478" max="9478" width="13.7109375" style="53" bestFit="1" customWidth="1"/>
    <col min="9479" max="9479" width="15.7109375" style="53" bestFit="1" customWidth="1"/>
    <col min="9480" max="9480" width="13.140625" style="53" bestFit="1" customWidth="1"/>
    <col min="9481" max="9481" width="11.85546875" style="53" bestFit="1" customWidth="1"/>
    <col min="9482" max="9482" width="12.85546875" style="53" bestFit="1" customWidth="1"/>
    <col min="9483" max="9728" width="9.140625" style="53"/>
    <col min="9729" max="9729" width="9.28515625" style="53" customWidth="1"/>
    <col min="9730" max="9730" width="39.85546875" style="53" customWidth="1"/>
    <col min="9731" max="9731" width="18.28515625" style="53" customWidth="1"/>
    <col min="9732" max="9732" width="23.85546875" style="53" customWidth="1"/>
    <col min="9733" max="9733" width="16" style="53" bestFit="1" customWidth="1"/>
    <col min="9734" max="9734" width="13.7109375" style="53" bestFit="1" customWidth="1"/>
    <col min="9735" max="9735" width="15.7109375" style="53" bestFit="1" customWidth="1"/>
    <col min="9736" max="9736" width="13.140625" style="53" bestFit="1" customWidth="1"/>
    <col min="9737" max="9737" width="11.85546875" style="53" bestFit="1" customWidth="1"/>
    <col min="9738" max="9738" width="12.85546875" style="53" bestFit="1" customWidth="1"/>
    <col min="9739" max="9984" width="9.140625" style="53"/>
    <col min="9985" max="9985" width="9.28515625" style="53" customWidth="1"/>
    <col min="9986" max="9986" width="39.85546875" style="53" customWidth="1"/>
    <col min="9987" max="9987" width="18.28515625" style="53" customWidth="1"/>
    <col min="9988" max="9988" width="23.85546875" style="53" customWidth="1"/>
    <col min="9989" max="9989" width="16" style="53" bestFit="1" customWidth="1"/>
    <col min="9990" max="9990" width="13.7109375" style="53" bestFit="1" customWidth="1"/>
    <col min="9991" max="9991" width="15.7109375" style="53" bestFit="1" customWidth="1"/>
    <col min="9992" max="9992" width="13.140625" style="53" bestFit="1" customWidth="1"/>
    <col min="9993" max="9993" width="11.85546875" style="53" bestFit="1" customWidth="1"/>
    <col min="9994" max="9994" width="12.85546875" style="53" bestFit="1" customWidth="1"/>
    <col min="9995" max="10240" width="9.140625" style="53"/>
    <col min="10241" max="10241" width="9.28515625" style="53" customWidth="1"/>
    <col min="10242" max="10242" width="39.85546875" style="53" customWidth="1"/>
    <col min="10243" max="10243" width="18.28515625" style="53" customWidth="1"/>
    <col min="10244" max="10244" width="23.85546875" style="53" customWidth="1"/>
    <col min="10245" max="10245" width="16" style="53" bestFit="1" customWidth="1"/>
    <col min="10246" max="10246" width="13.7109375" style="53" bestFit="1" customWidth="1"/>
    <col min="10247" max="10247" width="15.7109375" style="53" bestFit="1" customWidth="1"/>
    <col min="10248" max="10248" width="13.140625" style="53" bestFit="1" customWidth="1"/>
    <col min="10249" max="10249" width="11.85546875" style="53" bestFit="1" customWidth="1"/>
    <col min="10250" max="10250" width="12.85546875" style="53" bestFit="1" customWidth="1"/>
    <col min="10251" max="10496" width="9.140625" style="53"/>
    <col min="10497" max="10497" width="9.28515625" style="53" customWidth="1"/>
    <col min="10498" max="10498" width="39.85546875" style="53" customWidth="1"/>
    <col min="10499" max="10499" width="18.28515625" style="53" customWidth="1"/>
    <col min="10500" max="10500" width="23.85546875" style="53" customWidth="1"/>
    <col min="10501" max="10501" width="16" style="53" bestFit="1" customWidth="1"/>
    <col min="10502" max="10502" width="13.7109375" style="53" bestFit="1" customWidth="1"/>
    <col min="10503" max="10503" width="15.7109375" style="53" bestFit="1" customWidth="1"/>
    <col min="10504" max="10504" width="13.140625" style="53" bestFit="1" customWidth="1"/>
    <col min="10505" max="10505" width="11.85546875" style="53" bestFit="1" customWidth="1"/>
    <col min="10506" max="10506" width="12.85546875" style="53" bestFit="1" customWidth="1"/>
    <col min="10507" max="10752" width="9.140625" style="53"/>
    <col min="10753" max="10753" width="9.28515625" style="53" customWidth="1"/>
    <col min="10754" max="10754" width="39.85546875" style="53" customWidth="1"/>
    <col min="10755" max="10755" width="18.28515625" style="53" customWidth="1"/>
    <col min="10756" max="10756" width="23.85546875" style="53" customWidth="1"/>
    <col min="10757" max="10757" width="16" style="53" bestFit="1" customWidth="1"/>
    <col min="10758" max="10758" width="13.7109375" style="53" bestFit="1" customWidth="1"/>
    <col min="10759" max="10759" width="15.7109375" style="53" bestFit="1" customWidth="1"/>
    <col min="10760" max="10760" width="13.140625" style="53" bestFit="1" customWidth="1"/>
    <col min="10761" max="10761" width="11.85546875" style="53" bestFit="1" customWidth="1"/>
    <col min="10762" max="10762" width="12.85546875" style="53" bestFit="1" customWidth="1"/>
    <col min="10763" max="11008" width="9.140625" style="53"/>
    <col min="11009" max="11009" width="9.28515625" style="53" customWidth="1"/>
    <col min="11010" max="11010" width="39.85546875" style="53" customWidth="1"/>
    <col min="11011" max="11011" width="18.28515625" style="53" customWidth="1"/>
    <col min="11012" max="11012" width="23.85546875" style="53" customWidth="1"/>
    <col min="11013" max="11013" width="16" style="53" bestFit="1" customWidth="1"/>
    <col min="11014" max="11014" width="13.7109375" style="53" bestFit="1" customWidth="1"/>
    <col min="11015" max="11015" width="15.7109375" style="53" bestFit="1" customWidth="1"/>
    <col min="11016" max="11016" width="13.140625" style="53" bestFit="1" customWidth="1"/>
    <col min="11017" max="11017" width="11.85546875" style="53" bestFit="1" customWidth="1"/>
    <col min="11018" max="11018" width="12.85546875" style="53" bestFit="1" customWidth="1"/>
    <col min="11019" max="11264" width="9.140625" style="53"/>
    <col min="11265" max="11265" width="9.28515625" style="53" customWidth="1"/>
    <col min="11266" max="11266" width="39.85546875" style="53" customWidth="1"/>
    <col min="11267" max="11267" width="18.28515625" style="53" customWidth="1"/>
    <col min="11268" max="11268" width="23.85546875" style="53" customWidth="1"/>
    <col min="11269" max="11269" width="16" style="53" bestFit="1" customWidth="1"/>
    <col min="11270" max="11270" width="13.7109375" style="53" bestFit="1" customWidth="1"/>
    <col min="11271" max="11271" width="15.7109375" style="53" bestFit="1" customWidth="1"/>
    <col min="11272" max="11272" width="13.140625" style="53" bestFit="1" customWidth="1"/>
    <col min="11273" max="11273" width="11.85546875" style="53" bestFit="1" customWidth="1"/>
    <col min="11274" max="11274" width="12.85546875" style="53" bestFit="1" customWidth="1"/>
    <col min="11275" max="11520" width="9.140625" style="53"/>
    <col min="11521" max="11521" width="9.28515625" style="53" customWidth="1"/>
    <col min="11522" max="11522" width="39.85546875" style="53" customWidth="1"/>
    <col min="11523" max="11523" width="18.28515625" style="53" customWidth="1"/>
    <col min="11524" max="11524" width="23.85546875" style="53" customWidth="1"/>
    <col min="11525" max="11525" width="16" style="53" bestFit="1" customWidth="1"/>
    <col min="11526" max="11526" width="13.7109375" style="53" bestFit="1" customWidth="1"/>
    <col min="11527" max="11527" width="15.7109375" style="53" bestFit="1" customWidth="1"/>
    <col min="11528" max="11528" width="13.140625" style="53" bestFit="1" customWidth="1"/>
    <col min="11529" max="11529" width="11.85546875" style="53" bestFit="1" customWidth="1"/>
    <col min="11530" max="11530" width="12.85546875" style="53" bestFit="1" customWidth="1"/>
    <col min="11531" max="11776" width="9.140625" style="53"/>
    <col min="11777" max="11777" width="9.28515625" style="53" customWidth="1"/>
    <col min="11778" max="11778" width="39.85546875" style="53" customWidth="1"/>
    <col min="11779" max="11779" width="18.28515625" style="53" customWidth="1"/>
    <col min="11780" max="11780" width="23.85546875" style="53" customWidth="1"/>
    <col min="11781" max="11781" width="16" style="53" bestFit="1" customWidth="1"/>
    <col min="11782" max="11782" width="13.7109375" style="53" bestFit="1" customWidth="1"/>
    <col min="11783" max="11783" width="15.7109375" style="53" bestFit="1" customWidth="1"/>
    <col min="11784" max="11784" width="13.140625" style="53" bestFit="1" customWidth="1"/>
    <col min="11785" max="11785" width="11.85546875" style="53" bestFit="1" customWidth="1"/>
    <col min="11786" max="11786" width="12.85546875" style="53" bestFit="1" customWidth="1"/>
    <col min="11787" max="12032" width="9.140625" style="53"/>
    <col min="12033" max="12033" width="9.28515625" style="53" customWidth="1"/>
    <col min="12034" max="12034" width="39.85546875" style="53" customWidth="1"/>
    <col min="12035" max="12035" width="18.28515625" style="53" customWidth="1"/>
    <col min="12036" max="12036" width="23.85546875" style="53" customWidth="1"/>
    <col min="12037" max="12037" width="16" style="53" bestFit="1" customWidth="1"/>
    <col min="12038" max="12038" width="13.7109375" style="53" bestFit="1" customWidth="1"/>
    <col min="12039" max="12039" width="15.7109375" style="53" bestFit="1" customWidth="1"/>
    <col min="12040" max="12040" width="13.140625" style="53" bestFit="1" customWidth="1"/>
    <col min="12041" max="12041" width="11.85546875" style="53" bestFit="1" customWidth="1"/>
    <col min="12042" max="12042" width="12.85546875" style="53" bestFit="1" customWidth="1"/>
    <col min="12043" max="12288" width="9.140625" style="53"/>
    <col min="12289" max="12289" width="9.28515625" style="53" customWidth="1"/>
    <col min="12290" max="12290" width="39.85546875" style="53" customWidth="1"/>
    <col min="12291" max="12291" width="18.28515625" style="53" customWidth="1"/>
    <col min="12292" max="12292" width="23.85546875" style="53" customWidth="1"/>
    <col min="12293" max="12293" width="16" style="53" bestFit="1" customWidth="1"/>
    <col min="12294" max="12294" width="13.7109375" style="53" bestFit="1" customWidth="1"/>
    <col min="12295" max="12295" width="15.7109375" style="53" bestFit="1" customWidth="1"/>
    <col min="12296" max="12296" width="13.140625" style="53" bestFit="1" customWidth="1"/>
    <col min="12297" max="12297" width="11.85546875" style="53" bestFit="1" customWidth="1"/>
    <col min="12298" max="12298" width="12.85546875" style="53" bestFit="1" customWidth="1"/>
    <col min="12299" max="12544" width="9.140625" style="53"/>
    <col min="12545" max="12545" width="9.28515625" style="53" customWidth="1"/>
    <col min="12546" max="12546" width="39.85546875" style="53" customWidth="1"/>
    <col min="12547" max="12547" width="18.28515625" style="53" customWidth="1"/>
    <col min="12548" max="12548" width="23.85546875" style="53" customWidth="1"/>
    <col min="12549" max="12549" width="16" style="53" bestFit="1" customWidth="1"/>
    <col min="12550" max="12550" width="13.7109375" style="53" bestFit="1" customWidth="1"/>
    <col min="12551" max="12551" width="15.7109375" style="53" bestFit="1" customWidth="1"/>
    <col min="12552" max="12552" width="13.140625" style="53" bestFit="1" customWidth="1"/>
    <col min="12553" max="12553" width="11.85546875" style="53" bestFit="1" customWidth="1"/>
    <col min="12554" max="12554" width="12.85546875" style="53" bestFit="1" customWidth="1"/>
    <col min="12555" max="12800" width="9.140625" style="53"/>
    <col min="12801" max="12801" width="9.28515625" style="53" customWidth="1"/>
    <col min="12802" max="12802" width="39.85546875" style="53" customWidth="1"/>
    <col min="12803" max="12803" width="18.28515625" style="53" customWidth="1"/>
    <col min="12804" max="12804" width="23.85546875" style="53" customWidth="1"/>
    <col min="12805" max="12805" width="16" style="53" bestFit="1" customWidth="1"/>
    <col min="12806" max="12806" width="13.7109375" style="53" bestFit="1" customWidth="1"/>
    <col min="12807" max="12807" width="15.7109375" style="53" bestFit="1" customWidth="1"/>
    <col min="12808" max="12808" width="13.140625" style="53" bestFit="1" customWidth="1"/>
    <col min="12809" max="12809" width="11.85546875" style="53" bestFit="1" customWidth="1"/>
    <col min="12810" max="12810" width="12.85546875" style="53" bestFit="1" customWidth="1"/>
    <col min="12811" max="13056" width="9.140625" style="53"/>
    <col min="13057" max="13057" width="9.28515625" style="53" customWidth="1"/>
    <col min="13058" max="13058" width="39.85546875" style="53" customWidth="1"/>
    <col min="13059" max="13059" width="18.28515625" style="53" customWidth="1"/>
    <col min="13060" max="13060" width="23.85546875" style="53" customWidth="1"/>
    <col min="13061" max="13061" width="16" style="53" bestFit="1" customWidth="1"/>
    <col min="13062" max="13062" width="13.7109375" style="53" bestFit="1" customWidth="1"/>
    <col min="13063" max="13063" width="15.7109375" style="53" bestFit="1" customWidth="1"/>
    <col min="13064" max="13064" width="13.140625" style="53" bestFit="1" customWidth="1"/>
    <col min="13065" max="13065" width="11.85546875" style="53" bestFit="1" customWidth="1"/>
    <col min="13066" max="13066" width="12.85546875" style="53" bestFit="1" customWidth="1"/>
    <col min="13067" max="13312" width="9.140625" style="53"/>
    <col min="13313" max="13313" width="9.28515625" style="53" customWidth="1"/>
    <col min="13314" max="13314" width="39.85546875" style="53" customWidth="1"/>
    <col min="13315" max="13315" width="18.28515625" style="53" customWidth="1"/>
    <col min="13316" max="13316" width="23.85546875" style="53" customWidth="1"/>
    <col min="13317" max="13317" width="16" style="53" bestFit="1" customWidth="1"/>
    <col min="13318" max="13318" width="13.7109375" style="53" bestFit="1" customWidth="1"/>
    <col min="13319" max="13319" width="15.7109375" style="53" bestFit="1" customWidth="1"/>
    <col min="13320" max="13320" width="13.140625" style="53" bestFit="1" customWidth="1"/>
    <col min="13321" max="13321" width="11.85546875" style="53" bestFit="1" customWidth="1"/>
    <col min="13322" max="13322" width="12.85546875" style="53" bestFit="1" customWidth="1"/>
    <col min="13323" max="13568" width="9.140625" style="53"/>
    <col min="13569" max="13569" width="9.28515625" style="53" customWidth="1"/>
    <col min="13570" max="13570" width="39.85546875" style="53" customWidth="1"/>
    <col min="13571" max="13571" width="18.28515625" style="53" customWidth="1"/>
    <col min="13572" max="13572" width="23.85546875" style="53" customWidth="1"/>
    <col min="13573" max="13573" width="16" style="53" bestFit="1" customWidth="1"/>
    <col min="13574" max="13574" width="13.7109375" style="53" bestFit="1" customWidth="1"/>
    <col min="13575" max="13575" width="15.7109375" style="53" bestFit="1" customWidth="1"/>
    <col min="13576" max="13576" width="13.140625" style="53" bestFit="1" customWidth="1"/>
    <col min="13577" max="13577" width="11.85546875" style="53" bestFit="1" customWidth="1"/>
    <col min="13578" max="13578" width="12.85546875" style="53" bestFit="1" customWidth="1"/>
    <col min="13579" max="13824" width="9.140625" style="53"/>
    <col min="13825" max="13825" width="9.28515625" style="53" customWidth="1"/>
    <col min="13826" max="13826" width="39.85546875" style="53" customWidth="1"/>
    <col min="13827" max="13827" width="18.28515625" style="53" customWidth="1"/>
    <col min="13828" max="13828" width="23.85546875" style="53" customWidth="1"/>
    <col min="13829" max="13829" width="16" style="53" bestFit="1" customWidth="1"/>
    <col min="13830" max="13830" width="13.7109375" style="53" bestFit="1" customWidth="1"/>
    <col min="13831" max="13831" width="15.7109375" style="53" bestFit="1" customWidth="1"/>
    <col min="13832" max="13832" width="13.140625" style="53" bestFit="1" customWidth="1"/>
    <col min="13833" max="13833" width="11.85546875" style="53" bestFit="1" customWidth="1"/>
    <col min="13834" max="13834" width="12.85546875" style="53" bestFit="1" customWidth="1"/>
    <col min="13835" max="14080" width="9.140625" style="53"/>
    <col min="14081" max="14081" width="9.28515625" style="53" customWidth="1"/>
    <col min="14082" max="14082" width="39.85546875" style="53" customWidth="1"/>
    <col min="14083" max="14083" width="18.28515625" style="53" customWidth="1"/>
    <col min="14084" max="14084" width="23.85546875" style="53" customWidth="1"/>
    <col min="14085" max="14085" width="16" style="53" bestFit="1" customWidth="1"/>
    <col min="14086" max="14086" width="13.7109375" style="53" bestFit="1" customWidth="1"/>
    <col min="14087" max="14087" width="15.7109375" style="53" bestFit="1" customWidth="1"/>
    <col min="14088" max="14088" width="13.140625" style="53" bestFit="1" customWidth="1"/>
    <col min="14089" max="14089" width="11.85546875" style="53" bestFit="1" customWidth="1"/>
    <col min="14090" max="14090" width="12.85546875" style="53" bestFit="1" customWidth="1"/>
    <col min="14091" max="14336" width="9.140625" style="53"/>
    <col min="14337" max="14337" width="9.28515625" style="53" customWidth="1"/>
    <col min="14338" max="14338" width="39.85546875" style="53" customWidth="1"/>
    <col min="14339" max="14339" width="18.28515625" style="53" customWidth="1"/>
    <col min="14340" max="14340" width="23.85546875" style="53" customWidth="1"/>
    <col min="14341" max="14341" width="16" style="53" bestFit="1" customWidth="1"/>
    <col min="14342" max="14342" width="13.7109375" style="53" bestFit="1" customWidth="1"/>
    <col min="14343" max="14343" width="15.7109375" style="53" bestFit="1" customWidth="1"/>
    <col min="14344" max="14344" width="13.140625" style="53" bestFit="1" customWidth="1"/>
    <col min="14345" max="14345" width="11.85546875" style="53" bestFit="1" customWidth="1"/>
    <col min="14346" max="14346" width="12.85546875" style="53" bestFit="1" customWidth="1"/>
    <col min="14347" max="14592" width="9.140625" style="53"/>
    <col min="14593" max="14593" width="9.28515625" style="53" customWidth="1"/>
    <col min="14594" max="14594" width="39.85546875" style="53" customWidth="1"/>
    <col min="14595" max="14595" width="18.28515625" style="53" customWidth="1"/>
    <col min="14596" max="14596" width="23.85546875" style="53" customWidth="1"/>
    <col min="14597" max="14597" width="16" style="53" bestFit="1" customWidth="1"/>
    <col min="14598" max="14598" width="13.7109375" style="53" bestFit="1" customWidth="1"/>
    <col min="14599" max="14599" width="15.7109375" style="53" bestFit="1" customWidth="1"/>
    <col min="14600" max="14600" width="13.140625" style="53" bestFit="1" customWidth="1"/>
    <col min="14601" max="14601" width="11.85546875" style="53" bestFit="1" customWidth="1"/>
    <col min="14602" max="14602" width="12.85546875" style="53" bestFit="1" customWidth="1"/>
    <col min="14603" max="14848" width="9.140625" style="53"/>
    <col min="14849" max="14849" width="9.28515625" style="53" customWidth="1"/>
    <col min="14850" max="14850" width="39.85546875" style="53" customWidth="1"/>
    <col min="14851" max="14851" width="18.28515625" style="53" customWidth="1"/>
    <col min="14852" max="14852" width="23.85546875" style="53" customWidth="1"/>
    <col min="14853" max="14853" width="16" style="53" bestFit="1" customWidth="1"/>
    <col min="14854" max="14854" width="13.7109375" style="53" bestFit="1" customWidth="1"/>
    <col min="14855" max="14855" width="15.7109375" style="53" bestFit="1" customWidth="1"/>
    <col min="14856" max="14856" width="13.140625" style="53" bestFit="1" customWidth="1"/>
    <col min="14857" max="14857" width="11.85546875" style="53" bestFit="1" customWidth="1"/>
    <col min="14858" max="14858" width="12.85546875" style="53" bestFit="1" customWidth="1"/>
    <col min="14859" max="15104" width="9.140625" style="53"/>
    <col min="15105" max="15105" width="9.28515625" style="53" customWidth="1"/>
    <col min="15106" max="15106" width="39.85546875" style="53" customWidth="1"/>
    <col min="15107" max="15107" width="18.28515625" style="53" customWidth="1"/>
    <col min="15108" max="15108" width="23.85546875" style="53" customWidth="1"/>
    <col min="15109" max="15109" width="16" style="53" bestFit="1" customWidth="1"/>
    <col min="15110" max="15110" width="13.7109375" style="53" bestFit="1" customWidth="1"/>
    <col min="15111" max="15111" width="15.7109375" style="53" bestFit="1" customWidth="1"/>
    <col min="15112" max="15112" width="13.140625" style="53" bestFit="1" customWidth="1"/>
    <col min="15113" max="15113" width="11.85546875" style="53" bestFit="1" customWidth="1"/>
    <col min="15114" max="15114" width="12.85546875" style="53" bestFit="1" customWidth="1"/>
    <col min="15115" max="15360" width="9.140625" style="53"/>
    <col min="15361" max="15361" width="9.28515625" style="53" customWidth="1"/>
    <col min="15362" max="15362" width="39.85546875" style="53" customWidth="1"/>
    <col min="15363" max="15363" width="18.28515625" style="53" customWidth="1"/>
    <col min="15364" max="15364" width="23.85546875" style="53" customWidth="1"/>
    <col min="15365" max="15365" width="16" style="53" bestFit="1" customWidth="1"/>
    <col min="15366" max="15366" width="13.7109375" style="53" bestFit="1" customWidth="1"/>
    <col min="15367" max="15367" width="15.7109375" style="53" bestFit="1" customWidth="1"/>
    <col min="15368" max="15368" width="13.140625" style="53" bestFit="1" customWidth="1"/>
    <col min="15369" max="15369" width="11.85546875" style="53" bestFit="1" customWidth="1"/>
    <col min="15370" max="15370" width="12.85546875" style="53" bestFit="1" customWidth="1"/>
    <col min="15371" max="15616" width="9.140625" style="53"/>
    <col min="15617" max="15617" width="9.28515625" style="53" customWidth="1"/>
    <col min="15618" max="15618" width="39.85546875" style="53" customWidth="1"/>
    <col min="15619" max="15619" width="18.28515625" style="53" customWidth="1"/>
    <col min="15620" max="15620" width="23.85546875" style="53" customWidth="1"/>
    <col min="15621" max="15621" width="16" style="53" bestFit="1" customWidth="1"/>
    <col min="15622" max="15622" width="13.7109375" style="53" bestFit="1" customWidth="1"/>
    <col min="15623" max="15623" width="15.7109375" style="53" bestFit="1" customWidth="1"/>
    <col min="15624" max="15624" width="13.140625" style="53" bestFit="1" customWidth="1"/>
    <col min="15625" max="15625" width="11.85546875" style="53" bestFit="1" customWidth="1"/>
    <col min="15626" max="15626" width="12.85546875" style="53" bestFit="1" customWidth="1"/>
    <col min="15627" max="15872" width="9.140625" style="53"/>
    <col min="15873" max="15873" width="9.28515625" style="53" customWidth="1"/>
    <col min="15874" max="15874" width="39.85546875" style="53" customWidth="1"/>
    <col min="15875" max="15875" width="18.28515625" style="53" customWidth="1"/>
    <col min="15876" max="15876" width="23.85546875" style="53" customWidth="1"/>
    <col min="15877" max="15877" width="16" style="53" bestFit="1" customWidth="1"/>
    <col min="15878" max="15878" width="13.7109375" style="53" bestFit="1" customWidth="1"/>
    <col min="15879" max="15879" width="15.7109375" style="53" bestFit="1" customWidth="1"/>
    <col min="15880" max="15880" width="13.140625" style="53" bestFit="1" customWidth="1"/>
    <col min="15881" max="15881" width="11.85546875" style="53" bestFit="1" customWidth="1"/>
    <col min="15882" max="15882" width="12.85546875" style="53" bestFit="1" customWidth="1"/>
    <col min="15883" max="16128" width="9.140625" style="53"/>
    <col min="16129" max="16129" width="9.28515625" style="53" customWidth="1"/>
    <col min="16130" max="16130" width="39.85546875" style="53" customWidth="1"/>
    <col min="16131" max="16131" width="18.28515625" style="53" customWidth="1"/>
    <col min="16132" max="16132" width="23.85546875" style="53" customWidth="1"/>
    <col min="16133" max="16133" width="16" style="53" bestFit="1" customWidth="1"/>
    <col min="16134" max="16134" width="13.7109375" style="53" bestFit="1" customWidth="1"/>
    <col min="16135" max="16135" width="15.7109375" style="53" bestFit="1" customWidth="1"/>
    <col min="16136" max="16136" width="13.140625" style="53" bestFit="1" customWidth="1"/>
    <col min="16137" max="16137" width="11.85546875" style="53" bestFit="1" customWidth="1"/>
    <col min="16138" max="16138" width="12.85546875" style="53" bestFit="1" customWidth="1"/>
    <col min="16139" max="16384" width="9.140625" style="53"/>
  </cols>
  <sheetData>
    <row r="3" spans="1:7" ht="15.75" customHeight="1">
      <c r="A3" s="543" t="s">
        <v>255</v>
      </c>
      <c r="B3" s="543"/>
      <c r="C3" s="543"/>
      <c r="D3" s="543"/>
      <c r="E3" s="52"/>
      <c r="F3" s="52"/>
      <c r="G3" s="52"/>
    </row>
    <row r="4" spans="1:7">
      <c r="A4" s="543"/>
      <c r="B4" s="543"/>
      <c r="C4" s="543"/>
      <c r="D4" s="543"/>
      <c r="E4" s="52"/>
      <c r="F4" s="52"/>
      <c r="G4" s="52"/>
    </row>
    <row r="5" spans="1:7">
      <c r="A5" s="54"/>
      <c r="B5" s="52"/>
      <c r="C5" s="52"/>
      <c r="D5" s="52"/>
      <c r="E5" s="52"/>
      <c r="F5" s="52"/>
      <c r="G5" s="52"/>
    </row>
    <row r="6" spans="1:7" ht="15.75" customHeight="1">
      <c r="A6" s="544" t="s">
        <v>550</v>
      </c>
      <c r="B6" s="544"/>
      <c r="C6" s="544"/>
      <c r="D6" s="544"/>
      <c r="E6" s="52"/>
      <c r="F6" s="52"/>
      <c r="G6" s="52"/>
    </row>
    <row r="7" spans="1:7">
      <c r="A7" s="522"/>
      <c r="B7" s="522"/>
      <c r="C7" s="522"/>
      <c r="D7" s="522"/>
    </row>
    <row r="8" spans="1:7">
      <c r="A8" s="237" t="s">
        <v>551</v>
      </c>
      <c r="B8" s="238"/>
      <c r="C8" s="187"/>
      <c r="D8" s="187"/>
    </row>
    <row r="9" spans="1:7">
      <c r="A9" s="522"/>
      <c r="B9" s="522"/>
      <c r="C9" s="522"/>
      <c r="D9" s="522"/>
    </row>
    <row r="10" spans="1:7">
      <c r="A10" s="57" t="s">
        <v>256</v>
      </c>
      <c r="B10" s="188"/>
      <c r="C10" s="187"/>
      <c r="D10" s="187"/>
    </row>
    <row r="11" spans="1:7">
      <c r="A11" s="59" t="s">
        <v>257</v>
      </c>
      <c r="B11" s="541" t="s">
        <v>258</v>
      </c>
      <c r="C11" s="542"/>
      <c r="D11" s="239">
        <v>42550</v>
      </c>
    </row>
    <row r="12" spans="1:7">
      <c r="A12" s="59" t="s">
        <v>259</v>
      </c>
      <c r="B12" s="62" t="s">
        <v>260</v>
      </c>
      <c r="C12" s="63"/>
      <c r="D12" s="240" t="s">
        <v>374</v>
      </c>
    </row>
    <row r="13" spans="1:7">
      <c r="A13" s="59" t="s">
        <v>261</v>
      </c>
      <c r="B13" s="541" t="s">
        <v>262</v>
      </c>
      <c r="C13" s="542"/>
      <c r="D13" s="240">
        <v>2016</v>
      </c>
    </row>
    <row r="14" spans="1:7">
      <c r="A14" s="64" t="s">
        <v>263</v>
      </c>
      <c r="B14" s="65" t="s">
        <v>555</v>
      </c>
      <c r="C14" s="66"/>
      <c r="D14" s="239">
        <v>42625</v>
      </c>
    </row>
    <row r="16" spans="1:7">
      <c r="A16" s="190"/>
    </row>
    <row r="17" spans="1:7">
      <c r="A17" s="523"/>
      <c r="B17" s="523"/>
      <c r="C17" s="523"/>
      <c r="D17" s="523"/>
      <c r="E17" s="523"/>
      <c r="F17" s="523"/>
      <c r="G17" s="523"/>
    </row>
    <row r="18" spans="1:7" ht="35.25" customHeight="1">
      <c r="A18" s="545" t="s">
        <v>264</v>
      </c>
      <c r="B18" s="545"/>
      <c r="C18" s="67" t="s">
        <v>265</v>
      </c>
      <c r="D18" s="67" t="s">
        <v>266</v>
      </c>
    </row>
    <row r="19" spans="1:7">
      <c r="A19" s="241">
        <v>1</v>
      </c>
      <c r="B19" s="242" t="s">
        <v>397</v>
      </c>
      <c r="C19" s="241" t="s">
        <v>267</v>
      </c>
      <c r="D19" s="243">
        <v>5</v>
      </c>
    </row>
    <row r="20" spans="1:7">
      <c r="A20" s="68"/>
      <c r="B20" s="69"/>
      <c r="C20" s="68"/>
      <c r="D20" s="70"/>
    </row>
    <row r="21" spans="1:7">
      <c r="A21" s="522" t="s">
        <v>268</v>
      </c>
      <c r="B21" s="522"/>
      <c r="C21" s="522"/>
      <c r="D21" s="522"/>
      <c r="E21" s="522"/>
      <c r="F21" s="522"/>
      <c r="G21" s="522"/>
    </row>
    <row r="22" spans="1:7">
      <c r="A22" s="71"/>
    </row>
    <row r="23" spans="1:7">
      <c r="A23" s="57" t="s">
        <v>269</v>
      </c>
    </row>
    <row r="24" spans="1:7">
      <c r="A24" s="57" t="s">
        <v>270</v>
      </c>
    </row>
    <row r="25" spans="1:7">
      <c r="A25" s="72" t="s">
        <v>271</v>
      </c>
      <c r="B25" s="60"/>
      <c r="C25" s="60"/>
      <c r="D25" s="61"/>
    </row>
    <row r="26" spans="1:7" ht="31.5">
      <c r="A26" s="73">
        <v>1</v>
      </c>
      <c r="B26" s="74" t="s">
        <v>272</v>
      </c>
      <c r="C26" s="74"/>
      <c r="D26" s="244" t="str">
        <f>B19</f>
        <v>MANUTENÇÃO PREDIAL</v>
      </c>
    </row>
    <row r="27" spans="1:7" ht="30.75" customHeight="1">
      <c r="A27" s="73">
        <v>2</v>
      </c>
      <c r="B27" s="539" t="s">
        <v>273</v>
      </c>
      <c r="C27" s="540"/>
      <c r="D27" s="175">
        <v>1595</v>
      </c>
    </row>
    <row r="28" spans="1:7" ht="31.5" customHeight="1">
      <c r="A28" s="73">
        <v>3</v>
      </c>
      <c r="B28" s="539" t="s">
        <v>274</v>
      </c>
      <c r="C28" s="540"/>
      <c r="D28" s="176" t="s">
        <v>375</v>
      </c>
    </row>
    <row r="29" spans="1:7">
      <c r="A29" s="75">
        <v>4</v>
      </c>
      <c r="B29" s="76" t="s">
        <v>275</v>
      </c>
      <c r="C29" s="76"/>
      <c r="D29" s="77">
        <v>42206</v>
      </c>
    </row>
    <row r="30" spans="1:7">
      <c r="A30" s="71"/>
    </row>
    <row r="31" spans="1:7">
      <c r="A31" s="71"/>
    </row>
    <row r="32" spans="1:7">
      <c r="A32" s="71"/>
    </row>
    <row r="33" spans="1:7" ht="16.5" customHeight="1" thickBot="1">
      <c r="A33" s="523" t="s">
        <v>276</v>
      </c>
      <c r="B33" s="523"/>
      <c r="C33" s="523"/>
      <c r="D33" s="523"/>
      <c r="E33" s="523"/>
      <c r="F33" s="52"/>
      <c r="G33" s="52"/>
    </row>
    <row r="34" spans="1:7" ht="16.5" thickBot="1">
      <c r="A34" s="78" t="s">
        <v>277</v>
      </c>
      <c r="B34" s="79" t="s">
        <v>278</v>
      </c>
      <c r="C34" s="80"/>
      <c r="D34" s="81" t="s">
        <v>279</v>
      </c>
    </row>
    <row r="35" spans="1:7">
      <c r="A35" s="82" t="s">
        <v>257</v>
      </c>
      <c r="B35" s="83" t="s">
        <v>280</v>
      </c>
      <c r="C35" s="84"/>
      <c r="D35" s="85">
        <f>ROUND(((D27/220)*(365.25/12)*(40/6)),2)</f>
        <v>1471.15</v>
      </c>
    </row>
    <row r="36" spans="1:7">
      <c r="A36" s="191" t="s">
        <v>259</v>
      </c>
      <c r="B36" s="87" t="s">
        <v>281</v>
      </c>
      <c r="C36" s="88"/>
      <c r="D36" s="89">
        <v>0</v>
      </c>
    </row>
    <row r="37" spans="1:7">
      <c r="A37" s="191" t="s">
        <v>261</v>
      </c>
      <c r="B37" s="87" t="s">
        <v>282</v>
      </c>
      <c r="C37" s="90"/>
      <c r="D37" s="89">
        <v>0</v>
      </c>
    </row>
    <row r="38" spans="1:7">
      <c r="A38" s="191" t="s">
        <v>263</v>
      </c>
      <c r="B38" s="91" t="s">
        <v>552</v>
      </c>
      <c r="C38" s="88"/>
      <c r="D38" s="89">
        <v>0</v>
      </c>
    </row>
    <row r="39" spans="1:7">
      <c r="A39" s="191" t="s">
        <v>284</v>
      </c>
      <c r="B39" s="91" t="s">
        <v>285</v>
      </c>
      <c r="C39" s="92"/>
      <c r="D39" s="89">
        <v>0</v>
      </c>
    </row>
    <row r="40" spans="1:7">
      <c r="A40" s="191" t="s">
        <v>286</v>
      </c>
      <c r="B40" s="93" t="s">
        <v>287</v>
      </c>
      <c r="C40" s="92"/>
      <c r="D40" s="89">
        <v>0</v>
      </c>
    </row>
    <row r="41" spans="1:7">
      <c r="A41" s="191" t="s">
        <v>288</v>
      </c>
      <c r="B41" s="93" t="s">
        <v>289</v>
      </c>
      <c r="C41" s="92"/>
      <c r="D41" s="89">
        <v>0</v>
      </c>
    </row>
    <row r="42" spans="1:7" ht="16.5" thickBot="1">
      <c r="A42" s="191" t="s">
        <v>290</v>
      </c>
      <c r="B42" s="94" t="s">
        <v>376</v>
      </c>
      <c r="C42" s="95"/>
      <c r="D42" s="89">
        <v>0</v>
      </c>
    </row>
    <row r="43" spans="1:7" ht="16.5" thickBot="1">
      <c r="A43" s="96"/>
      <c r="B43" s="97" t="s">
        <v>292</v>
      </c>
      <c r="C43" s="98"/>
      <c r="D43" s="99">
        <f>SUM(D35:D42)</f>
        <v>1471.15</v>
      </c>
    </row>
    <row r="44" spans="1:7">
      <c r="A44" s="190"/>
    </row>
    <row r="45" spans="1:7" ht="16.5" thickBot="1">
      <c r="A45" s="523" t="s">
        <v>293</v>
      </c>
      <c r="B45" s="523"/>
      <c r="C45" s="523"/>
      <c r="D45" s="523"/>
      <c r="E45" s="523"/>
      <c r="F45" s="523"/>
      <c r="G45" s="523"/>
    </row>
    <row r="46" spans="1:7" ht="16.5" thickBot="1">
      <c r="A46" s="100">
        <v>2</v>
      </c>
      <c r="B46" s="189" t="s">
        <v>294</v>
      </c>
      <c r="C46" s="102"/>
      <c r="D46" s="100" t="s">
        <v>279</v>
      </c>
    </row>
    <row r="47" spans="1:7">
      <c r="A47" s="82" t="s">
        <v>257</v>
      </c>
      <c r="B47" s="83" t="s">
        <v>295</v>
      </c>
      <c r="C47" s="103"/>
      <c r="D47" s="104">
        <f>(3.7*44)-(D35*6%)</f>
        <v>74.531000000000006</v>
      </c>
    </row>
    <row r="48" spans="1:7" ht="31.5">
      <c r="A48" s="105" t="s">
        <v>259</v>
      </c>
      <c r="B48" s="106" t="s">
        <v>296</v>
      </c>
      <c r="C48" s="90"/>
      <c r="D48" s="107">
        <v>355</v>
      </c>
    </row>
    <row r="49" spans="1:7">
      <c r="A49" s="191" t="s">
        <v>261</v>
      </c>
      <c r="B49" s="87" t="s">
        <v>389</v>
      </c>
      <c r="C49" s="90"/>
      <c r="D49" s="107">
        <v>50</v>
      </c>
    </row>
    <row r="50" spans="1:7">
      <c r="A50" s="191" t="s">
        <v>263</v>
      </c>
      <c r="B50" s="87" t="s">
        <v>19</v>
      </c>
      <c r="C50" s="88"/>
      <c r="D50" s="107">
        <v>5.5</v>
      </c>
    </row>
    <row r="51" spans="1:7">
      <c r="A51" s="191" t="s">
        <v>284</v>
      </c>
      <c r="B51" s="87" t="s">
        <v>395</v>
      </c>
      <c r="C51" s="92"/>
      <c r="D51" s="108">
        <f>3.81*22</f>
        <v>83.820000000000007</v>
      </c>
    </row>
    <row r="52" spans="1:7" ht="16.5" customHeight="1">
      <c r="A52" s="191" t="s">
        <v>286</v>
      </c>
      <c r="B52" s="535" t="s">
        <v>394</v>
      </c>
      <c r="C52" s="536"/>
      <c r="D52" s="108">
        <f>355/12</f>
        <v>29.583333333333332</v>
      </c>
    </row>
    <row r="53" spans="1:7" ht="16.5" thickBot="1">
      <c r="A53" s="109" t="s">
        <v>288</v>
      </c>
      <c r="B53" s="537" t="s">
        <v>291</v>
      </c>
      <c r="C53" s="538"/>
      <c r="D53" s="110">
        <v>0</v>
      </c>
    </row>
    <row r="54" spans="1:7" ht="16.5" thickBot="1">
      <c r="A54" s="111"/>
      <c r="B54" s="189" t="s">
        <v>298</v>
      </c>
      <c r="C54" s="112"/>
      <c r="D54" s="113">
        <f>SUM(D47:D53)</f>
        <v>598.43433333333337</v>
      </c>
    </row>
    <row r="55" spans="1:7" ht="33" customHeight="1">
      <c r="A55" s="522" t="s">
        <v>299</v>
      </c>
      <c r="B55" s="522"/>
      <c r="C55" s="522"/>
      <c r="D55" s="522"/>
    </row>
    <row r="56" spans="1:7">
      <c r="A56" s="190"/>
    </row>
    <row r="57" spans="1:7" ht="16.5" thickBot="1">
      <c r="A57" s="523" t="s">
        <v>300</v>
      </c>
      <c r="B57" s="523"/>
      <c r="C57" s="523"/>
      <c r="D57" s="523"/>
      <c r="E57" s="523"/>
      <c r="F57" s="523"/>
      <c r="G57" s="523"/>
    </row>
    <row r="58" spans="1:7" ht="16.5" thickBot="1">
      <c r="A58" s="114">
        <v>3</v>
      </c>
      <c r="B58" s="189" t="s">
        <v>301</v>
      </c>
      <c r="C58" s="102"/>
      <c r="D58" s="100" t="s">
        <v>279</v>
      </c>
    </row>
    <row r="59" spans="1:7">
      <c r="A59" s="82" t="s">
        <v>257</v>
      </c>
      <c r="B59" s="83" t="s">
        <v>302</v>
      </c>
      <c r="C59" s="115"/>
      <c r="D59" s="116">
        <f>'ANEXO IV'!D69</f>
        <v>43</v>
      </c>
    </row>
    <row r="60" spans="1:7">
      <c r="A60" s="105" t="s">
        <v>259</v>
      </c>
      <c r="B60" s="106" t="s">
        <v>15</v>
      </c>
      <c r="C60" s="90"/>
      <c r="D60" s="107">
        <f>Equipamentos!E61/17</f>
        <v>12.164705882352942</v>
      </c>
    </row>
    <row r="61" spans="1:7">
      <c r="A61" s="191" t="s">
        <v>261</v>
      </c>
      <c r="B61" s="87" t="s">
        <v>21</v>
      </c>
      <c r="C61" s="90"/>
      <c r="D61" s="107">
        <v>19.68</v>
      </c>
      <c r="E61" s="160"/>
    </row>
    <row r="62" spans="1:7">
      <c r="A62" s="191" t="s">
        <v>263</v>
      </c>
      <c r="B62" s="535" t="s">
        <v>18</v>
      </c>
      <c r="C62" s="536"/>
      <c r="D62" s="108">
        <f>Equipamentos!D140</f>
        <v>18.423333333333336</v>
      </c>
    </row>
    <row r="63" spans="1:7" ht="16.5" thickBot="1">
      <c r="A63" s="109" t="s">
        <v>284</v>
      </c>
      <c r="B63" s="537" t="s">
        <v>291</v>
      </c>
      <c r="C63" s="538"/>
      <c r="D63" s="110">
        <v>0</v>
      </c>
    </row>
    <row r="64" spans="1:7" ht="16.5" thickBot="1">
      <c r="A64" s="111"/>
      <c r="B64" s="189" t="s">
        <v>303</v>
      </c>
      <c r="C64" s="112"/>
      <c r="D64" s="113">
        <f>SUM(D59:D63)</f>
        <v>93.268039215686272</v>
      </c>
    </row>
    <row r="65" spans="1:7">
      <c r="A65" s="522" t="s">
        <v>304</v>
      </c>
      <c r="B65" s="522"/>
      <c r="C65" s="522"/>
      <c r="D65" s="522"/>
      <c r="E65" s="522"/>
      <c r="F65" s="522"/>
      <c r="G65" s="522"/>
    </row>
    <row r="66" spans="1:7">
      <c r="A66" s="190"/>
    </row>
    <row r="67" spans="1:7">
      <c r="A67" s="523" t="s">
        <v>305</v>
      </c>
      <c r="B67" s="523"/>
      <c r="C67" s="523"/>
      <c r="D67" s="523"/>
      <c r="E67" s="523"/>
      <c r="F67" s="523"/>
      <c r="G67" s="523"/>
    </row>
    <row r="68" spans="1:7" ht="16.5" thickBot="1">
      <c r="A68" s="523" t="s">
        <v>306</v>
      </c>
      <c r="B68" s="523"/>
      <c r="C68" s="523"/>
      <c r="D68" s="523"/>
      <c r="E68" s="523"/>
      <c r="F68" s="523"/>
      <c r="G68" s="523"/>
    </row>
    <row r="69" spans="1:7" ht="16.5" thickBot="1">
      <c r="A69" s="117" t="s">
        <v>307</v>
      </c>
      <c r="B69" s="118" t="s">
        <v>308</v>
      </c>
      <c r="C69" s="117" t="s">
        <v>4</v>
      </c>
      <c r="D69" s="117" t="s">
        <v>279</v>
      </c>
    </row>
    <row r="70" spans="1:7">
      <c r="A70" s="82" t="s">
        <v>257</v>
      </c>
      <c r="B70" s="119" t="s">
        <v>8</v>
      </c>
      <c r="C70" s="120">
        <v>0.2</v>
      </c>
      <c r="D70" s="104">
        <f t="shared" ref="D70:D77" si="0">ROUND($D$43*C70,2)</f>
        <v>294.23</v>
      </c>
    </row>
    <row r="71" spans="1:7">
      <c r="A71" s="105" t="s">
        <v>259</v>
      </c>
      <c r="B71" s="121" t="s">
        <v>309</v>
      </c>
      <c r="C71" s="122">
        <v>1.4999999999999999E-2</v>
      </c>
      <c r="D71" s="107">
        <f t="shared" si="0"/>
        <v>22.07</v>
      </c>
    </row>
    <row r="72" spans="1:7">
      <c r="A72" s="191" t="s">
        <v>261</v>
      </c>
      <c r="B72" s="123" t="s">
        <v>310</v>
      </c>
      <c r="C72" s="122">
        <v>0.01</v>
      </c>
      <c r="D72" s="107">
        <f t="shared" si="0"/>
        <v>14.71</v>
      </c>
    </row>
    <row r="73" spans="1:7">
      <c r="A73" s="105" t="s">
        <v>263</v>
      </c>
      <c r="B73" s="121" t="s">
        <v>9</v>
      </c>
      <c r="C73" s="122">
        <v>2E-3</v>
      </c>
      <c r="D73" s="107">
        <f t="shared" si="0"/>
        <v>2.94</v>
      </c>
    </row>
    <row r="74" spans="1:7">
      <c r="A74" s="191" t="s">
        <v>284</v>
      </c>
      <c r="B74" s="123" t="s">
        <v>10</v>
      </c>
      <c r="C74" s="122">
        <v>2.5000000000000001E-2</v>
      </c>
      <c r="D74" s="107">
        <f t="shared" si="0"/>
        <v>36.78</v>
      </c>
    </row>
    <row r="75" spans="1:7">
      <c r="A75" s="105" t="s">
        <v>286</v>
      </c>
      <c r="B75" s="121" t="s">
        <v>11</v>
      </c>
      <c r="C75" s="122">
        <v>0.08</v>
      </c>
      <c r="D75" s="107">
        <f t="shared" si="0"/>
        <v>117.69</v>
      </c>
    </row>
    <row r="76" spans="1:7" ht="31.5">
      <c r="A76" s="191" t="s">
        <v>288</v>
      </c>
      <c r="B76" s="123" t="s">
        <v>378</v>
      </c>
      <c r="C76" s="141">
        <v>3.0499999999999999E-2</v>
      </c>
      <c r="D76" s="245">
        <f t="shared" si="0"/>
        <v>44.87</v>
      </c>
    </row>
    <row r="77" spans="1:7" ht="16.5" thickBot="1">
      <c r="A77" s="124" t="s">
        <v>290</v>
      </c>
      <c r="B77" s="125" t="s">
        <v>12</v>
      </c>
      <c r="C77" s="126">
        <v>6.0000000000000001E-3</v>
      </c>
      <c r="D77" s="110">
        <f t="shared" si="0"/>
        <v>8.83</v>
      </c>
    </row>
    <row r="78" spans="1:7" ht="16.5" thickBot="1">
      <c r="A78" s="530" t="s">
        <v>7</v>
      </c>
      <c r="B78" s="531"/>
      <c r="C78" s="127">
        <f>SUM(C70:C77)</f>
        <v>0.36850000000000005</v>
      </c>
      <c r="D78" s="113">
        <f>SUM(D70:D77)</f>
        <v>542.12</v>
      </c>
    </row>
    <row r="79" spans="1:7">
      <c r="A79" s="534" t="s">
        <v>311</v>
      </c>
      <c r="B79" s="534"/>
      <c r="C79" s="534"/>
      <c r="D79" s="534"/>
    </row>
    <row r="80" spans="1:7" ht="16.5" customHeight="1">
      <c r="A80" s="534" t="s">
        <v>312</v>
      </c>
      <c r="B80" s="534"/>
      <c r="C80" s="534"/>
      <c r="D80" s="534"/>
    </row>
    <row r="81" spans="1:7">
      <c r="A81" s="190"/>
    </row>
    <row r="82" spans="1:7" ht="16.5" thickBot="1">
      <c r="A82" s="523" t="s">
        <v>313</v>
      </c>
      <c r="B82" s="523"/>
      <c r="C82" s="523"/>
      <c r="D82" s="523"/>
      <c r="E82" s="523"/>
      <c r="F82" s="523"/>
      <c r="G82" s="523"/>
    </row>
    <row r="83" spans="1:7" ht="16.5" thickBot="1">
      <c r="A83" s="117" t="s">
        <v>314</v>
      </c>
      <c r="B83" s="118" t="s">
        <v>315</v>
      </c>
      <c r="C83" s="117" t="s">
        <v>4</v>
      </c>
      <c r="D83" s="117" t="s">
        <v>279</v>
      </c>
    </row>
    <row r="84" spans="1:7">
      <c r="A84" s="82" t="s">
        <v>257</v>
      </c>
      <c r="B84" s="119" t="s">
        <v>316</v>
      </c>
      <c r="C84" s="120">
        <f>((5/56)*100)/100</f>
        <v>8.9285714285714288E-2</v>
      </c>
      <c r="D84" s="104">
        <f>ROUND($D$43*C84,2)</f>
        <v>131.35</v>
      </c>
    </row>
    <row r="85" spans="1:7">
      <c r="A85" s="105" t="s">
        <v>259</v>
      </c>
      <c r="B85" s="121" t="s">
        <v>317</v>
      </c>
      <c r="C85" s="128">
        <f>(1/3)*(5/56)</f>
        <v>2.976190476190476E-2</v>
      </c>
      <c r="D85" s="129">
        <f>ROUND($D$43*C85,2)</f>
        <v>43.78</v>
      </c>
    </row>
    <row r="86" spans="1:7">
      <c r="A86" s="130" t="s">
        <v>318</v>
      </c>
      <c r="B86" s="121"/>
      <c r="C86" s="131">
        <f>SUM(C84:C85)</f>
        <v>0.11904761904761904</v>
      </c>
      <c r="D86" s="132">
        <f>SUM(D84:D85)</f>
        <v>175.13</v>
      </c>
    </row>
    <row r="87" spans="1:7" ht="32.25" thickBot="1">
      <c r="A87" s="105" t="s">
        <v>261</v>
      </c>
      <c r="B87" s="121" t="s">
        <v>319</v>
      </c>
      <c r="C87" s="122">
        <f>D87/D43</f>
        <v>4.3870441491350304E-2</v>
      </c>
      <c r="D87" s="107">
        <f>ROUND(D78*C86,2)</f>
        <v>64.540000000000006</v>
      </c>
    </row>
    <row r="88" spans="1:7" ht="16.5" thickBot="1">
      <c r="A88" s="530" t="s">
        <v>7</v>
      </c>
      <c r="B88" s="531"/>
      <c r="C88" s="127">
        <f>C87+C86</f>
        <v>0.16291806053896934</v>
      </c>
      <c r="D88" s="113">
        <f>D86+D87</f>
        <v>239.67000000000002</v>
      </c>
    </row>
    <row r="89" spans="1:7">
      <c r="A89" s="190"/>
    </row>
    <row r="90" spans="1:7" ht="16.5" thickBot="1">
      <c r="A90" s="523" t="s">
        <v>320</v>
      </c>
      <c r="B90" s="523"/>
      <c r="C90" s="523"/>
      <c r="D90" s="523"/>
      <c r="E90" s="523"/>
      <c r="F90" s="523"/>
      <c r="G90" s="523"/>
    </row>
    <row r="91" spans="1:7" ht="16.5" thickBot="1">
      <c r="A91" s="117" t="s">
        <v>321</v>
      </c>
      <c r="B91" s="118" t="s">
        <v>322</v>
      </c>
      <c r="C91" s="117" t="s">
        <v>4</v>
      </c>
      <c r="D91" s="117" t="s">
        <v>279</v>
      </c>
    </row>
    <row r="92" spans="1:7">
      <c r="A92" s="82" t="s">
        <v>257</v>
      </c>
      <c r="B92" s="133" t="s">
        <v>323</v>
      </c>
      <c r="C92" s="120">
        <f>0.1111*0.02*0.3333</f>
        <v>7.4059259999999997E-4</v>
      </c>
      <c r="D92" s="104">
        <f>ROUND($D$43*C92,2)</f>
        <v>1.0900000000000001</v>
      </c>
    </row>
    <row r="93" spans="1:7" ht="32.25" thickBot="1">
      <c r="A93" s="109" t="s">
        <v>259</v>
      </c>
      <c r="B93" s="134" t="s">
        <v>324</v>
      </c>
      <c r="C93" s="126">
        <f>D93/D43</f>
        <v>2.7189613567617173E-4</v>
      </c>
      <c r="D93" s="110">
        <f>ROUND(D78*C92,2)</f>
        <v>0.4</v>
      </c>
    </row>
    <row r="94" spans="1:7" ht="16.5" thickBot="1">
      <c r="A94" s="530" t="s">
        <v>7</v>
      </c>
      <c r="B94" s="531"/>
      <c r="C94" s="127">
        <f>SUM(C92:C93)</f>
        <v>1.0124887356761716E-3</v>
      </c>
      <c r="D94" s="113">
        <f>SUM(D92:D93)</f>
        <v>1.4900000000000002</v>
      </c>
    </row>
    <row r="95" spans="1:7">
      <c r="A95" s="190"/>
    </row>
    <row r="96" spans="1:7">
      <c r="A96" s="190"/>
    </row>
    <row r="97" spans="1:7" ht="16.5" thickBot="1">
      <c r="A97" s="523" t="s">
        <v>325</v>
      </c>
      <c r="B97" s="523"/>
      <c r="C97" s="523"/>
      <c r="D97" s="523"/>
      <c r="E97" s="523"/>
      <c r="F97" s="523"/>
      <c r="G97" s="523"/>
    </row>
    <row r="98" spans="1:7" ht="16.5" thickBot="1">
      <c r="A98" s="117" t="s">
        <v>326</v>
      </c>
      <c r="B98" s="118" t="s">
        <v>327</v>
      </c>
      <c r="C98" s="117" t="s">
        <v>4</v>
      </c>
      <c r="D98" s="117" t="s">
        <v>279</v>
      </c>
    </row>
    <row r="99" spans="1:7">
      <c r="A99" s="82" t="s">
        <v>257</v>
      </c>
      <c r="B99" s="133" t="s">
        <v>328</v>
      </c>
      <c r="C99" s="135">
        <f>((1/12)*0.05)</f>
        <v>4.1666666666666666E-3</v>
      </c>
      <c r="D99" s="104">
        <f>ROUND($D$43*C99,2)</f>
        <v>6.13</v>
      </c>
    </row>
    <row r="100" spans="1:7" ht="31.5">
      <c r="A100" s="191" t="s">
        <v>259</v>
      </c>
      <c r="B100" s="91" t="s">
        <v>329</v>
      </c>
      <c r="C100" s="136">
        <f>D100/D43</f>
        <v>3.3307276620331028E-4</v>
      </c>
      <c r="D100" s="137">
        <f>ROUND(D75*C99,2)</f>
        <v>0.49</v>
      </c>
    </row>
    <row r="101" spans="1:7">
      <c r="A101" s="191" t="s">
        <v>261</v>
      </c>
      <c r="B101" s="138" t="s">
        <v>330</v>
      </c>
      <c r="C101" s="139">
        <f>0.08*0.5*0.9*(1+(5/56)+(5/56)+(1/3)*(5/56))</f>
        <v>4.3499999999999997E-2</v>
      </c>
      <c r="D101" s="107">
        <f>ROUND($D$43*C101,2)</f>
        <v>64</v>
      </c>
    </row>
    <row r="102" spans="1:7">
      <c r="A102" s="191" t="s">
        <v>263</v>
      </c>
      <c r="B102" s="138" t="s">
        <v>331</v>
      </c>
      <c r="C102" s="140">
        <f>(((7/30)/12))</f>
        <v>1.9444444444444445E-2</v>
      </c>
      <c r="D102" s="107">
        <f>ROUND($D$43*C102,2)</f>
        <v>28.61</v>
      </c>
    </row>
    <row r="103" spans="1:7" ht="31.5">
      <c r="A103" s="191" t="s">
        <v>284</v>
      </c>
      <c r="B103" s="138" t="s">
        <v>332</v>
      </c>
      <c r="C103" s="141">
        <f>D103/D43</f>
        <v>7.1644631750671234E-3</v>
      </c>
      <c r="D103" s="107">
        <f>ROUND(D78*C102,2)</f>
        <v>10.54</v>
      </c>
    </row>
    <row r="104" spans="1:7" ht="16.5" thickBot="1">
      <c r="A104" s="109" t="s">
        <v>286</v>
      </c>
      <c r="B104" s="134" t="s">
        <v>333</v>
      </c>
      <c r="C104" s="142">
        <f>(40%+10%)*C75*C102</f>
        <v>7.7777777777777784E-4</v>
      </c>
      <c r="D104" s="107">
        <f>ROUND($D$43*C104,2)</f>
        <v>1.1399999999999999</v>
      </c>
    </row>
    <row r="105" spans="1:7" ht="16.5" thickBot="1">
      <c r="A105" s="525" t="s">
        <v>7</v>
      </c>
      <c r="B105" s="526"/>
      <c r="C105" s="127">
        <f>SUM(C99:C104)</f>
        <v>7.5386424830159324E-2</v>
      </c>
      <c r="D105" s="143">
        <f>SUM(D99:D104)</f>
        <v>110.91000000000001</v>
      </c>
    </row>
    <row r="106" spans="1:7">
      <c r="A106" s="71"/>
    </row>
    <row r="107" spans="1:7" ht="16.5" thickBot="1">
      <c r="A107" s="523" t="s">
        <v>334</v>
      </c>
      <c r="B107" s="523"/>
      <c r="C107" s="523"/>
      <c r="D107" s="523"/>
      <c r="E107" s="523"/>
      <c r="F107" s="523"/>
      <c r="G107" s="523"/>
    </row>
    <row r="108" spans="1:7" ht="32.25" thickBot="1">
      <c r="A108" s="117" t="s">
        <v>335</v>
      </c>
      <c r="B108" s="118" t="s">
        <v>336</v>
      </c>
      <c r="C108" s="117" t="s">
        <v>4</v>
      </c>
      <c r="D108" s="117" t="s">
        <v>279</v>
      </c>
    </row>
    <row r="109" spans="1:7">
      <c r="A109" s="82" t="s">
        <v>257</v>
      </c>
      <c r="B109" s="133" t="s">
        <v>13</v>
      </c>
      <c r="C109" s="144">
        <f>(5/56)</f>
        <v>8.9285714285714288E-2</v>
      </c>
      <c r="D109" s="107">
        <f t="shared" ref="D109:D114" si="1">ROUND($D$43*C109,2)</f>
        <v>131.35</v>
      </c>
    </row>
    <row r="110" spans="1:7">
      <c r="A110" s="191" t="s">
        <v>259</v>
      </c>
      <c r="B110" s="138" t="s">
        <v>379</v>
      </c>
      <c r="C110" s="122">
        <f>(10.96/30)/12</f>
        <v>3.0444444444444444E-2</v>
      </c>
      <c r="D110" s="107">
        <f t="shared" si="1"/>
        <v>44.79</v>
      </c>
      <c r="E110" s="184"/>
    </row>
    <row r="111" spans="1:7">
      <c r="A111" s="191" t="s">
        <v>261</v>
      </c>
      <c r="B111" s="138" t="s">
        <v>337</v>
      </c>
      <c r="C111" s="122">
        <f>((5/30)/12)*0.015</f>
        <v>2.0833333333333332E-4</v>
      </c>
      <c r="D111" s="107">
        <f t="shared" si="1"/>
        <v>0.31</v>
      </c>
    </row>
    <row r="112" spans="1:7">
      <c r="A112" s="191" t="s">
        <v>263</v>
      </c>
      <c r="B112" s="138" t="s">
        <v>338</v>
      </c>
      <c r="C112" s="122">
        <f>((1/30)/12)</f>
        <v>2.7777777777777779E-3</v>
      </c>
      <c r="D112" s="107">
        <f t="shared" si="1"/>
        <v>4.09</v>
      </c>
    </row>
    <row r="113" spans="1:7">
      <c r="A113" s="191" t="s">
        <v>284</v>
      </c>
      <c r="B113" s="138" t="s">
        <v>339</v>
      </c>
      <c r="C113" s="122">
        <f>((15/30)/12)*0.0078</f>
        <v>3.2499999999999999E-4</v>
      </c>
      <c r="D113" s="107">
        <f t="shared" si="1"/>
        <v>0.48</v>
      </c>
    </row>
    <row r="114" spans="1:7">
      <c r="A114" s="191" t="s">
        <v>286</v>
      </c>
      <c r="B114" s="138" t="s">
        <v>291</v>
      </c>
      <c r="C114" s="145"/>
      <c r="D114" s="107">
        <f t="shared" si="1"/>
        <v>0</v>
      </c>
    </row>
    <row r="115" spans="1:7">
      <c r="A115" s="532" t="s">
        <v>318</v>
      </c>
      <c r="B115" s="533"/>
      <c r="C115" s="122">
        <f>SUM(C109:C114)</f>
        <v>0.12304126984126985</v>
      </c>
      <c r="D115" s="107">
        <f>SUM(D109:D114)</f>
        <v>181.01999999999998</v>
      </c>
    </row>
    <row r="116" spans="1:7" ht="32.25" thickBot="1">
      <c r="A116" s="109" t="s">
        <v>288</v>
      </c>
      <c r="B116" s="134" t="s">
        <v>340</v>
      </c>
      <c r="C116" s="142">
        <f>D116/$D$43</f>
        <v>4.5338680624001627E-2</v>
      </c>
      <c r="D116" s="107">
        <f>ROUND(D78*C115,2)</f>
        <v>66.7</v>
      </c>
    </row>
    <row r="117" spans="1:7" ht="16.5" thickBot="1">
      <c r="A117" s="525" t="s">
        <v>7</v>
      </c>
      <c r="B117" s="526"/>
      <c r="C117" s="127">
        <f>C116+C115</f>
        <v>0.16837995046527149</v>
      </c>
      <c r="D117" s="146">
        <f>D116+D115</f>
        <v>247.71999999999997</v>
      </c>
    </row>
    <row r="118" spans="1:7">
      <c r="A118" s="190" t="s">
        <v>341</v>
      </c>
    </row>
    <row r="119" spans="1:7" ht="16.5" thickBot="1">
      <c r="A119" s="522" t="s">
        <v>342</v>
      </c>
      <c r="B119" s="522"/>
      <c r="C119" s="522"/>
      <c r="D119" s="522"/>
      <c r="E119" s="522"/>
      <c r="F119" s="522"/>
      <c r="G119" s="522"/>
    </row>
    <row r="120" spans="1:7" ht="32.25" customHeight="1" thickBot="1">
      <c r="A120" s="147">
        <v>4</v>
      </c>
      <c r="B120" s="148" t="s">
        <v>343</v>
      </c>
      <c r="C120" s="149" t="s">
        <v>4</v>
      </c>
      <c r="D120" s="150" t="s">
        <v>279</v>
      </c>
    </row>
    <row r="121" spans="1:7">
      <c r="A121" s="82" t="s">
        <v>307</v>
      </c>
      <c r="B121" s="133" t="s">
        <v>344</v>
      </c>
      <c r="C121" s="142">
        <f t="shared" ref="C121:C126" si="2">D121/$D$43</f>
        <v>0.16291336709377019</v>
      </c>
      <c r="D121" s="107">
        <f>D88</f>
        <v>239.67000000000002</v>
      </c>
    </row>
    <row r="122" spans="1:7">
      <c r="A122" s="191" t="s">
        <v>314</v>
      </c>
      <c r="B122" s="138" t="s">
        <v>308</v>
      </c>
      <c r="C122" s="142">
        <f t="shared" si="2"/>
        <v>0.36850083268191547</v>
      </c>
      <c r="D122" s="107">
        <f>D78</f>
        <v>542.12</v>
      </c>
    </row>
    <row r="123" spans="1:7">
      <c r="A123" s="191" t="s">
        <v>321</v>
      </c>
      <c r="B123" s="138" t="s">
        <v>323</v>
      </c>
      <c r="C123" s="142">
        <f t="shared" si="2"/>
        <v>1.0128131053937397E-3</v>
      </c>
      <c r="D123" s="107">
        <f>D94</f>
        <v>1.4900000000000002</v>
      </c>
    </row>
    <row r="124" spans="1:7">
      <c r="A124" s="151" t="s">
        <v>326</v>
      </c>
      <c r="B124" s="152" t="s">
        <v>345</v>
      </c>
      <c r="C124" s="142">
        <f t="shared" si="2"/>
        <v>7.5390001019610506E-2</v>
      </c>
      <c r="D124" s="107">
        <f>D105</f>
        <v>110.91000000000001</v>
      </c>
    </row>
    <row r="125" spans="1:7">
      <c r="A125" s="153" t="s">
        <v>335</v>
      </c>
      <c r="B125" s="154" t="s">
        <v>346</v>
      </c>
      <c r="C125" s="142">
        <f t="shared" si="2"/>
        <v>0.16838527682425311</v>
      </c>
      <c r="D125" s="107">
        <f>D117</f>
        <v>247.71999999999997</v>
      </c>
    </row>
    <row r="126" spans="1:7" ht="16.5" thickBot="1">
      <c r="A126" s="191" t="s">
        <v>347</v>
      </c>
      <c r="B126" s="138" t="s">
        <v>291</v>
      </c>
      <c r="C126" s="142">
        <f t="shared" si="2"/>
        <v>0</v>
      </c>
      <c r="D126" s="107">
        <v>0</v>
      </c>
    </row>
    <row r="127" spans="1:7" ht="37.5" customHeight="1" thickBot="1">
      <c r="A127" s="530" t="s">
        <v>348</v>
      </c>
      <c r="B127" s="531"/>
      <c r="C127" s="127">
        <f>SUM(C121:C126)</f>
        <v>0.77620229072494284</v>
      </c>
      <c r="D127" s="113">
        <f>SUM(D121:D126)</f>
        <v>1141.9099999999999</v>
      </c>
    </row>
    <row r="128" spans="1:7">
      <c r="A128" s="155"/>
      <c r="B128" s="155"/>
      <c r="C128" s="156"/>
      <c r="D128" s="157"/>
      <c r="E128" s="158"/>
      <c r="F128" s="159"/>
      <c r="G128" s="159"/>
    </row>
    <row r="129" spans="1:8" ht="16.5" thickBot="1">
      <c r="A129" s="522" t="s">
        <v>349</v>
      </c>
      <c r="B129" s="522"/>
      <c r="C129" s="522"/>
      <c r="D129" s="522"/>
      <c r="E129" s="522"/>
      <c r="F129" s="522"/>
      <c r="G129" s="522"/>
      <c r="H129" s="160"/>
    </row>
    <row r="130" spans="1:8" ht="16.5" thickBot="1">
      <c r="A130" s="147" t="s">
        <v>350</v>
      </c>
      <c r="B130" s="148" t="s">
        <v>351</v>
      </c>
      <c r="C130" s="149" t="s">
        <v>4</v>
      </c>
      <c r="D130" s="114" t="s">
        <v>279</v>
      </c>
      <c r="E130" s="161">
        <f>D43+D54+D64+D78+D88+D94+D105+D117</f>
        <v>3304.7623725490189</v>
      </c>
      <c r="G130" s="160"/>
    </row>
    <row r="131" spans="1:8">
      <c r="A131" s="82" t="s">
        <v>257</v>
      </c>
      <c r="B131" s="133" t="s">
        <v>352</v>
      </c>
      <c r="C131" s="162">
        <v>6.9531399999999993E-2</v>
      </c>
      <c r="D131" s="163">
        <f>E130*C131</f>
        <v>229.78475443065483</v>
      </c>
      <c r="G131" s="160"/>
    </row>
    <row r="132" spans="1:8">
      <c r="A132" s="191" t="s">
        <v>259</v>
      </c>
      <c r="B132" s="138" t="s">
        <v>353</v>
      </c>
      <c r="C132" s="142"/>
      <c r="D132" s="164"/>
      <c r="F132" s="165"/>
    </row>
    <row r="133" spans="1:8">
      <c r="A133" s="191"/>
      <c r="B133" s="138" t="s">
        <v>354</v>
      </c>
      <c r="C133" s="142"/>
      <c r="D133" s="129"/>
      <c r="F133" s="182"/>
      <c r="G133" s="160"/>
    </row>
    <row r="134" spans="1:8">
      <c r="A134" s="191"/>
      <c r="B134" s="138" t="s">
        <v>355</v>
      </c>
      <c r="C134" s="142">
        <v>7.5999999999999998E-2</v>
      </c>
      <c r="D134" s="107">
        <f>$D$152*C134</f>
        <v>310.47934464640821</v>
      </c>
      <c r="E134" s="165">
        <f>D152</f>
        <v>4085.2545348211606</v>
      </c>
      <c r="G134" s="160"/>
    </row>
    <row r="135" spans="1:8">
      <c r="A135" s="191"/>
      <c r="B135" s="138" t="s">
        <v>356</v>
      </c>
      <c r="C135" s="142">
        <v>1.6500000000000001E-2</v>
      </c>
      <c r="D135" s="107">
        <f>$D$152*C135</f>
        <v>67.40669982454915</v>
      </c>
      <c r="E135" s="246"/>
      <c r="G135" s="160"/>
    </row>
    <row r="136" spans="1:8">
      <c r="A136" s="191"/>
      <c r="B136" s="138" t="s">
        <v>357</v>
      </c>
      <c r="C136" s="142"/>
      <c r="D136" s="107"/>
    </row>
    <row r="137" spans="1:8">
      <c r="A137" s="191"/>
      <c r="B137" s="138" t="s">
        <v>358</v>
      </c>
      <c r="C137" s="142">
        <v>2.5000000000000001E-2</v>
      </c>
      <c r="D137" s="107">
        <f>$D$152*C137</f>
        <v>102.13136337052902</v>
      </c>
      <c r="G137" s="160"/>
    </row>
    <row r="138" spans="1:8">
      <c r="A138" s="191"/>
      <c r="B138" s="138" t="s">
        <v>359</v>
      </c>
      <c r="C138" s="142"/>
      <c r="D138" s="107"/>
    </row>
    <row r="139" spans="1:8" ht="16.5" thickBot="1">
      <c r="A139" s="191" t="s">
        <v>261</v>
      </c>
      <c r="B139" s="138" t="s">
        <v>360</v>
      </c>
      <c r="C139" s="142">
        <v>0.02</v>
      </c>
      <c r="D139" s="107">
        <f>ROUND(E139*C139,2)</f>
        <v>70.69</v>
      </c>
      <c r="E139" s="132">
        <f>E130+D131</f>
        <v>3534.5471269796735</v>
      </c>
    </row>
    <row r="140" spans="1:8" ht="33" customHeight="1" thickBot="1">
      <c r="A140" s="527" t="s">
        <v>361</v>
      </c>
      <c r="B140" s="528"/>
      <c r="C140" s="529"/>
      <c r="D140" s="166">
        <f>D131+D134+D135+D137+D139</f>
        <v>780.49216227214129</v>
      </c>
    </row>
    <row r="141" spans="1:8">
      <c r="A141" s="522" t="s">
        <v>362</v>
      </c>
      <c r="B141" s="522"/>
      <c r="C141" s="522"/>
      <c r="D141" s="522"/>
      <c r="E141" s="522"/>
      <c r="F141" s="522"/>
      <c r="G141" s="522"/>
    </row>
    <row r="142" spans="1:8">
      <c r="A142" s="522" t="s">
        <v>363</v>
      </c>
      <c r="B142" s="522"/>
      <c r="C142" s="522"/>
      <c r="D142" s="522"/>
      <c r="E142" s="522"/>
      <c r="F142" s="522"/>
      <c r="G142" s="522"/>
    </row>
    <row r="143" spans="1:8">
      <c r="A143" s="190"/>
    </row>
    <row r="144" spans="1:8" ht="16.5" thickBot="1">
      <c r="A144" s="523" t="s">
        <v>364</v>
      </c>
      <c r="B144" s="523"/>
      <c r="C144" s="523"/>
      <c r="D144" s="523"/>
      <c r="E144" s="523"/>
      <c r="F144" s="523"/>
      <c r="G144" s="523"/>
    </row>
    <row r="145" spans="1:8" ht="32.25" customHeight="1" thickBot="1">
      <c r="A145" s="147"/>
      <c r="B145" s="524" t="s">
        <v>365</v>
      </c>
      <c r="C145" s="524"/>
      <c r="D145" s="167" t="s">
        <v>366</v>
      </c>
    </row>
    <row r="146" spans="1:8">
      <c r="A146" s="191" t="s">
        <v>257</v>
      </c>
      <c r="B146" s="138" t="s">
        <v>367</v>
      </c>
      <c r="C146" s="122">
        <f t="shared" ref="C146:C151" si="3">D146/$D$152</f>
        <v>0.36011220046645204</v>
      </c>
      <c r="D146" s="129">
        <f>D43</f>
        <v>1471.15</v>
      </c>
    </row>
    <row r="147" spans="1:8">
      <c r="A147" s="191" t="s">
        <v>259</v>
      </c>
      <c r="B147" s="138" t="s">
        <v>368</v>
      </c>
      <c r="C147" s="122">
        <f t="shared" si="3"/>
        <v>0.14648642532123912</v>
      </c>
      <c r="D147" s="129">
        <f>D54</f>
        <v>598.43433333333337</v>
      </c>
    </row>
    <row r="148" spans="1:8" ht="31.5">
      <c r="A148" s="191" t="s">
        <v>261</v>
      </c>
      <c r="B148" s="138" t="s">
        <v>369</v>
      </c>
      <c r="C148" s="122">
        <f t="shared" si="3"/>
        <v>2.283041079098129E-2</v>
      </c>
      <c r="D148" s="129">
        <f>D64</f>
        <v>93.268039215686272</v>
      </c>
      <c r="E148" s="165">
        <f>D150+D131+D139</f>
        <v>3605.237126979674</v>
      </c>
    </row>
    <row r="149" spans="1:8" ht="31.5">
      <c r="A149" s="191" t="s">
        <v>263</v>
      </c>
      <c r="B149" s="138" t="s">
        <v>370</v>
      </c>
      <c r="C149" s="122">
        <f t="shared" si="3"/>
        <v>0.27951991492005995</v>
      </c>
      <c r="D149" s="129">
        <f>D127</f>
        <v>1141.9099999999999</v>
      </c>
      <c r="E149" s="174">
        <f>C137+C135+C134</f>
        <v>0.11749999999999999</v>
      </c>
    </row>
    <row r="150" spans="1:8" ht="16.5" customHeight="1">
      <c r="A150" s="168" t="s">
        <v>371</v>
      </c>
      <c r="B150" s="169"/>
      <c r="C150" s="131">
        <f t="shared" si="3"/>
        <v>0.80894895149873236</v>
      </c>
      <c r="D150" s="170">
        <f>SUM(D146:D149)</f>
        <v>3304.7623725490193</v>
      </c>
      <c r="E150" s="174">
        <f>100%-E149</f>
        <v>0.88250000000000006</v>
      </c>
    </row>
    <row r="151" spans="1:8" ht="32.25" thickBot="1">
      <c r="A151" s="191" t="s">
        <v>284</v>
      </c>
      <c r="B151" s="138" t="s">
        <v>372</v>
      </c>
      <c r="C151" s="122">
        <f t="shared" si="3"/>
        <v>0.19105104850126767</v>
      </c>
      <c r="D151" s="129">
        <f>D140</f>
        <v>780.49216227214129</v>
      </c>
      <c r="G151" s="171"/>
    </row>
    <row r="152" spans="1:8" ht="16.5" customHeight="1" thickBot="1">
      <c r="A152" s="525" t="s">
        <v>373</v>
      </c>
      <c r="B152" s="526"/>
      <c r="C152" s="127">
        <f>C151+C150</f>
        <v>1</v>
      </c>
      <c r="D152" s="166">
        <f>(D150+D139+D131)/0.8825</f>
        <v>4085.2545348211606</v>
      </c>
      <c r="E152" s="171"/>
      <c r="F152" s="165">
        <f>D150+D151</f>
        <v>4085.2545348211606</v>
      </c>
      <c r="H152" s="172"/>
    </row>
    <row r="153" spans="1:8">
      <c r="E153" s="171"/>
    </row>
    <row r="154" spans="1:8">
      <c r="A154" s="186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1.299212598425197" right="0.51181102362204722" top="2.1653543307086616" bottom="0.98425196850393704" header="0.31496062992125984" footer="0.31496062992125984"/>
  <pageSetup paperSize="9" scale="79" fitToHeight="4" orientation="portrait" r:id="rId1"/>
  <headerFooter alignWithMargins="0"/>
  <rowBreaks count="3" manualBreakCount="3">
    <brk id="43" max="3" man="1"/>
    <brk id="88" max="3" man="1"/>
    <brk id="128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154"/>
  <sheetViews>
    <sheetView showGridLines="0" view="pageBreakPreview" topLeftCell="A25" zoomScale="90" zoomScaleSheetLayoutView="90" workbookViewId="0">
      <selection activeCell="D48" sqref="D48"/>
    </sheetView>
  </sheetViews>
  <sheetFormatPr defaultRowHeight="15.75"/>
  <cols>
    <col min="1" max="1" width="9.28515625" style="53" customWidth="1"/>
    <col min="2" max="2" width="39.85546875" style="53" customWidth="1"/>
    <col min="3" max="3" width="18.28515625" style="53" customWidth="1"/>
    <col min="4" max="4" width="23.85546875" style="53" customWidth="1"/>
    <col min="5" max="5" width="16" style="53" bestFit="1" customWidth="1"/>
    <col min="6" max="6" width="13.7109375" style="53" bestFit="1" customWidth="1"/>
    <col min="7" max="7" width="15.7109375" style="53" bestFit="1" customWidth="1"/>
    <col min="8" max="8" width="13.140625" style="53" bestFit="1" customWidth="1"/>
    <col min="9" max="9" width="11.85546875" style="53" bestFit="1" customWidth="1"/>
    <col min="10" max="10" width="12.85546875" style="53" bestFit="1" customWidth="1"/>
    <col min="11" max="256" width="9.140625" style="53"/>
    <col min="257" max="257" width="9.28515625" style="53" customWidth="1"/>
    <col min="258" max="258" width="39.85546875" style="53" customWidth="1"/>
    <col min="259" max="259" width="18.28515625" style="53" customWidth="1"/>
    <col min="260" max="260" width="23.85546875" style="53" customWidth="1"/>
    <col min="261" max="261" width="16" style="53" bestFit="1" customWidth="1"/>
    <col min="262" max="262" width="13.7109375" style="53" bestFit="1" customWidth="1"/>
    <col min="263" max="263" width="15.7109375" style="53" bestFit="1" customWidth="1"/>
    <col min="264" max="264" width="13.140625" style="53" bestFit="1" customWidth="1"/>
    <col min="265" max="265" width="11.85546875" style="53" bestFit="1" customWidth="1"/>
    <col min="266" max="266" width="12.85546875" style="53" bestFit="1" customWidth="1"/>
    <col min="267" max="512" width="9.140625" style="53"/>
    <col min="513" max="513" width="9.28515625" style="53" customWidth="1"/>
    <col min="514" max="514" width="39.85546875" style="53" customWidth="1"/>
    <col min="515" max="515" width="18.28515625" style="53" customWidth="1"/>
    <col min="516" max="516" width="23.85546875" style="53" customWidth="1"/>
    <col min="517" max="517" width="16" style="53" bestFit="1" customWidth="1"/>
    <col min="518" max="518" width="13.7109375" style="53" bestFit="1" customWidth="1"/>
    <col min="519" max="519" width="15.7109375" style="53" bestFit="1" customWidth="1"/>
    <col min="520" max="520" width="13.140625" style="53" bestFit="1" customWidth="1"/>
    <col min="521" max="521" width="11.85546875" style="53" bestFit="1" customWidth="1"/>
    <col min="522" max="522" width="12.85546875" style="53" bestFit="1" customWidth="1"/>
    <col min="523" max="768" width="9.140625" style="53"/>
    <col min="769" max="769" width="9.28515625" style="53" customWidth="1"/>
    <col min="770" max="770" width="39.85546875" style="53" customWidth="1"/>
    <col min="771" max="771" width="18.28515625" style="53" customWidth="1"/>
    <col min="772" max="772" width="23.85546875" style="53" customWidth="1"/>
    <col min="773" max="773" width="16" style="53" bestFit="1" customWidth="1"/>
    <col min="774" max="774" width="13.7109375" style="53" bestFit="1" customWidth="1"/>
    <col min="775" max="775" width="15.7109375" style="53" bestFit="1" customWidth="1"/>
    <col min="776" max="776" width="13.140625" style="53" bestFit="1" customWidth="1"/>
    <col min="777" max="777" width="11.85546875" style="53" bestFit="1" customWidth="1"/>
    <col min="778" max="778" width="12.85546875" style="53" bestFit="1" customWidth="1"/>
    <col min="779" max="1024" width="9.140625" style="53"/>
    <col min="1025" max="1025" width="9.28515625" style="53" customWidth="1"/>
    <col min="1026" max="1026" width="39.85546875" style="53" customWidth="1"/>
    <col min="1027" max="1027" width="18.28515625" style="53" customWidth="1"/>
    <col min="1028" max="1028" width="23.85546875" style="53" customWidth="1"/>
    <col min="1029" max="1029" width="16" style="53" bestFit="1" customWidth="1"/>
    <col min="1030" max="1030" width="13.7109375" style="53" bestFit="1" customWidth="1"/>
    <col min="1031" max="1031" width="15.7109375" style="53" bestFit="1" customWidth="1"/>
    <col min="1032" max="1032" width="13.140625" style="53" bestFit="1" customWidth="1"/>
    <col min="1033" max="1033" width="11.85546875" style="53" bestFit="1" customWidth="1"/>
    <col min="1034" max="1034" width="12.85546875" style="53" bestFit="1" customWidth="1"/>
    <col min="1035" max="1280" width="9.140625" style="53"/>
    <col min="1281" max="1281" width="9.28515625" style="53" customWidth="1"/>
    <col min="1282" max="1282" width="39.85546875" style="53" customWidth="1"/>
    <col min="1283" max="1283" width="18.28515625" style="53" customWidth="1"/>
    <col min="1284" max="1284" width="23.85546875" style="53" customWidth="1"/>
    <col min="1285" max="1285" width="16" style="53" bestFit="1" customWidth="1"/>
    <col min="1286" max="1286" width="13.7109375" style="53" bestFit="1" customWidth="1"/>
    <col min="1287" max="1287" width="15.7109375" style="53" bestFit="1" customWidth="1"/>
    <col min="1288" max="1288" width="13.140625" style="53" bestFit="1" customWidth="1"/>
    <col min="1289" max="1289" width="11.85546875" style="53" bestFit="1" customWidth="1"/>
    <col min="1290" max="1290" width="12.85546875" style="53" bestFit="1" customWidth="1"/>
    <col min="1291" max="1536" width="9.140625" style="53"/>
    <col min="1537" max="1537" width="9.28515625" style="53" customWidth="1"/>
    <col min="1538" max="1538" width="39.85546875" style="53" customWidth="1"/>
    <col min="1539" max="1539" width="18.28515625" style="53" customWidth="1"/>
    <col min="1540" max="1540" width="23.85546875" style="53" customWidth="1"/>
    <col min="1541" max="1541" width="16" style="53" bestFit="1" customWidth="1"/>
    <col min="1542" max="1542" width="13.7109375" style="53" bestFit="1" customWidth="1"/>
    <col min="1543" max="1543" width="15.7109375" style="53" bestFit="1" customWidth="1"/>
    <col min="1544" max="1544" width="13.140625" style="53" bestFit="1" customWidth="1"/>
    <col min="1545" max="1545" width="11.85546875" style="53" bestFit="1" customWidth="1"/>
    <col min="1546" max="1546" width="12.85546875" style="53" bestFit="1" customWidth="1"/>
    <col min="1547" max="1792" width="9.140625" style="53"/>
    <col min="1793" max="1793" width="9.28515625" style="53" customWidth="1"/>
    <col min="1794" max="1794" width="39.85546875" style="53" customWidth="1"/>
    <col min="1795" max="1795" width="18.28515625" style="53" customWidth="1"/>
    <col min="1796" max="1796" width="23.85546875" style="53" customWidth="1"/>
    <col min="1797" max="1797" width="16" style="53" bestFit="1" customWidth="1"/>
    <col min="1798" max="1798" width="13.7109375" style="53" bestFit="1" customWidth="1"/>
    <col min="1799" max="1799" width="15.7109375" style="53" bestFit="1" customWidth="1"/>
    <col min="1800" max="1800" width="13.140625" style="53" bestFit="1" customWidth="1"/>
    <col min="1801" max="1801" width="11.85546875" style="53" bestFit="1" customWidth="1"/>
    <col min="1802" max="1802" width="12.85546875" style="53" bestFit="1" customWidth="1"/>
    <col min="1803" max="2048" width="9.140625" style="53"/>
    <col min="2049" max="2049" width="9.28515625" style="53" customWidth="1"/>
    <col min="2050" max="2050" width="39.85546875" style="53" customWidth="1"/>
    <col min="2051" max="2051" width="18.28515625" style="53" customWidth="1"/>
    <col min="2052" max="2052" width="23.85546875" style="53" customWidth="1"/>
    <col min="2053" max="2053" width="16" style="53" bestFit="1" customWidth="1"/>
    <col min="2054" max="2054" width="13.7109375" style="53" bestFit="1" customWidth="1"/>
    <col min="2055" max="2055" width="15.7109375" style="53" bestFit="1" customWidth="1"/>
    <col min="2056" max="2056" width="13.140625" style="53" bestFit="1" customWidth="1"/>
    <col min="2057" max="2057" width="11.85546875" style="53" bestFit="1" customWidth="1"/>
    <col min="2058" max="2058" width="12.85546875" style="53" bestFit="1" customWidth="1"/>
    <col min="2059" max="2304" width="9.140625" style="53"/>
    <col min="2305" max="2305" width="9.28515625" style="53" customWidth="1"/>
    <col min="2306" max="2306" width="39.85546875" style="53" customWidth="1"/>
    <col min="2307" max="2307" width="18.28515625" style="53" customWidth="1"/>
    <col min="2308" max="2308" width="23.85546875" style="53" customWidth="1"/>
    <col min="2309" max="2309" width="16" style="53" bestFit="1" customWidth="1"/>
    <col min="2310" max="2310" width="13.7109375" style="53" bestFit="1" customWidth="1"/>
    <col min="2311" max="2311" width="15.7109375" style="53" bestFit="1" customWidth="1"/>
    <col min="2312" max="2312" width="13.140625" style="53" bestFit="1" customWidth="1"/>
    <col min="2313" max="2313" width="11.85546875" style="53" bestFit="1" customWidth="1"/>
    <col min="2314" max="2314" width="12.85546875" style="53" bestFit="1" customWidth="1"/>
    <col min="2315" max="2560" width="9.140625" style="53"/>
    <col min="2561" max="2561" width="9.28515625" style="53" customWidth="1"/>
    <col min="2562" max="2562" width="39.85546875" style="53" customWidth="1"/>
    <col min="2563" max="2563" width="18.28515625" style="53" customWidth="1"/>
    <col min="2564" max="2564" width="23.85546875" style="53" customWidth="1"/>
    <col min="2565" max="2565" width="16" style="53" bestFit="1" customWidth="1"/>
    <col min="2566" max="2566" width="13.7109375" style="53" bestFit="1" customWidth="1"/>
    <col min="2567" max="2567" width="15.7109375" style="53" bestFit="1" customWidth="1"/>
    <col min="2568" max="2568" width="13.140625" style="53" bestFit="1" customWidth="1"/>
    <col min="2569" max="2569" width="11.85546875" style="53" bestFit="1" customWidth="1"/>
    <col min="2570" max="2570" width="12.85546875" style="53" bestFit="1" customWidth="1"/>
    <col min="2571" max="2816" width="9.140625" style="53"/>
    <col min="2817" max="2817" width="9.28515625" style="53" customWidth="1"/>
    <col min="2818" max="2818" width="39.85546875" style="53" customWidth="1"/>
    <col min="2819" max="2819" width="18.28515625" style="53" customWidth="1"/>
    <col min="2820" max="2820" width="23.85546875" style="53" customWidth="1"/>
    <col min="2821" max="2821" width="16" style="53" bestFit="1" customWidth="1"/>
    <col min="2822" max="2822" width="13.7109375" style="53" bestFit="1" customWidth="1"/>
    <col min="2823" max="2823" width="15.7109375" style="53" bestFit="1" customWidth="1"/>
    <col min="2824" max="2824" width="13.140625" style="53" bestFit="1" customWidth="1"/>
    <col min="2825" max="2825" width="11.85546875" style="53" bestFit="1" customWidth="1"/>
    <col min="2826" max="2826" width="12.85546875" style="53" bestFit="1" customWidth="1"/>
    <col min="2827" max="3072" width="9.140625" style="53"/>
    <col min="3073" max="3073" width="9.28515625" style="53" customWidth="1"/>
    <col min="3074" max="3074" width="39.85546875" style="53" customWidth="1"/>
    <col min="3075" max="3075" width="18.28515625" style="53" customWidth="1"/>
    <col min="3076" max="3076" width="23.85546875" style="53" customWidth="1"/>
    <col min="3077" max="3077" width="16" style="53" bestFit="1" customWidth="1"/>
    <col min="3078" max="3078" width="13.7109375" style="53" bestFit="1" customWidth="1"/>
    <col min="3079" max="3079" width="15.7109375" style="53" bestFit="1" customWidth="1"/>
    <col min="3080" max="3080" width="13.140625" style="53" bestFit="1" customWidth="1"/>
    <col min="3081" max="3081" width="11.85546875" style="53" bestFit="1" customWidth="1"/>
    <col min="3082" max="3082" width="12.85546875" style="53" bestFit="1" customWidth="1"/>
    <col min="3083" max="3328" width="9.140625" style="53"/>
    <col min="3329" max="3329" width="9.28515625" style="53" customWidth="1"/>
    <col min="3330" max="3330" width="39.85546875" style="53" customWidth="1"/>
    <col min="3331" max="3331" width="18.28515625" style="53" customWidth="1"/>
    <col min="3332" max="3332" width="23.85546875" style="53" customWidth="1"/>
    <col min="3333" max="3333" width="16" style="53" bestFit="1" customWidth="1"/>
    <col min="3334" max="3334" width="13.7109375" style="53" bestFit="1" customWidth="1"/>
    <col min="3335" max="3335" width="15.7109375" style="53" bestFit="1" customWidth="1"/>
    <col min="3336" max="3336" width="13.140625" style="53" bestFit="1" customWidth="1"/>
    <col min="3337" max="3337" width="11.85546875" style="53" bestFit="1" customWidth="1"/>
    <col min="3338" max="3338" width="12.85546875" style="53" bestFit="1" customWidth="1"/>
    <col min="3339" max="3584" width="9.140625" style="53"/>
    <col min="3585" max="3585" width="9.28515625" style="53" customWidth="1"/>
    <col min="3586" max="3586" width="39.85546875" style="53" customWidth="1"/>
    <col min="3587" max="3587" width="18.28515625" style="53" customWidth="1"/>
    <col min="3588" max="3588" width="23.85546875" style="53" customWidth="1"/>
    <col min="3589" max="3589" width="16" style="53" bestFit="1" customWidth="1"/>
    <col min="3590" max="3590" width="13.7109375" style="53" bestFit="1" customWidth="1"/>
    <col min="3591" max="3591" width="15.7109375" style="53" bestFit="1" customWidth="1"/>
    <col min="3592" max="3592" width="13.140625" style="53" bestFit="1" customWidth="1"/>
    <col min="3593" max="3593" width="11.85546875" style="53" bestFit="1" customWidth="1"/>
    <col min="3594" max="3594" width="12.85546875" style="53" bestFit="1" customWidth="1"/>
    <col min="3595" max="3840" width="9.140625" style="53"/>
    <col min="3841" max="3841" width="9.28515625" style="53" customWidth="1"/>
    <col min="3842" max="3842" width="39.85546875" style="53" customWidth="1"/>
    <col min="3843" max="3843" width="18.28515625" style="53" customWidth="1"/>
    <col min="3844" max="3844" width="23.85546875" style="53" customWidth="1"/>
    <col min="3845" max="3845" width="16" style="53" bestFit="1" customWidth="1"/>
    <col min="3846" max="3846" width="13.7109375" style="53" bestFit="1" customWidth="1"/>
    <col min="3847" max="3847" width="15.7109375" style="53" bestFit="1" customWidth="1"/>
    <col min="3848" max="3848" width="13.140625" style="53" bestFit="1" customWidth="1"/>
    <col min="3849" max="3849" width="11.85546875" style="53" bestFit="1" customWidth="1"/>
    <col min="3850" max="3850" width="12.85546875" style="53" bestFit="1" customWidth="1"/>
    <col min="3851" max="4096" width="9.140625" style="53"/>
    <col min="4097" max="4097" width="9.28515625" style="53" customWidth="1"/>
    <col min="4098" max="4098" width="39.85546875" style="53" customWidth="1"/>
    <col min="4099" max="4099" width="18.28515625" style="53" customWidth="1"/>
    <col min="4100" max="4100" width="23.85546875" style="53" customWidth="1"/>
    <col min="4101" max="4101" width="16" style="53" bestFit="1" customWidth="1"/>
    <col min="4102" max="4102" width="13.7109375" style="53" bestFit="1" customWidth="1"/>
    <col min="4103" max="4103" width="15.7109375" style="53" bestFit="1" customWidth="1"/>
    <col min="4104" max="4104" width="13.140625" style="53" bestFit="1" customWidth="1"/>
    <col min="4105" max="4105" width="11.85546875" style="53" bestFit="1" customWidth="1"/>
    <col min="4106" max="4106" width="12.85546875" style="53" bestFit="1" customWidth="1"/>
    <col min="4107" max="4352" width="9.140625" style="53"/>
    <col min="4353" max="4353" width="9.28515625" style="53" customWidth="1"/>
    <col min="4354" max="4354" width="39.85546875" style="53" customWidth="1"/>
    <col min="4355" max="4355" width="18.28515625" style="53" customWidth="1"/>
    <col min="4356" max="4356" width="23.85546875" style="53" customWidth="1"/>
    <col min="4357" max="4357" width="16" style="53" bestFit="1" customWidth="1"/>
    <col min="4358" max="4358" width="13.7109375" style="53" bestFit="1" customWidth="1"/>
    <col min="4359" max="4359" width="15.7109375" style="53" bestFit="1" customWidth="1"/>
    <col min="4360" max="4360" width="13.140625" style="53" bestFit="1" customWidth="1"/>
    <col min="4361" max="4361" width="11.85546875" style="53" bestFit="1" customWidth="1"/>
    <col min="4362" max="4362" width="12.85546875" style="53" bestFit="1" customWidth="1"/>
    <col min="4363" max="4608" width="9.140625" style="53"/>
    <col min="4609" max="4609" width="9.28515625" style="53" customWidth="1"/>
    <col min="4610" max="4610" width="39.85546875" style="53" customWidth="1"/>
    <col min="4611" max="4611" width="18.28515625" style="53" customWidth="1"/>
    <col min="4612" max="4612" width="23.85546875" style="53" customWidth="1"/>
    <col min="4613" max="4613" width="16" style="53" bestFit="1" customWidth="1"/>
    <col min="4614" max="4614" width="13.7109375" style="53" bestFit="1" customWidth="1"/>
    <col min="4615" max="4615" width="15.7109375" style="53" bestFit="1" customWidth="1"/>
    <col min="4616" max="4616" width="13.140625" style="53" bestFit="1" customWidth="1"/>
    <col min="4617" max="4617" width="11.85546875" style="53" bestFit="1" customWidth="1"/>
    <col min="4618" max="4618" width="12.85546875" style="53" bestFit="1" customWidth="1"/>
    <col min="4619" max="4864" width="9.140625" style="53"/>
    <col min="4865" max="4865" width="9.28515625" style="53" customWidth="1"/>
    <col min="4866" max="4866" width="39.85546875" style="53" customWidth="1"/>
    <col min="4867" max="4867" width="18.28515625" style="53" customWidth="1"/>
    <col min="4868" max="4868" width="23.85546875" style="53" customWidth="1"/>
    <col min="4869" max="4869" width="16" style="53" bestFit="1" customWidth="1"/>
    <col min="4870" max="4870" width="13.7109375" style="53" bestFit="1" customWidth="1"/>
    <col min="4871" max="4871" width="15.7109375" style="53" bestFit="1" customWidth="1"/>
    <col min="4872" max="4872" width="13.140625" style="53" bestFit="1" customWidth="1"/>
    <col min="4873" max="4873" width="11.85546875" style="53" bestFit="1" customWidth="1"/>
    <col min="4874" max="4874" width="12.85546875" style="53" bestFit="1" customWidth="1"/>
    <col min="4875" max="5120" width="9.140625" style="53"/>
    <col min="5121" max="5121" width="9.28515625" style="53" customWidth="1"/>
    <col min="5122" max="5122" width="39.85546875" style="53" customWidth="1"/>
    <col min="5123" max="5123" width="18.28515625" style="53" customWidth="1"/>
    <col min="5124" max="5124" width="23.85546875" style="53" customWidth="1"/>
    <col min="5125" max="5125" width="16" style="53" bestFit="1" customWidth="1"/>
    <col min="5126" max="5126" width="13.7109375" style="53" bestFit="1" customWidth="1"/>
    <col min="5127" max="5127" width="15.7109375" style="53" bestFit="1" customWidth="1"/>
    <col min="5128" max="5128" width="13.140625" style="53" bestFit="1" customWidth="1"/>
    <col min="5129" max="5129" width="11.85546875" style="53" bestFit="1" customWidth="1"/>
    <col min="5130" max="5130" width="12.85546875" style="53" bestFit="1" customWidth="1"/>
    <col min="5131" max="5376" width="9.140625" style="53"/>
    <col min="5377" max="5377" width="9.28515625" style="53" customWidth="1"/>
    <col min="5378" max="5378" width="39.85546875" style="53" customWidth="1"/>
    <col min="5379" max="5379" width="18.28515625" style="53" customWidth="1"/>
    <col min="5380" max="5380" width="23.85546875" style="53" customWidth="1"/>
    <col min="5381" max="5381" width="16" style="53" bestFit="1" customWidth="1"/>
    <col min="5382" max="5382" width="13.7109375" style="53" bestFit="1" customWidth="1"/>
    <col min="5383" max="5383" width="15.7109375" style="53" bestFit="1" customWidth="1"/>
    <col min="5384" max="5384" width="13.140625" style="53" bestFit="1" customWidth="1"/>
    <col min="5385" max="5385" width="11.85546875" style="53" bestFit="1" customWidth="1"/>
    <col min="5386" max="5386" width="12.85546875" style="53" bestFit="1" customWidth="1"/>
    <col min="5387" max="5632" width="9.140625" style="53"/>
    <col min="5633" max="5633" width="9.28515625" style="53" customWidth="1"/>
    <col min="5634" max="5634" width="39.85546875" style="53" customWidth="1"/>
    <col min="5635" max="5635" width="18.28515625" style="53" customWidth="1"/>
    <col min="5636" max="5636" width="23.85546875" style="53" customWidth="1"/>
    <col min="5637" max="5637" width="16" style="53" bestFit="1" customWidth="1"/>
    <col min="5638" max="5638" width="13.7109375" style="53" bestFit="1" customWidth="1"/>
    <col min="5639" max="5639" width="15.7109375" style="53" bestFit="1" customWidth="1"/>
    <col min="5640" max="5640" width="13.140625" style="53" bestFit="1" customWidth="1"/>
    <col min="5641" max="5641" width="11.85546875" style="53" bestFit="1" customWidth="1"/>
    <col min="5642" max="5642" width="12.85546875" style="53" bestFit="1" customWidth="1"/>
    <col min="5643" max="5888" width="9.140625" style="53"/>
    <col min="5889" max="5889" width="9.28515625" style="53" customWidth="1"/>
    <col min="5890" max="5890" width="39.85546875" style="53" customWidth="1"/>
    <col min="5891" max="5891" width="18.28515625" style="53" customWidth="1"/>
    <col min="5892" max="5892" width="23.85546875" style="53" customWidth="1"/>
    <col min="5893" max="5893" width="16" style="53" bestFit="1" customWidth="1"/>
    <col min="5894" max="5894" width="13.7109375" style="53" bestFit="1" customWidth="1"/>
    <col min="5895" max="5895" width="15.7109375" style="53" bestFit="1" customWidth="1"/>
    <col min="5896" max="5896" width="13.140625" style="53" bestFit="1" customWidth="1"/>
    <col min="5897" max="5897" width="11.85546875" style="53" bestFit="1" customWidth="1"/>
    <col min="5898" max="5898" width="12.85546875" style="53" bestFit="1" customWidth="1"/>
    <col min="5899" max="6144" width="9.140625" style="53"/>
    <col min="6145" max="6145" width="9.28515625" style="53" customWidth="1"/>
    <col min="6146" max="6146" width="39.85546875" style="53" customWidth="1"/>
    <col min="6147" max="6147" width="18.28515625" style="53" customWidth="1"/>
    <col min="6148" max="6148" width="23.85546875" style="53" customWidth="1"/>
    <col min="6149" max="6149" width="16" style="53" bestFit="1" customWidth="1"/>
    <col min="6150" max="6150" width="13.7109375" style="53" bestFit="1" customWidth="1"/>
    <col min="6151" max="6151" width="15.7109375" style="53" bestFit="1" customWidth="1"/>
    <col min="6152" max="6152" width="13.140625" style="53" bestFit="1" customWidth="1"/>
    <col min="6153" max="6153" width="11.85546875" style="53" bestFit="1" customWidth="1"/>
    <col min="6154" max="6154" width="12.85546875" style="53" bestFit="1" customWidth="1"/>
    <col min="6155" max="6400" width="9.140625" style="53"/>
    <col min="6401" max="6401" width="9.28515625" style="53" customWidth="1"/>
    <col min="6402" max="6402" width="39.85546875" style="53" customWidth="1"/>
    <col min="6403" max="6403" width="18.28515625" style="53" customWidth="1"/>
    <col min="6404" max="6404" width="23.85546875" style="53" customWidth="1"/>
    <col min="6405" max="6405" width="16" style="53" bestFit="1" customWidth="1"/>
    <col min="6406" max="6406" width="13.7109375" style="53" bestFit="1" customWidth="1"/>
    <col min="6407" max="6407" width="15.7109375" style="53" bestFit="1" customWidth="1"/>
    <col min="6408" max="6408" width="13.140625" style="53" bestFit="1" customWidth="1"/>
    <col min="6409" max="6409" width="11.85546875" style="53" bestFit="1" customWidth="1"/>
    <col min="6410" max="6410" width="12.85546875" style="53" bestFit="1" customWidth="1"/>
    <col min="6411" max="6656" width="9.140625" style="53"/>
    <col min="6657" max="6657" width="9.28515625" style="53" customWidth="1"/>
    <col min="6658" max="6658" width="39.85546875" style="53" customWidth="1"/>
    <col min="6659" max="6659" width="18.28515625" style="53" customWidth="1"/>
    <col min="6660" max="6660" width="23.85546875" style="53" customWidth="1"/>
    <col min="6661" max="6661" width="16" style="53" bestFit="1" customWidth="1"/>
    <col min="6662" max="6662" width="13.7109375" style="53" bestFit="1" customWidth="1"/>
    <col min="6663" max="6663" width="15.7109375" style="53" bestFit="1" customWidth="1"/>
    <col min="6664" max="6664" width="13.140625" style="53" bestFit="1" customWidth="1"/>
    <col min="6665" max="6665" width="11.85546875" style="53" bestFit="1" customWidth="1"/>
    <col min="6666" max="6666" width="12.85546875" style="53" bestFit="1" customWidth="1"/>
    <col min="6667" max="6912" width="9.140625" style="53"/>
    <col min="6913" max="6913" width="9.28515625" style="53" customWidth="1"/>
    <col min="6914" max="6914" width="39.85546875" style="53" customWidth="1"/>
    <col min="6915" max="6915" width="18.28515625" style="53" customWidth="1"/>
    <col min="6916" max="6916" width="23.85546875" style="53" customWidth="1"/>
    <col min="6917" max="6917" width="16" style="53" bestFit="1" customWidth="1"/>
    <col min="6918" max="6918" width="13.7109375" style="53" bestFit="1" customWidth="1"/>
    <col min="6919" max="6919" width="15.7109375" style="53" bestFit="1" customWidth="1"/>
    <col min="6920" max="6920" width="13.140625" style="53" bestFit="1" customWidth="1"/>
    <col min="6921" max="6921" width="11.85546875" style="53" bestFit="1" customWidth="1"/>
    <col min="6922" max="6922" width="12.85546875" style="53" bestFit="1" customWidth="1"/>
    <col min="6923" max="7168" width="9.140625" style="53"/>
    <col min="7169" max="7169" width="9.28515625" style="53" customWidth="1"/>
    <col min="7170" max="7170" width="39.85546875" style="53" customWidth="1"/>
    <col min="7171" max="7171" width="18.28515625" style="53" customWidth="1"/>
    <col min="7172" max="7172" width="23.85546875" style="53" customWidth="1"/>
    <col min="7173" max="7173" width="16" style="53" bestFit="1" customWidth="1"/>
    <col min="7174" max="7174" width="13.7109375" style="53" bestFit="1" customWidth="1"/>
    <col min="7175" max="7175" width="15.7109375" style="53" bestFit="1" customWidth="1"/>
    <col min="7176" max="7176" width="13.140625" style="53" bestFit="1" customWidth="1"/>
    <col min="7177" max="7177" width="11.85546875" style="53" bestFit="1" customWidth="1"/>
    <col min="7178" max="7178" width="12.85546875" style="53" bestFit="1" customWidth="1"/>
    <col min="7179" max="7424" width="9.140625" style="53"/>
    <col min="7425" max="7425" width="9.28515625" style="53" customWidth="1"/>
    <col min="7426" max="7426" width="39.85546875" style="53" customWidth="1"/>
    <col min="7427" max="7427" width="18.28515625" style="53" customWidth="1"/>
    <col min="7428" max="7428" width="23.85546875" style="53" customWidth="1"/>
    <col min="7429" max="7429" width="16" style="53" bestFit="1" customWidth="1"/>
    <col min="7430" max="7430" width="13.7109375" style="53" bestFit="1" customWidth="1"/>
    <col min="7431" max="7431" width="15.7109375" style="53" bestFit="1" customWidth="1"/>
    <col min="7432" max="7432" width="13.140625" style="53" bestFit="1" customWidth="1"/>
    <col min="7433" max="7433" width="11.85546875" style="53" bestFit="1" customWidth="1"/>
    <col min="7434" max="7434" width="12.85546875" style="53" bestFit="1" customWidth="1"/>
    <col min="7435" max="7680" width="9.140625" style="53"/>
    <col min="7681" max="7681" width="9.28515625" style="53" customWidth="1"/>
    <col min="7682" max="7682" width="39.85546875" style="53" customWidth="1"/>
    <col min="7683" max="7683" width="18.28515625" style="53" customWidth="1"/>
    <col min="7684" max="7684" width="23.85546875" style="53" customWidth="1"/>
    <col min="7685" max="7685" width="16" style="53" bestFit="1" customWidth="1"/>
    <col min="7686" max="7686" width="13.7109375" style="53" bestFit="1" customWidth="1"/>
    <col min="7687" max="7687" width="15.7109375" style="53" bestFit="1" customWidth="1"/>
    <col min="7688" max="7688" width="13.140625" style="53" bestFit="1" customWidth="1"/>
    <col min="7689" max="7689" width="11.85546875" style="53" bestFit="1" customWidth="1"/>
    <col min="7690" max="7690" width="12.85546875" style="53" bestFit="1" customWidth="1"/>
    <col min="7691" max="7936" width="9.140625" style="53"/>
    <col min="7937" max="7937" width="9.28515625" style="53" customWidth="1"/>
    <col min="7938" max="7938" width="39.85546875" style="53" customWidth="1"/>
    <col min="7939" max="7939" width="18.28515625" style="53" customWidth="1"/>
    <col min="7940" max="7940" width="23.85546875" style="53" customWidth="1"/>
    <col min="7941" max="7941" width="16" style="53" bestFit="1" customWidth="1"/>
    <col min="7942" max="7942" width="13.7109375" style="53" bestFit="1" customWidth="1"/>
    <col min="7943" max="7943" width="15.7109375" style="53" bestFit="1" customWidth="1"/>
    <col min="7944" max="7944" width="13.140625" style="53" bestFit="1" customWidth="1"/>
    <col min="7945" max="7945" width="11.85546875" style="53" bestFit="1" customWidth="1"/>
    <col min="7946" max="7946" width="12.85546875" style="53" bestFit="1" customWidth="1"/>
    <col min="7947" max="8192" width="9.140625" style="53"/>
    <col min="8193" max="8193" width="9.28515625" style="53" customWidth="1"/>
    <col min="8194" max="8194" width="39.85546875" style="53" customWidth="1"/>
    <col min="8195" max="8195" width="18.28515625" style="53" customWidth="1"/>
    <col min="8196" max="8196" width="23.85546875" style="53" customWidth="1"/>
    <col min="8197" max="8197" width="16" style="53" bestFit="1" customWidth="1"/>
    <col min="8198" max="8198" width="13.7109375" style="53" bestFit="1" customWidth="1"/>
    <col min="8199" max="8199" width="15.7109375" style="53" bestFit="1" customWidth="1"/>
    <col min="8200" max="8200" width="13.140625" style="53" bestFit="1" customWidth="1"/>
    <col min="8201" max="8201" width="11.85546875" style="53" bestFit="1" customWidth="1"/>
    <col min="8202" max="8202" width="12.85546875" style="53" bestFit="1" customWidth="1"/>
    <col min="8203" max="8448" width="9.140625" style="53"/>
    <col min="8449" max="8449" width="9.28515625" style="53" customWidth="1"/>
    <col min="8450" max="8450" width="39.85546875" style="53" customWidth="1"/>
    <col min="8451" max="8451" width="18.28515625" style="53" customWidth="1"/>
    <col min="8452" max="8452" width="23.85546875" style="53" customWidth="1"/>
    <col min="8453" max="8453" width="16" style="53" bestFit="1" customWidth="1"/>
    <col min="8454" max="8454" width="13.7109375" style="53" bestFit="1" customWidth="1"/>
    <col min="8455" max="8455" width="15.7109375" style="53" bestFit="1" customWidth="1"/>
    <col min="8456" max="8456" width="13.140625" style="53" bestFit="1" customWidth="1"/>
    <col min="8457" max="8457" width="11.85546875" style="53" bestFit="1" customWidth="1"/>
    <col min="8458" max="8458" width="12.85546875" style="53" bestFit="1" customWidth="1"/>
    <col min="8459" max="8704" width="9.140625" style="53"/>
    <col min="8705" max="8705" width="9.28515625" style="53" customWidth="1"/>
    <col min="8706" max="8706" width="39.85546875" style="53" customWidth="1"/>
    <col min="8707" max="8707" width="18.28515625" style="53" customWidth="1"/>
    <col min="8708" max="8708" width="23.85546875" style="53" customWidth="1"/>
    <col min="8709" max="8709" width="16" style="53" bestFit="1" customWidth="1"/>
    <col min="8710" max="8710" width="13.7109375" style="53" bestFit="1" customWidth="1"/>
    <col min="8711" max="8711" width="15.7109375" style="53" bestFit="1" customWidth="1"/>
    <col min="8712" max="8712" width="13.140625" style="53" bestFit="1" customWidth="1"/>
    <col min="8713" max="8713" width="11.85546875" style="53" bestFit="1" customWidth="1"/>
    <col min="8714" max="8714" width="12.85546875" style="53" bestFit="1" customWidth="1"/>
    <col min="8715" max="8960" width="9.140625" style="53"/>
    <col min="8961" max="8961" width="9.28515625" style="53" customWidth="1"/>
    <col min="8962" max="8962" width="39.85546875" style="53" customWidth="1"/>
    <col min="8963" max="8963" width="18.28515625" style="53" customWidth="1"/>
    <col min="8964" max="8964" width="23.85546875" style="53" customWidth="1"/>
    <col min="8965" max="8965" width="16" style="53" bestFit="1" customWidth="1"/>
    <col min="8966" max="8966" width="13.7109375" style="53" bestFit="1" customWidth="1"/>
    <col min="8967" max="8967" width="15.7109375" style="53" bestFit="1" customWidth="1"/>
    <col min="8968" max="8968" width="13.140625" style="53" bestFit="1" customWidth="1"/>
    <col min="8969" max="8969" width="11.85546875" style="53" bestFit="1" customWidth="1"/>
    <col min="8970" max="8970" width="12.85546875" style="53" bestFit="1" customWidth="1"/>
    <col min="8971" max="9216" width="9.140625" style="53"/>
    <col min="9217" max="9217" width="9.28515625" style="53" customWidth="1"/>
    <col min="9218" max="9218" width="39.85546875" style="53" customWidth="1"/>
    <col min="9219" max="9219" width="18.28515625" style="53" customWidth="1"/>
    <col min="9220" max="9220" width="23.85546875" style="53" customWidth="1"/>
    <col min="9221" max="9221" width="16" style="53" bestFit="1" customWidth="1"/>
    <col min="9222" max="9222" width="13.7109375" style="53" bestFit="1" customWidth="1"/>
    <col min="9223" max="9223" width="15.7109375" style="53" bestFit="1" customWidth="1"/>
    <col min="9224" max="9224" width="13.140625" style="53" bestFit="1" customWidth="1"/>
    <col min="9225" max="9225" width="11.85546875" style="53" bestFit="1" customWidth="1"/>
    <col min="9226" max="9226" width="12.85546875" style="53" bestFit="1" customWidth="1"/>
    <col min="9227" max="9472" width="9.140625" style="53"/>
    <col min="9473" max="9473" width="9.28515625" style="53" customWidth="1"/>
    <col min="9474" max="9474" width="39.85546875" style="53" customWidth="1"/>
    <col min="9475" max="9475" width="18.28515625" style="53" customWidth="1"/>
    <col min="9476" max="9476" width="23.85546875" style="53" customWidth="1"/>
    <col min="9477" max="9477" width="16" style="53" bestFit="1" customWidth="1"/>
    <col min="9478" max="9478" width="13.7109375" style="53" bestFit="1" customWidth="1"/>
    <col min="9479" max="9479" width="15.7109375" style="53" bestFit="1" customWidth="1"/>
    <col min="9480" max="9480" width="13.140625" style="53" bestFit="1" customWidth="1"/>
    <col min="9481" max="9481" width="11.85546875" style="53" bestFit="1" customWidth="1"/>
    <col min="9482" max="9482" width="12.85546875" style="53" bestFit="1" customWidth="1"/>
    <col min="9483" max="9728" width="9.140625" style="53"/>
    <col min="9729" max="9729" width="9.28515625" style="53" customWidth="1"/>
    <col min="9730" max="9730" width="39.85546875" style="53" customWidth="1"/>
    <col min="9731" max="9731" width="18.28515625" style="53" customWidth="1"/>
    <col min="9732" max="9732" width="23.85546875" style="53" customWidth="1"/>
    <col min="9733" max="9733" width="16" style="53" bestFit="1" customWidth="1"/>
    <col min="9734" max="9734" width="13.7109375" style="53" bestFit="1" customWidth="1"/>
    <col min="9735" max="9735" width="15.7109375" style="53" bestFit="1" customWidth="1"/>
    <col min="9736" max="9736" width="13.140625" style="53" bestFit="1" customWidth="1"/>
    <col min="9737" max="9737" width="11.85546875" style="53" bestFit="1" customWidth="1"/>
    <col min="9738" max="9738" width="12.85546875" style="53" bestFit="1" customWidth="1"/>
    <col min="9739" max="9984" width="9.140625" style="53"/>
    <col min="9985" max="9985" width="9.28515625" style="53" customWidth="1"/>
    <col min="9986" max="9986" width="39.85546875" style="53" customWidth="1"/>
    <col min="9987" max="9987" width="18.28515625" style="53" customWidth="1"/>
    <col min="9988" max="9988" width="23.85546875" style="53" customWidth="1"/>
    <col min="9989" max="9989" width="16" style="53" bestFit="1" customWidth="1"/>
    <col min="9990" max="9990" width="13.7109375" style="53" bestFit="1" customWidth="1"/>
    <col min="9991" max="9991" width="15.7109375" style="53" bestFit="1" customWidth="1"/>
    <col min="9992" max="9992" width="13.140625" style="53" bestFit="1" customWidth="1"/>
    <col min="9993" max="9993" width="11.85546875" style="53" bestFit="1" customWidth="1"/>
    <col min="9994" max="9994" width="12.85546875" style="53" bestFit="1" customWidth="1"/>
    <col min="9995" max="10240" width="9.140625" style="53"/>
    <col min="10241" max="10241" width="9.28515625" style="53" customWidth="1"/>
    <col min="10242" max="10242" width="39.85546875" style="53" customWidth="1"/>
    <col min="10243" max="10243" width="18.28515625" style="53" customWidth="1"/>
    <col min="10244" max="10244" width="23.85546875" style="53" customWidth="1"/>
    <col min="10245" max="10245" width="16" style="53" bestFit="1" customWidth="1"/>
    <col min="10246" max="10246" width="13.7109375" style="53" bestFit="1" customWidth="1"/>
    <col min="10247" max="10247" width="15.7109375" style="53" bestFit="1" customWidth="1"/>
    <col min="10248" max="10248" width="13.140625" style="53" bestFit="1" customWidth="1"/>
    <col min="10249" max="10249" width="11.85546875" style="53" bestFit="1" customWidth="1"/>
    <col min="10250" max="10250" width="12.85546875" style="53" bestFit="1" customWidth="1"/>
    <col min="10251" max="10496" width="9.140625" style="53"/>
    <col min="10497" max="10497" width="9.28515625" style="53" customWidth="1"/>
    <col min="10498" max="10498" width="39.85546875" style="53" customWidth="1"/>
    <col min="10499" max="10499" width="18.28515625" style="53" customWidth="1"/>
    <col min="10500" max="10500" width="23.85546875" style="53" customWidth="1"/>
    <col min="10501" max="10501" width="16" style="53" bestFit="1" customWidth="1"/>
    <col min="10502" max="10502" width="13.7109375" style="53" bestFit="1" customWidth="1"/>
    <col min="10503" max="10503" width="15.7109375" style="53" bestFit="1" customWidth="1"/>
    <col min="10504" max="10504" width="13.140625" style="53" bestFit="1" customWidth="1"/>
    <col min="10505" max="10505" width="11.85546875" style="53" bestFit="1" customWidth="1"/>
    <col min="10506" max="10506" width="12.85546875" style="53" bestFit="1" customWidth="1"/>
    <col min="10507" max="10752" width="9.140625" style="53"/>
    <col min="10753" max="10753" width="9.28515625" style="53" customWidth="1"/>
    <col min="10754" max="10754" width="39.85546875" style="53" customWidth="1"/>
    <col min="10755" max="10755" width="18.28515625" style="53" customWidth="1"/>
    <col min="10756" max="10756" width="23.85546875" style="53" customWidth="1"/>
    <col min="10757" max="10757" width="16" style="53" bestFit="1" customWidth="1"/>
    <col min="10758" max="10758" width="13.7109375" style="53" bestFit="1" customWidth="1"/>
    <col min="10759" max="10759" width="15.7109375" style="53" bestFit="1" customWidth="1"/>
    <col min="10760" max="10760" width="13.140625" style="53" bestFit="1" customWidth="1"/>
    <col min="10761" max="10761" width="11.85546875" style="53" bestFit="1" customWidth="1"/>
    <col min="10762" max="10762" width="12.85546875" style="53" bestFit="1" customWidth="1"/>
    <col min="10763" max="11008" width="9.140625" style="53"/>
    <col min="11009" max="11009" width="9.28515625" style="53" customWidth="1"/>
    <col min="11010" max="11010" width="39.85546875" style="53" customWidth="1"/>
    <col min="11011" max="11011" width="18.28515625" style="53" customWidth="1"/>
    <col min="11012" max="11012" width="23.85546875" style="53" customWidth="1"/>
    <col min="11013" max="11013" width="16" style="53" bestFit="1" customWidth="1"/>
    <col min="11014" max="11014" width="13.7109375" style="53" bestFit="1" customWidth="1"/>
    <col min="11015" max="11015" width="15.7109375" style="53" bestFit="1" customWidth="1"/>
    <col min="11016" max="11016" width="13.140625" style="53" bestFit="1" customWidth="1"/>
    <col min="11017" max="11017" width="11.85546875" style="53" bestFit="1" customWidth="1"/>
    <col min="11018" max="11018" width="12.85546875" style="53" bestFit="1" customWidth="1"/>
    <col min="11019" max="11264" width="9.140625" style="53"/>
    <col min="11265" max="11265" width="9.28515625" style="53" customWidth="1"/>
    <col min="11266" max="11266" width="39.85546875" style="53" customWidth="1"/>
    <col min="11267" max="11267" width="18.28515625" style="53" customWidth="1"/>
    <col min="11268" max="11268" width="23.85546875" style="53" customWidth="1"/>
    <col min="11269" max="11269" width="16" style="53" bestFit="1" customWidth="1"/>
    <col min="11270" max="11270" width="13.7109375" style="53" bestFit="1" customWidth="1"/>
    <col min="11271" max="11271" width="15.7109375" style="53" bestFit="1" customWidth="1"/>
    <col min="11272" max="11272" width="13.140625" style="53" bestFit="1" customWidth="1"/>
    <col min="11273" max="11273" width="11.85546875" style="53" bestFit="1" customWidth="1"/>
    <col min="11274" max="11274" width="12.85546875" style="53" bestFit="1" customWidth="1"/>
    <col min="11275" max="11520" width="9.140625" style="53"/>
    <col min="11521" max="11521" width="9.28515625" style="53" customWidth="1"/>
    <col min="11522" max="11522" width="39.85546875" style="53" customWidth="1"/>
    <col min="11523" max="11523" width="18.28515625" style="53" customWidth="1"/>
    <col min="11524" max="11524" width="23.85546875" style="53" customWidth="1"/>
    <col min="11525" max="11525" width="16" style="53" bestFit="1" customWidth="1"/>
    <col min="11526" max="11526" width="13.7109375" style="53" bestFit="1" customWidth="1"/>
    <col min="11527" max="11527" width="15.7109375" style="53" bestFit="1" customWidth="1"/>
    <col min="11528" max="11528" width="13.140625" style="53" bestFit="1" customWidth="1"/>
    <col min="11529" max="11529" width="11.85546875" style="53" bestFit="1" customWidth="1"/>
    <col min="11530" max="11530" width="12.85546875" style="53" bestFit="1" customWidth="1"/>
    <col min="11531" max="11776" width="9.140625" style="53"/>
    <col min="11777" max="11777" width="9.28515625" style="53" customWidth="1"/>
    <col min="11778" max="11778" width="39.85546875" style="53" customWidth="1"/>
    <col min="11779" max="11779" width="18.28515625" style="53" customWidth="1"/>
    <col min="11780" max="11780" width="23.85546875" style="53" customWidth="1"/>
    <col min="11781" max="11781" width="16" style="53" bestFit="1" customWidth="1"/>
    <col min="11782" max="11782" width="13.7109375" style="53" bestFit="1" customWidth="1"/>
    <col min="11783" max="11783" width="15.7109375" style="53" bestFit="1" customWidth="1"/>
    <col min="11784" max="11784" width="13.140625" style="53" bestFit="1" customWidth="1"/>
    <col min="11785" max="11785" width="11.85546875" style="53" bestFit="1" customWidth="1"/>
    <col min="11786" max="11786" width="12.85546875" style="53" bestFit="1" customWidth="1"/>
    <col min="11787" max="12032" width="9.140625" style="53"/>
    <col min="12033" max="12033" width="9.28515625" style="53" customWidth="1"/>
    <col min="12034" max="12034" width="39.85546875" style="53" customWidth="1"/>
    <col min="12035" max="12035" width="18.28515625" style="53" customWidth="1"/>
    <col min="12036" max="12036" width="23.85546875" style="53" customWidth="1"/>
    <col min="12037" max="12037" width="16" style="53" bestFit="1" customWidth="1"/>
    <col min="12038" max="12038" width="13.7109375" style="53" bestFit="1" customWidth="1"/>
    <col min="12039" max="12039" width="15.7109375" style="53" bestFit="1" customWidth="1"/>
    <col min="12040" max="12040" width="13.140625" style="53" bestFit="1" customWidth="1"/>
    <col min="12041" max="12041" width="11.85546875" style="53" bestFit="1" customWidth="1"/>
    <col min="12042" max="12042" width="12.85546875" style="53" bestFit="1" customWidth="1"/>
    <col min="12043" max="12288" width="9.140625" style="53"/>
    <col min="12289" max="12289" width="9.28515625" style="53" customWidth="1"/>
    <col min="12290" max="12290" width="39.85546875" style="53" customWidth="1"/>
    <col min="12291" max="12291" width="18.28515625" style="53" customWidth="1"/>
    <col min="12292" max="12292" width="23.85546875" style="53" customWidth="1"/>
    <col min="12293" max="12293" width="16" style="53" bestFit="1" customWidth="1"/>
    <col min="12294" max="12294" width="13.7109375" style="53" bestFit="1" customWidth="1"/>
    <col min="12295" max="12295" width="15.7109375" style="53" bestFit="1" customWidth="1"/>
    <col min="12296" max="12296" width="13.140625" style="53" bestFit="1" customWidth="1"/>
    <col min="12297" max="12297" width="11.85546875" style="53" bestFit="1" customWidth="1"/>
    <col min="12298" max="12298" width="12.85546875" style="53" bestFit="1" customWidth="1"/>
    <col min="12299" max="12544" width="9.140625" style="53"/>
    <col min="12545" max="12545" width="9.28515625" style="53" customWidth="1"/>
    <col min="12546" max="12546" width="39.85546875" style="53" customWidth="1"/>
    <col min="12547" max="12547" width="18.28515625" style="53" customWidth="1"/>
    <col min="12548" max="12548" width="23.85546875" style="53" customWidth="1"/>
    <col min="12549" max="12549" width="16" style="53" bestFit="1" customWidth="1"/>
    <col min="12550" max="12550" width="13.7109375" style="53" bestFit="1" customWidth="1"/>
    <col min="12551" max="12551" width="15.7109375" style="53" bestFit="1" customWidth="1"/>
    <col min="12552" max="12552" width="13.140625" style="53" bestFit="1" customWidth="1"/>
    <col min="12553" max="12553" width="11.85546875" style="53" bestFit="1" customWidth="1"/>
    <col min="12554" max="12554" width="12.85546875" style="53" bestFit="1" customWidth="1"/>
    <col min="12555" max="12800" width="9.140625" style="53"/>
    <col min="12801" max="12801" width="9.28515625" style="53" customWidth="1"/>
    <col min="12802" max="12802" width="39.85546875" style="53" customWidth="1"/>
    <col min="12803" max="12803" width="18.28515625" style="53" customWidth="1"/>
    <col min="12804" max="12804" width="23.85546875" style="53" customWidth="1"/>
    <col min="12805" max="12805" width="16" style="53" bestFit="1" customWidth="1"/>
    <col min="12806" max="12806" width="13.7109375" style="53" bestFit="1" customWidth="1"/>
    <col min="12807" max="12807" width="15.7109375" style="53" bestFit="1" customWidth="1"/>
    <col min="12808" max="12808" width="13.140625" style="53" bestFit="1" customWidth="1"/>
    <col min="12809" max="12809" width="11.85546875" style="53" bestFit="1" customWidth="1"/>
    <col min="12810" max="12810" width="12.85546875" style="53" bestFit="1" customWidth="1"/>
    <col min="12811" max="13056" width="9.140625" style="53"/>
    <col min="13057" max="13057" width="9.28515625" style="53" customWidth="1"/>
    <col min="13058" max="13058" width="39.85546875" style="53" customWidth="1"/>
    <col min="13059" max="13059" width="18.28515625" style="53" customWidth="1"/>
    <col min="13060" max="13060" width="23.85546875" style="53" customWidth="1"/>
    <col min="13061" max="13061" width="16" style="53" bestFit="1" customWidth="1"/>
    <col min="13062" max="13062" width="13.7109375" style="53" bestFit="1" customWidth="1"/>
    <col min="13063" max="13063" width="15.7109375" style="53" bestFit="1" customWidth="1"/>
    <col min="13064" max="13064" width="13.140625" style="53" bestFit="1" customWidth="1"/>
    <col min="13065" max="13065" width="11.85546875" style="53" bestFit="1" customWidth="1"/>
    <col min="13066" max="13066" width="12.85546875" style="53" bestFit="1" customWidth="1"/>
    <col min="13067" max="13312" width="9.140625" style="53"/>
    <col min="13313" max="13313" width="9.28515625" style="53" customWidth="1"/>
    <col min="13314" max="13314" width="39.85546875" style="53" customWidth="1"/>
    <col min="13315" max="13315" width="18.28515625" style="53" customWidth="1"/>
    <col min="13316" max="13316" width="23.85546875" style="53" customWidth="1"/>
    <col min="13317" max="13317" width="16" style="53" bestFit="1" customWidth="1"/>
    <col min="13318" max="13318" width="13.7109375" style="53" bestFit="1" customWidth="1"/>
    <col min="13319" max="13319" width="15.7109375" style="53" bestFit="1" customWidth="1"/>
    <col min="13320" max="13320" width="13.140625" style="53" bestFit="1" customWidth="1"/>
    <col min="13321" max="13321" width="11.85546875" style="53" bestFit="1" customWidth="1"/>
    <col min="13322" max="13322" width="12.85546875" style="53" bestFit="1" customWidth="1"/>
    <col min="13323" max="13568" width="9.140625" style="53"/>
    <col min="13569" max="13569" width="9.28515625" style="53" customWidth="1"/>
    <col min="13570" max="13570" width="39.85546875" style="53" customWidth="1"/>
    <col min="13571" max="13571" width="18.28515625" style="53" customWidth="1"/>
    <col min="13572" max="13572" width="23.85546875" style="53" customWidth="1"/>
    <col min="13573" max="13573" width="16" style="53" bestFit="1" customWidth="1"/>
    <col min="13574" max="13574" width="13.7109375" style="53" bestFit="1" customWidth="1"/>
    <col min="13575" max="13575" width="15.7109375" style="53" bestFit="1" customWidth="1"/>
    <col min="13576" max="13576" width="13.140625" style="53" bestFit="1" customWidth="1"/>
    <col min="13577" max="13577" width="11.85546875" style="53" bestFit="1" customWidth="1"/>
    <col min="13578" max="13578" width="12.85546875" style="53" bestFit="1" customWidth="1"/>
    <col min="13579" max="13824" width="9.140625" style="53"/>
    <col min="13825" max="13825" width="9.28515625" style="53" customWidth="1"/>
    <col min="13826" max="13826" width="39.85546875" style="53" customWidth="1"/>
    <col min="13827" max="13827" width="18.28515625" style="53" customWidth="1"/>
    <col min="13828" max="13828" width="23.85546875" style="53" customWidth="1"/>
    <col min="13829" max="13829" width="16" style="53" bestFit="1" customWidth="1"/>
    <col min="13830" max="13830" width="13.7109375" style="53" bestFit="1" customWidth="1"/>
    <col min="13831" max="13831" width="15.7109375" style="53" bestFit="1" customWidth="1"/>
    <col min="13832" max="13832" width="13.140625" style="53" bestFit="1" customWidth="1"/>
    <col min="13833" max="13833" width="11.85546875" style="53" bestFit="1" customWidth="1"/>
    <col min="13834" max="13834" width="12.85546875" style="53" bestFit="1" customWidth="1"/>
    <col min="13835" max="14080" width="9.140625" style="53"/>
    <col min="14081" max="14081" width="9.28515625" style="53" customWidth="1"/>
    <col min="14082" max="14082" width="39.85546875" style="53" customWidth="1"/>
    <col min="14083" max="14083" width="18.28515625" style="53" customWidth="1"/>
    <col min="14084" max="14084" width="23.85546875" style="53" customWidth="1"/>
    <col min="14085" max="14085" width="16" style="53" bestFit="1" customWidth="1"/>
    <col min="14086" max="14086" width="13.7109375" style="53" bestFit="1" customWidth="1"/>
    <col min="14087" max="14087" width="15.7109375" style="53" bestFit="1" customWidth="1"/>
    <col min="14088" max="14088" width="13.140625" style="53" bestFit="1" customWidth="1"/>
    <col min="14089" max="14089" width="11.85546875" style="53" bestFit="1" customWidth="1"/>
    <col min="14090" max="14090" width="12.85546875" style="53" bestFit="1" customWidth="1"/>
    <col min="14091" max="14336" width="9.140625" style="53"/>
    <col min="14337" max="14337" width="9.28515625" style="53" customWidth="1"/>
    <col min="14338" max="14338" width="39.85546875" style="53" customWidth="1"/>
    <col min="14339" max="14339" width="18.28515625" style="53" customWidth="1"/>
    <col min="14340" max="14340" width="23.85546875" style="53" customWidth="1"/>
    <col min="14341" max="14341" width="16" style="53" bestFit="1" customWidth="1"/>
    <col min="14342" max="14342" width="13.7109375" style="53" bestFit="1" customWidth="1"/>
    <col min="14343" max="14343" width="15.7109375" style="53" bestFit="1" customWidth="1"/>
    <col min="14344" max="14344" width="13.140625" style="53" bestFit="1" customWidth="1"/>
    <col min="14345" max="14345" width="11.85546875" style="53" bestFit="1" customWidth="1"/>
    <col min="14346" max="14346" width="12.85546875" style="53" bestFit="1" customWidth="1"/>
    <col min="14347" max="14592" width="9.140625" style="53"/>
    <col min="14593" max="14593" width="9.28515625" style="53" customWidth="1"/>
    <col min="14594" max="14594" width="39.85546875" style="53" customWidth="1"/>
    <col min="14595" max="14595" width="18.28515625" style="53" customWidth="1"/>
    <col min="14596" max="14596" width="23.85546875" style="53" customWidth="1"/>
    <col min="14597" max="14597" width="16" style="53" bestFit="1" customWidth="1"/>
    <col min="14598" max="14598" width="13.7109375" style="53" bestFit="1" customWidth="1"/>
    <col min="14599" max="14599" width="15.7109375" style="53" bestFit="1" customWidth="1"/>
    <col min="14600" max="14600" width="13.140625" style="53" bestFit="1" customWidth="1"/>
    <col min="14601" max="14601" width="11.85546875" style="53" bestFit="1" customWidth="1"/>
    <col min="14602" max="14602" width="12.85546875" style="53" bestFit="1" customWidth="1"/>
    <col min="14603" max="14848" width="9.140625" style="53"/>
    <col min="14849" max="14849" width="9.28515625" style="53" customWidth="1"/>
    <col min="14850" max="14850" width="39.85546875" style="53" customWidth="1"/>
    <col min="14851" max="14851" width="18.28515625" style="53" customWidth="1"/>
    <col min="14852" max="14852" width="23.85546875" style="53" customWidth="1"/>
    <col min="14853" max="14853" width="16" style="53" bestFit="1" customWidth="1"/>
    <col min="14854" max="14854" width="13.7109375" style="53" bestFit="1" customWidth="1"/>
    <col min="14855" max="14855" width="15.7109375" style="53" bestFit="1" customWidth="1"/>
    <col min="14856" max="14856" width="13.140625" style="53" bestFit="1" customWidth="1"/>
    <col min="14857" max="14857" width="11.85546875" style="53" bestFit="1" customWidth="1"/>
    <col min="14858" max="14858" width="12.85546875" style="53" bestFit="1" customWidth="1"/>
    <col min="14859" max="15104" width="9.140625" style="53"/>
    <col min="15105" max="15105" width="9.28515625" style="53" customWidth="1"/>
    <col min="15106" max="15106" width="39.85546875" style="53" customWidth="1"/>
    <col min="15107" max="15107" width="18.28515625" style="53" customWidth="1"/>
    <col min="15108" max="15108" width="23.85546875" style="53" customWidth="1"/>
    <col min="15109" max="15109" width="16" style="53" bestFit="1" customWidth="1"/>
    <col min="15110" max="15110" width="13.7109375" style="53" bestFit="1" customWidth="1"/>
    <col min="15111" max="15111" width="15.7109375" style="53" bestFit="1" customWidth="1"/>
    <col min="15112" max="15112" width="13.140625" style="53" bestFit="1" customWidth="1"/>
    <col min="15113" max="15113" width="11.85546875" style="53" bestFit="1" customWidth="1"/>
    <col min="15114" max="15114" width="12.85546875" style="53" bestFit="1" customWidth="1"/>
    <col min="15115" max="15360" width="9.140625" style="53"/>
    <col min="15361" max="15361" width="9.28515625" style="53" customWidth="1"/>
    <col min="15362" max="15362" width="39.85546875" style="53" customWidth="1"/>
    <col min="15363" max="15363" width="18.28515625" style="53" customWidth="1"/>
    <col min="15364" max="15364" width="23.85546875" style="53" customWidth="1"/>
    <col min="15365" max="15365" width="16" style="53" bestFit="1" customWidth="1"/>
    <col min="15366" max="15366" width="13.7109375" style="53" bestFit="1" customWidth="1"/>
    <col min="15367" max="15367" width="15.7109375" style="53" bestFit="1" customWidth="1"/>
    <col min="15368" max="15368" width="13.140625" style="53" bestFit="1" customWidth="1"/>
    <col min="15369" max="15369" width="11.85546875" style="53" bestFit="1" customWidth="1"/>
    <col min="15370" max="15370" width="12.85546875" style="53" bestFit="1" customWidth="1"/>
    <col min="15371" max="15616" width="9.140625" style="53"/>
    <col min="15617" max="15617" width="9.28515625" style="53" customWidth="1"/>
    <col min="15618" max="15618" width="39.85546875" style="53" customWidth="1"/>
    <col min="15619" max="15619" width="18.28515625" style="53" customWidth="1"/>
    <col min="15620" max="15620" width="23.85546875" style="53" customWidth="1"/>
    <col min="15621" max="15621" width="16" style="53" bestFit="1" customWidth="1"/>
    <col min="15622" max="15622" width="13.7109375" style="53" bestFit="1" customWidth="1"/>
    <col min="15623" max="15623" width="15.7109375" style="53" bestFit="1" customWidth="1"/>
    <col min="15624" max="15624" width="13.140625" style="53" bestFit="1" customWidth="1"/>
    <col min="15625" max="15625" width="11.85546875" style="53" bestFit="1" customWidth="1"/>
    <col min="15626" max="15626" width="12.85546875" style="53" bestFit="1" customWidth="1"/>
    <col min="15627" max="15872" width="9.140625" style="53"/>
    <col min="15873" max="15873" width="9.28515625" style="53" customWidth="1"/>
    <col min="15874" max="15874" width="39.85546875" style="53" customWidth="1"/>
    <col min="15875" max="15875" width="18.28515625" style="53" customWidth="1"/>
    <col min="15876" max="15876" width="23.85546875" style="53" customWidth="1"/>
    <col min="15877" max="15877" width="16" style="53" bestFit="1" customWidth="1"/>
    <col min="15878" max="15878" width="13.7109375" style="53" bestFit="1" customWidth="1"/>
    <col min="15879" max="15879" width="15.7109375" style="53" bestFit="1" customWidth="1"/>
    <col min="15880" max="15880" width="13.140625" style="53" bestFit="1" customWidth="1"/>
    <col min="15881" max="15881" width="11.85546875" style="53" bestFit="1" customWidth="1"/>
    <col min="15882" max="15882" width="12.85546875" style="53" bestFit="1" customWidth="1"/>
    <col min="15883" max="16128" width="9.140625" style="53"/>
    <col min="16129" max="16129" width="9.28515625" style="53" customWidth="1"/>
    <col min="16130" max="16130" width="39.85546875" style="53" customWidth="1"/>
    <col min="16131" max="16131" width="18.28515625" style="53" customWidth="1"/>
    <col min="16132" max="16132" width="23.85546875" style="53" customWidth="1"/>
    <col min="16133" max="16133" width="16" style="53" bestFit="1" customWidth="1"/>
    <col min="16134" max="16134" width="13.7109375" style="53" bestFit="1" customWidth="1"/>
    <col min="16135" max="16135" width="15.7109375" style="53" bestFit="1" customWidth="1"/>
    <col min="16136" max="16136" width="13.140625" style="53" bestFit="1" customWidth="1"/>
    <col min="16137" max="16137" width="11.85546875" style="53" bestFit="1" customWidth="1"/>
    <col min="16138" max="16138" width="12.85546875" style="53" bestFit="1" customWidth="1"/>
    <col min="16139" max="16384" width="9.140625" style="53"/>
  </cols>
  <sheetData>
    <row r="3" spans="1:7" ht="15.75" customHeight="1">
      <c r="A3" s="543" t="s">
        <v>255</v>
      </c>
      <c r="B3" s="543"/>
      <c r="C3" s="543"/>
      <c r="D3" s="543"/>
      <c r="E3" s="52"/>
      <c r="F3" s="52"/>
      <c r="G3" s="52"/>
    </row>
    <row r="4" spans="1:7">
      <c r="A4" s="543"/>
      <c r="B4" s="543"/>
      <c r="C4" s="543"/>
      <c r="D4" s="543"/>
      <c r="E4" s="52"/>
      <c r="F4" s="52"/>
      <c r="G4" s="52"/>
    </row>
    <row r="5" spans="1:7">
      <c r="A5" s="54"/>
      <c r="B5" s="52"/>
      <c r="C5" s="52"/>
      <c r="D5" s="52"/>
      <c r="E5" s="52"/>
      <c r="F5" s="52"/>
      <c r="G5" s="52"/>
    </row>
    <row r="6" spans="1:7" ht="15.75" customHeight="1">
      <c r="A6" s="544" t="s">
        <v>550</v>
      </c>
      <c r="B6" s="544"/>
      <c r="C6" s="544"/>
      <c r="D6" s="544"/>
      <c r="E6" s="52"/>
      <c r="F6" s="52"/>
      <c r="G6" s="52"/>
    </row>
    <row r="7" spans="1:7">
      <c r="A7" s="522"/>
      <c r="B7" s="522"/>
      <c r="C7" s="522"/>
      <c r="D7" s="522"/>
    </row>
    <row r="8" spans="1:7">
      <c r="A8" s="237" t="s">
        <v>551</v>
      </c>
      <c r="B8" s="238"/>
      <c r="C8" s="187"/>
      <c r="D8" s="187"/>
    </row>
    <row r="9" spans="1:7">
      <c r="A9" s="522"/>
      <c r="B9" s="522"/>
      <c r="C9" s="522"/>
      <c r="D9" s="522"/>
    </row>
    <row r="10" spans="1:7">
      <c r="A10" s="57" t="s">
        <v>256</v>
      </c>
      <c r="B10" s="188"/>
      <c r="C10" s="187"/>
      <c r="D10" s="187"/>
    </row>
    <row r="11" spans="1:7">
      <c r="A11" s="59" t="s">
        <v>257</v>
      </c>
      <c r="B11" s="541" t="s">
        <v>258</v>
      </c>
      <c r="C11" s="542"/>
      <c r="D11" s="239">
        <v>42550</v>
      </c>
    </row>
    <row r="12" spans="1:7">
      <c r="A12" s="59" t="s">
        <v>259</v>
      </c>
      <c r="B12" s="62" t="s">
        <v>260</v>
      </c>
      <c r="C12" s="63"/>
      <c r="D12" s="240" t="s">
        <v>374</v>
      </c>
    </row>
    <row r="13" spans="1:7">
      <c r="A13" s="59" t="s">
        <v>261</v>
      </c>
      <c r="B13" s="541" t="s">
        <v>262</v>
      </c>
      <c r="C13" s="542"/>
      <c r="D13" s="240">
        <v>2016</v>
      </c>
    </row>
    <row r="14" spans="1:7">
      <c r="A14" s="64" t="s">
        <v>263</v>
      </c>
      <c r="B14" s="65" t="s">
        <v>555</v>
      </c>
      <c r="C14" s="66"/>
      <c r="D14" s="239">
        <v>42625</v>
      </c>
    </row>
    <row r="16" spans="1:7">
      <c r="A16" s="190"/>
    </row>
    <row r="17" spans="1:7">
      <c r="A17" s="523"/>
      <c r="B17" s="523"/>
      <c r="C17" s="523"/>
      <c r="D17" s="523"/>
      <c r="E17" s="523"/>
      <c r="F17" s="523"/>
      <c r="G17" s="523"/>
    </row>
    <row r="18" spans="1:7" ht="35.25" customHeight="1">
      <c r="A18" s="545" t="s">
        <v>264</v>
      </c>
      <c r="B18" s="545"/>
      <c r="C18" s="67" t="s">
        <v>265</v>
      </c>
      <c r="D18" s="67" t="s">
        <v>266</v>
      </c>
    </row>
    <row r="19" spans="1:7">
      <c r="A19" s="241">
        <v>1</v>
      </c>
      <c r="B19" s="242" t="s">
        <v>397</v>
      </c>
      <c r="C19" s="241" t="s">
        <v>267</v>
      </c>
      <c r="D19" s="243">
        <v>5</v>
      </c>
    </row>
    <row r="20" spans="1:7">
      <c r="A20" s="68"/>
      <c r="B20" s="69"/>
      <c r="C20" s="68"/>
      <c r="D20" s="70"/>
    </row>
    <row r="21" spans="1:7">
      <c r="A21" s="522" t="s">
        <v>268</v>
      </c>
      <c r="B21" s="522"/>
      <c r="C21" s="522"/>
      <c r="D21" s="522"/>
      <c r="E21" s="522"/>
      <c r="F21" s="522"/>
      <c r="G21" s="522"/>
    </row>
    <row r="22" spans="1:7">
      <c r="A22" s="71"/>
    </row>
    <row r="23" spans="1:7">
      <c r="A23" s="57" t="s">
        <v>269</v>
      </c>
    </row>
    <row r="24" spans="1:7">
      <c r="A24" s="57" t="s">
        <v>270</v>
      </c>
    </row>
    <row r="25" spans="1:7">
      <c r="A25" s="72" t="s">
        <v>271</v>
      </c>
      <c r="B25" s="60"/>
      <c r="C25" s="60"/>
      <c r="D25" s="61"/>
    </row>
    <row r="26" spans="1:7" ht="31.5">
      <c r="A26" s="73">
        <v>1</v>
      </c>
      <c r="B26" s="74" t="s">
        <v>272</v>
      </c>
      <c r="C26" s="74"/>
      <c r="D26" s="244" t="str">
        <f>B19</f>
        <v>MANUTENÇÃO PREDIAL</v>
      </c>
    </row>
    <row r="27" spans="1:7" ht="30.75" customHeight="1">
      <c r="A27" s="73">
        <v>2</v>
      </c>
      <c r="B27" s="539" t="s">
        <v>273</v>
      </c>
      <c r="C27" s="540"/>
      <c r="D27" s="175">
        <v>1595</v>
      </c>
    </row>
    <row r="28" spans="1:7" ht="31.5" customHeight="1">
      <c r="A28" s="73">
        <v>3</v>
      </c>
      <c r="B28" s="539" t="s">
        <v>274</v>
      </c>
      <c r="C28" s="540"/>
      <c r="D28" s="176" t="s">
        <v>375</v>
      </c>
    </row>
    <row r="29" spans="1:7">
      <c r="A29" s="75">
        <v>4</v>
      </c>
      <c r="B29" s="76" t="s">
        <v>275</v>
      </c>
      <c r="C29" s="76"/>
      <c r="D29" s="77">
        <v>42206</v>
      </c>
    </row>
    <row r="30" spans="1:7">
      <c r="A30" s="71"/>
    </row>
    <row r="31" spans="1:7">
      <c r="A31" s="71"/>
    </row>
    <row r="32" spans="1:7">
      <c r="A32" s="71"/>
    </row>
    <row r="33" spans="1:7" ht="16.5" customHeight="1" thickBot="1">
      <c r="A33" s="523" t="s">
        <v>276</v>
      </c>
      <c r="B33" s="523"/>
      <c r="C33" s="523"/>
      <c r="D33" s="523"/>
      <c r="E33" s="523"/>
      <c r="F33" s="52"/>
      <c r="G33" s="52"/>
    </row>
    <row r="34" spans="1:7" ht="16.5" thickBot="1">
      <c r="A34" s="78" t="s">
        <v>277</v>
      </c>
      <c r="B34" s="79" t="s">
        <v>278</v>
      </c>
      <c r="C34" s="80"/>
      <c r="D34" s="81" t="s">
        <v>279</v>
      </c>
    </row>
    <row r="35" spans="1:7">
      <c r="A35" s="82" t="s">
        <v>257</v>
      </c>
      <c r="B35" s="83" t="s">
        <v>280</v>
      </c>
      <c r="C35" s="84"/>
      <c r="D35" s="85">
        <f>ROUND(((D27/220)*(365.25/12)*(40/6)),2)</f>
        <v>1471.15</v>
      </c>
    </row>
    <row r="36" spans="1:7">
      <c r="A36" s="191" t="s">
        <v>259</v>
      </c>
      <c r="B36" s="87" t="s">
        <v>281</v>
      </c>
      <c r="C36" s="88"/>
      <c r="D36" s="89">
        <v>0</v>
      </c>
    </row>
    <row r="37" spans="1:7">
      <c r="A37" s="191" t="s">
        <v>261</v>
      </c>
      <c r="B37" s="87" t="s">
        <v>282</v>
      </c>
      <c r="C37" s="90"/>
      <c r="D37" s="89">
        <v>0</v>
      </c>
    </row>
    <row r="38" spans="1:7">
      <c r="A38" s="191" t="s">
        <v>263</v>
      </c>
      <c r="B38" s="91" t="s">
        <v>552</v>
      </c>
      <c r="C38" s="88"/>
      <c r="D38" s="89">
        <v>0</v>
      </c>
    </row>
    <row r="39" spans="1:7">
      <c r="A39" s="191" t="s">
        <v>284</v>
      </c>
      <c r="B39" s="91" t="s">
        <v>285</v>
      </c>
      <c r="C39" s="92"/>
      <c r="D39" s="89">
        <v>0</v>
      </c>
    </row>
    <row r="40" spans="1:7">
      <c r="A40" s="191" t="s">
        <v>286</v>
      </c>
      <c r="B40" s="93" t="s">
        <v>287</v>
      </c>
      <c r="C40" s="92"/>
      <c r="D40" s="89">
        <v>0</v>
      </c>
    </row>
    <row r="41" spans="1:7">
      <c r="A41" s="191" t="s">
        <v>288</v>
      </c>
      <c r="B41" s="93" t="s">
        <v>289</v>
      </c>
      <c r="C41" s="92"/>
      <c r="D41" s="89">
        <v>0</v>
      </c>
    </row>
    <row r="42" spans="1:7" ht="16.5" thickBot="1">
      <c r="A42" s="191" t="s">
        <v>290</v>
      </c>
      <c r="B42" s="94" t="s">
        <v>376</v>
      </c>
      <c r="C42" s="95"/>
      <c r="D42" s="89">
        <v>0</v>
      </c>
    </row>
    <row r="43" spans="1:7" ht="16.5" thickBot="1">
      <c r="A43" s="96"/>
      <c r="B43" s="97" t="s">
        <v>292</v>
      </c>
      <c r="C43" s="98"/>
      <c r="D43" s="99">
        <f>SUM(D35:D42)</f>
        <v>1471.15</v>
      </c>
    </row>
    <row r="44" spans="1:7">
      <c r="A44" s="190"/>
    </row>
    <row r="45" spans="1:7" ht="16.5" thickBot="1">
      <c r="A45" s="523" t="s">
        <v>293</v>
      </c>
      <c r="B45" s="523"/>
      <c r="C45" s="523"/>
      <c r="D45" s="523"/>
      <c r="E45" s="523"/>
      <c r="F45" s="523"/>
      <c r="G45" s="523"/>
    </row>
    <row r="46" spans="1:7" ht="16.5" thickBot="1">
      <c r="A46" s="100">
        <v>2</v>
      </c>
      <c r="B46" s="189" t="s">
        <v>294</v>
      </c>
      <c r="C46" s="102"/>
      <c r="D46" s="100" t="s">
        <v>279</v>
      </c>
    </row>
    <row r="47" spans="1:7">
      <c r="A47" s="82" t="s">
        <v>257</v>
      </c>
      <c r="B47" s="83" t="s">
        <v>295</v>
      </c>
      <c r="C47" s="103"/>
      <c r="D47" s="104">
        <f>(3.7*44)-(D35*6%)</f>
        <v>74.531000000000006</v>
      </c>
    </row>
    <row r="48" spans="1:7" ht="31.5">
      <c r="A48" s="105" t="s">
        <v>259</v>
      </c>
      <c r="B48" s="106" t="s">
        <v>296</v>
      </c>
      <c r="C48" s="90"/>
      <c r="D48" s="107">
        <v>355</v>
      </c>
    </row>
    <row r="49" spans="1:7">
      <c r="A49" s="191" t="s">
        <v>261</v>
      </c>
      <c r="B49" s="87" t="s">
        <v>389</v>
      </c>
      <c r="C49" s="90"/>
      <c r="D49" s="107">
        <v>50</v>
      </c>
    </row>
    <row r="50" spans="1:7">
      <c r="A50" s="191" t="s">
        <v>263</v>
      </c>
      <c r="B50" s="87" t="s">
        <v>19</v>
      </c>
      <c r="C50" s="88"/>
      <c r="D50" s="107">
        <v>5.5</v>
      </c>
    </row>
    <row r="51" spans="1:7">
      <c r="A51" s="191" t="s">
        <v>284</v>
      </c>
      <c r="B51" s="87" t="s">
        <v>395</v>
      </c>
      <c r="C51" s="92"/>
      <c r="D51" s="108">
        <f>3.81*22</f>
        <v>83.820000000000007</v>
      </c>
    </row>
    <row r="52" spans="1:7" ht="16.5" customHeight="1">
      <c r="A52" s="191" t="s">
        <v>286</v>
      </c>
      <c r="B52" s="535" t="s">
        <v>394</v>
      </c>
      <c r="C52" s="536"/>
      <c r="D52" s="108">
        <f>355/12</f>
        <v>29.583333333333332</v>
      </c>
    </row>
    <row r="53" spans="1:7" ht="16.5" thickBot="1">
      <c r="A53" s="109" t="s">
        <v>288</v>
      </c>
      <c r="B53" s="537" t="s">
        <v>291</v>
      </c>
      <c r="C53" s="538"/>
      <c r="D53" s="110">
        <v>0</v>
      </c>
    </row>
    <row r="54" spans="1:7" ht="16.5" thickBot="1">
      <c r="A54" s="111"/>
      <c r="B54" s="189" t="s">
        <v>298</v>
      </c>
      <c r="C54" s="112"/>
      <c r="D54" s="113">
        <f>SUM(D47:D53)</f>
        <v>598.43433333333337</v>
      </c>
    </row>
    <row r="55" spans="1:7" ht="33" customHeight="1">
      <c r="A55" s="522" t="s">
        <v>299</v>
      </c>
      <c r="B55" s="522"/>
      <c r="C55" s="522"/>
      <c r="D55" s="522"/>
    </row>
    <row r="56" spans="1:7">
      <c r="A56" s="190"/>
    </row>
    <row r="57" spans="1:7" ht="16.5" thickBot="1">
      <c r="A57" s="523" t="s">
        <v>300</v>
      </c>
      <c r="B57" s="523"/>
      <c r="C57" s="523"/>
      <c r="D57" s="523"/>
      <c r="E57" s="523"/>
      <c r="F57" s="523"/>
      <c r="G57" s="523"/>
    </row>
    <row r="58" spans="1:7" ht="16.5" thickBot="1">
      <c r="A58" s="114">
        <v>3</v>
      </c>
      <c r="B58" s="189" t="s">
        <v>301</v>
      </c>
      <c r="C58" s="102"/>
      <c r="D58" s="100" t="s">
        <v>279</v>
      </c>
    </row>
    <row r="59" spans="1:7">
      <c r="A59" s="82" t="s">
        <v>257</v>
      </c>
      <c r="B59" s="83" t="s">
        <v>302</v>
      </c>
      <c r="C59" s="115"/>
      <c r="D59" s="116">
        <f>'ANEXO IV'!D69</f>
        <v>43</v>
      </c>
    </row>
    <row r="60" spans="1:7">
      <c r="A60" s="105" t="s">
        <v>259</v>
      </c>
      <c r="B60" s="106" t="s">
        <v>15</v>
      </c>
      <c r="C60" s="90"/>
      <c r="D60" s="107">
        <f>Equipamentos!E61/17</f>
        <v>12.164705882352942</v>
      </c>
    </row>
    <row r="61" spans="1:7">
      <c r="A61" s="191" t="s">
        <v>261</v>
      </c>
      <c r="B61" s="87" t="s">
        <v>21</v>
      </c>
      <c r="C61" s="90"/>
      <c r="D61" s="107">
        <v>19.68</v>
      </c>
    </row>
    <row r="62" spans="1:7">
      <c r="A62" s="191" t="s">
        <v>263</v>
      </c>
      <c r="B62" s="535" t="s">
        <v>18</v>
      </c>
      <c r="C62" s="536"/>
      <c r="D62" s="108">
        <f>Equipamentos!D140</f>
        <v>18.423333333333336</v>
      </c>
    </row>
    <row r="63" spans="1:7" ht="16.5" thickBot="1">
      <c r="A63" s="109" t="s">
        <v>284</v>
      </c>
      <c r="B63" s="537" t="s">
        <v>291</v>
      </c>
      <c r="C63" s="538"/>
      <c r="D63" s="110">
        <v>0</v>
      </c>
    </row>
    <row r="64" spans="1:7" ht="16.5" thickBot="1">
      <c r="A64" s="111"/>
      <c r="B64" s="189" t="s">
        <v>303</v>
      </c>
      <c r="C64" s="112"/>
      <c r="D64" s="113">
        <f>SUM(D59:D63)</f>
        <v>93.268039215686272</v>
      </c>
    </row>
    <row r="65" spans="1:7">
      <c r="A65" s="522" t="s">
        <v>304</v>
      </c>
      <c r="B65" s="522"/>
      <c r="C65" s="522"/>
      <c r="D65" s="522"/>
      <c r="E65" s="522"/>
      <c r="F65" s="522"/>
      <c r="G65" s="522"/>
    </row>
    <row r="66" spans="1:7">
      <c r="A66" s="190"/>
    </row>
    <row r="67" spans="1:7">
      <c r="A67" s="523" t="s">
        <v>305</v>
      </c>
      <c r="B67" s="523"/>
      <c r="C67" s="523"/>
      <c r="D67" s="523"/>
      <c r="E67" s="523"/>
      <c r="F67" s="523"/>
      <c r="G67" s="523"/>
    </row>
    <row r="68" spans="1:7" ht="16.5" thickBot="1">
      <c r="A68" s="523" t="s">
        <v>306</v>
      </c>
      <c r="B68" s="523"/>
      <c r="C68" s="523"/>
      <c r="D68" s="523"/>
      <c r="E68" s="523"/>
      <c r="F68" s="523"/>
      <c r="G68" s="523"/>
    </row>
    <row r="69" spans="1:7" ht="16.5" thickBot="1">
      <c r="A69" s="117" t="s">
        <v>307</v>
      </c>
      <c r="B69" s="118" t="s">
        <v>308</v>
      </c>
      <c r="C69" s="117" t="s">
        <v>4</v>
      </c>
      <c r="D69" s="117" t="s">
        <v>279</v>
      </c>
    </row>
    <row r="70" spans="1:7">
      <c r="A70" s="82" t="s">
        <v>257</v>
      </c>
      <c r="B70" s="119" t="s">
        <v>8</v>
      </c>
      <c r="C70" s="120">
        <v>0.2</v>
      </c>
      <c r="D70" s="104">
        <f t="shared" ref="D70:D77" si="0">ROUND($D$43*C70,2)</f>
        <v>294.23</v>
      </c>
    </row>
    <row r="71" spans="1:7">
      <c r="A71" s="105" t="s">
        <v>259</v>
      </c>
      <c r="B71" s="121" t="s">
        <v>309</v>
      </c>
      <c r="C71" s="122">
        <v>1.4999999999999999E-2</v>
      </c>
      <c r="D71" s="107">
        <f t="shared" si="0"/>
        <v>22.07</v>
      </c>
    </row>
    <row r="72" spans="1:7">
      <c r="A72" s="191" t="s">
        <v>261</v>
      </c>
      <c r="B72" s="123" t="s">
        <v>310</v>
      </c>
      <c r="C72" s="122">
        <v>0.01</v>
      </c>
      <c r="D72" s="107">
        <f t="shared" si="0"/>
        <v>14.71</v>
      </c>
    </row>
    <row r="73" spans="1:7">
      <c r="A73" s="105" t="s">
        <v>263</v>
      </c>
      <c r="B73" s="121" t="s">
        <v>9</v>
      </c>
      <c r="C73" s="122">
        <v>2E-3</v>
      </c>
      <c r="D73" s="107">
        <f t="shared" si="0"/>
        <v>2.94</v>
      </c>
    </row>
    <row r="74" spans="1:7">
      <c r="A74" s="191" t="s">
        <v>284</v>
      </c>
      <c r="B74" s="123" t="s">
        <v>10</v>
      </c>
      <c r="C74" s="122">
        <v>2.5000000000000001E-2</v>
      </c>
      <c r="D74" s="107">
        <f t="shared" si="0"/>
        <v>36.78</v>
      </c>
    </row>
    <row r="75" spans="1:7">
      <c r="A75" s="105" t="s">
        <v>286</v>
      </c>
      <c r="B75" s="121" t="s">
        <v>11</v>
      </c>
      <c r="C75" s="122">
        <v>0.08</v>
      </c>
      <c r="D75" s="107">
        <f t="shared" si="0"/>
        <v>117.69</v>
      </c>
    </row>
    <row r="76" spans="1:7" ht="31.5">
      <c r="A76" s="191" t="s">
        <v>288</v>
      </c>
      <c r="B76" s="123" t="s">
        <v>378</v>
      </c>
      <c r="C76" s="141">
        <v>3.0499999999999999E-2</v>
      </c>
      <c r="D76" s="245">
        <f t="shared" si="0"/>
        <v>44.87</v>
      </c>
    </row>
    <row r="77" spans="1:7" ht="16.5" thickBot="1">
      <c r="A77" s="124" t="s">
        <v>290</v>
      </c>
      <c r="B77" s="125" t="s">
        <v>12</v>
      </c>
      <c r="C77" s="126">
        <v>6.0000000000000001E-3</v>
      </c>
      <c r="D77" s="110">
        <f t="shared" si="0"/>
        <v>8.83</v>
      </c>
    </row>
    <row r="78" spans="1:7" ht="16.5" thickBot="1">
      <c r="A78" s="530" t="s">
        <v>7</v>
      </c>
      <c r="B78" s="531"/>
      <c r="C78" s="127">
        <f>SUM(C70:C77)</f>
        <v>0.36850000000000005</v>
      </c>
      <c r="D78" s="113">
        <f>SUM(D70:D77)</f>
        <v>542.12</v>
      </c>
    </row>
    <row r="79" spans="1:7">
      <c r="A79" s="534" t="s">
        <v>311</v>
      </c>
      <c r="B79" s="534"/>
      <c r="C79" s="534"/>
      <c r="D79" s="534"/>
    </row>
    <row r="80" spans="1:7" ht="16.5" customHeight="1">
      <c r="A80" s="534" t="s">
        <v>312</v>
      </c>
      <c r="B80" s="534"/>
      <c r="C80" s="534"/>
      <c r="D80" s="534"/>
    </row>
    <row r="81" spans="1:7">
      <c r="A81" s="190"/>
    </row>
    <row r="82" spans="1:7" ht="16.5" thickBot="1">
      <c r="A82" s="523" t="s">
        <v>313</v>
      </c>
      <c r="B82" s="523"/>
      <c r="C82" s="523"/>
      <c r="D82" s="523"/>
      <c r="E82" s="523"/>
      <c r="F82" s="523"/>
      <c r="G82" s="523"/>
    </row>
    <row r="83" spans="1:7" ht="16.5" thickBot="1">
      <c r="A83" s="117" t="s">
        <v>314</v>
      </c>
      <c r="B83" s="118" t="s">
        <v>315</v>
      </c>
      <c r="C83" s="117" t="s">
        <v>4</v>
      </c>
      <c r="D83" s="117" t="s">
        <v>279</v>
      </c>
    </row>
    <row r="84" spans="1:7">
      <c r="A84" s="82" t="s">
        <v>257</v>
      </c>
      <c r="B84" s="119" t="s">
        <v>316</v>
      </c>
      <c r="C84" s="120">
        <f>((5/56)*100)/100</f>
        <v>8.9285714285714288E-2</v>
      </c>
      <c r="D84" s="104">
        <f>ROUND($D$43*C84,2)</f>
        <v>131.35</v>
      </c>
    </row>
    <row r="85" spans="1:7">
      <c r="A85" s="105" t="s">
        <v>259</v>
      </c>
      <c r="B85" s="121" t="s">
        <v>317</v>
      </c>
      <c r="C85" s="128">
        <f>(1/3)*(5/56)</f>
        <v>2.976190476190476E-2</v>
      </c>
      <c r="D85" s="129">
        <f>ROUND($D$43*C85,2)</f>
        <v>43.78</v>
      </c>
    </row>
    <row r="86" spans="1:7">
      <c r="A86" s="130" t="s">
        <v>318</v>
      </c>
      <c r="B86" s="121"/>
      <c r="C86" s="131">
        <f>SUM(C84:C85)</f>
        <v>0.11904761904761904</v>
      </c>
      <c r="D86" s="132">
        <f>SUM(D84:D85)</f>
        <v>175.13</v>
      </c>
    </row>
    <row r="87" spans="1:7" ht="32.25" thickBot="1">
      <c r="A87" s="105" t="s">
        <v>261</v>
      </c>
      <c r="B87" s="121" t="s">
        <v>319</v>
      </c>
      <c r="C87" s="122">
        <f>D87/D43</f>
        <v>4.3870441491350304E-2</v>
      </c>
      <c r="D87" s="107">
        <f>ROUND(D78*C86,2)</f>
        <v>64.540000000000006</v>
      </c>
    </row>
    <row r="88" spans="1:7" ht="16.5" thickBot="1">
      <c r="A88" s="530" t="s">
        <v>7</v>
      </c>
      <c r="B88" s="531"/>
      <c r="C88" s="127">
        <f>C87+C86</f>
        <v>0.16291806053896934</v>
      </c>
      <c r="D88" s="113">
        <f>D86+D87</f>
        <v>239.67000000000002</v>
      </c>
    </row>
    <row r="89" spans="1:7">
      <c r="A89" s="190"/>
    </row>
    <row r="90" spans="1:7" ht="16.5" thickBot="1">
      <c r="A90" s="523" t="s">
        <v>320</v>
      </c>
      <c r="B90" s="523"/>
      <c r="C90" s="523"/>
      <c r="D90" s="523"/>
      <c r="E90" s="523"/>
      <c r="F90" s="523"/>
      <c r="G90" s="523"/>
    </row>
    <row r="91" spans="1:7" ht="16.5" thickBot="1">
      <c r="A91" s="117" t="s">
        <v>321</v>
      </c>
      <c r="B91" s="118" t="s">
        <v>322</v>
      </c>
      <c r="C91" s="117" t="s">
        <v>4</v>
      </c>
      <c r="D91" s="117" t="s">
        <v>279</v>
      </c>
    </row>
    <row r="92" spans="1:7">
      <c r="A92" s="82" t="s">
        <v>257</v>
      </c>
      <c r="B92" s="133" t="s">
        <v>323</v>
      </c>
      <c r="C92" s="120">
        <f>0.1111*0.02*0.3333</f>
        <v>7.4059259999999997E-4</v>
      </c>
      <c r="D92" s="104">
        <f>ROUND($D$43*C92,2)</f>
        <v>1.0900000000000001</v>
      </c>
    </row>
    <row r="93" spans="1:7" ht="32.25" thickBot="1">
      <c r="A93" s="109" t="s">
        <v>259</v>
      </c>
      <c r="B93" s="134" t="s">
        <v>324</v>
      </c>
      <c r="C93" s="126">
        <f>D93/D43</f>
        <v>2.7189613567617173E-4</v>
      </c>
      <c r="D93" s="110">
        <f>ROUND(D78*C92,2)</f>
        <v>0.4</v>
      </c>
    </row>
    <row r="94" spans="1:7" ht="16.5" thickBot="1">
      <c r="A94" s="530" t="s">
        <v>7</v>
      </c>
      <c r="B94" s="531"/>
      <c r="C94" s="127">
        <f>SUM(C92:C93)</f>
        <v>1.0124887356761716E-3</v>
      </c>
      <c r="D94" s="113">
        <f>SUM(D92:D93)</f>
        <v>1.4900000000000002</v>
      </c>
    </row>
    <row r="95" spans="1:7">
      <c r="A95" s="190"/>
    </row>
    <row r="96" spans="1:7">
      <c r="A96" s="190"/>
    </row>
    <row r="97" spans="1:7" ht="16.5" thickBot="1">
      <c r="A97" s="523" t="s">
        <v>325</v>
      </c>
      <c r="B97" s="523"/>
      <c r="C97" s="523"/>
      <c r="D97" s="523"/>
      <c r="E97" s="523"/>
      <c r="F97" s="523"/>
      <c r="G97" s="523"/>
    </row>
    <row r="98" spans="1:7" ht="16.5" thickBot="1">
      <c r="A98" s="117" t="s">
        <v>326</v>
      </c>
      <c r="B98" s="118" t="s">
        <v>327</v>
      </c>
      <c r="C98" s="117" t="s">
        <v>4</v>
      </c>
      <c r="D98" s="117" t="s">
        <v>279</v>
      </c>
    </row>
    <row r="99" spans="1:7">
      <c r="A99" s="82" t="s">
        <v>257</v>
      </c>
      <c r="B99" s="133" t="s">
        <v>328</v>
      </c>
      <c r="C99" s="135">
        <f>((1/12)*0.05)</f>
        <v>4.1666666666666666E-3</v>
      </c>
      <c r="D99" s="104">
        <f>ROUND($D$43*C99,2)</f>
        <v>6.13</v>
      </c>
    </row>
    <row r="100" spans="1:7" ht="31.5">
      <c r="A100" s="191" t="s">
        <v>259</v>
      </c>
      <c r="B100" s="91" t="s">
        <v>329</v>
      </c>
      <c r="C100" s="136">
        <f>D100/D43</f>
        <v>3.3307276620331028E-4</v>
      </c>
      <c r="D100" s="137">
        <f>ROUND(D75*C99,2)</f>
        <v>0.49</v>
      </c>
    </row>
    <row r="101" spans="1:7">
      <c r="A101" s="191" t="s">
        <v>261</v>
      </c>
      <c r="B101" s="138" t="s">
        <v>330</v>
      </c>
      <c r="C101" s="139">
        <f>0.08*0.5*0.9*(1+(5/56)+(5/56)+(1/3)*(5/56))</f>
        <v>4.3499999999999997E-2</v>
      </c>
      <c r="D101" s="107">
        <f>ROUND($D$43*C101,2)</f>
        <v>64</v>
      </c>
    </row>
    <row r="102" spans="1:7">
      <c r="A102" s="191" t="s">
        <v>263</v>
      </c>
      <c r="B102" s="138" t="s">
        <v>331</v>
      </c>
      <c r="C102" s="140">
        <f>(((7/30)/12))</f>
        <v>1.9444444444444445E-2</v>
      </c>
      <c r="D102" s="107">
        <f>ROUND($D$43*C102,2)</f>
        <v>28.61</v>
      </c>
    </row>
    <row r="103" spans="1:7" ht="31.5">
      <c r="A103" s="191" t="s">
        <v>284</v>
      </c>
      <c r="B103" s="138" t="s">
        <v>332</v>
      </c>
      <c r="C103" s="141">
        <f>D103/D43</f>
        <v>7.1644631750671234E-3</v>
      </c>
      <c r="D103" s="107">
        <f>ROUND(D78*C102,2)</f>
        <v>10.54</v>
      </c>
    </row>
    <row r="104" spans="1:7" ht="16.5" thickBot="1">
      <c r="A104" s="109" t="s">
        <v>286</v>
      </c>
      <c r="B104" s="134" t="s">
        <v>333</v>
      </c>
      <c r="C104" s="142">
        <f>(40%+10%)*C75*C102</f>
        <v>7.7777777777777784E-4</v>
      </c>
      <c r="D104" s="107">
        <f>ROUND($D$43*C104,2)</f>
        <v>1.1399999999999999</v>
      </c>
    </row>
    <row r="105" spans="1:7" ht="16.5" thickBot="1">
      <c r="A105" s="525" t="s">
        <v>7</v>
      </c>
      <c r="B105" s="526"/>
      <c r="C105" s="127">
        <f>SUM(C99:C104)</f>
        <v>7.5386424830159324E-2</v>
      </c>
      <c r="D105" s="143">
        <f>SUM(D99:D104)</f>
        <v>110.91000000000001</v>
      </c>
    </row>
    <row r="106" spans="1:7">
      <c r="A106" s="71"/>
    </row>
    <row r="107" spans="1:7" ht="16.5" thickBot="1">
      <c r="A107" s="523" t="s">
        <v>334</v>
      </c>
      <c r="B107" s="523"/>
      <c r="C107" s="523"/>
      <c r="D107" s="523"/>
      <c r="E107" s="523"/>
      <c r="F107" s="523"/>
      <c r="G107" s="523"/>
    </row>
    <row r="108" spans="1:7" ht="32.25" thickBot="1">
      <c r="A108" s="117" t="s">
        <v>335</v>
      </c>
      <c r="B108" s="118" t="s">
        <v>336</v>
      </c>
      <c r="C108" s="117" t="s">
        <v>4</v>
      </c>
      <c r="D108" s="117" t="s">
        <v>279</v>
      </c>
    </row>
    <row r="109" spans="1:7">
      <c r="A109" s="82" t="s">
        <v>257</v>
      </c>
      <c r="B109" s="133" t="s">
        <v>13</v>
      </c>
      <c r="C109" s="144">
        <f>(5/56)</f>
        <v>8.9285714285714288E-2</v>
      </c>
      <c r="D109" s="107">
        <f t="shared" ref="D109:D114" si="1">ROUND($D$43*C109,2)</f>
        <v>131.35</v>
      </c>
    </row>
    <row r="110" spans="1:7">
      <c r="A110" s="191" t="s">
        <v>259</v>
      </c>
      <c r="B110" s="138" t="s">
        <v>379</v>
      </c>
      <c r="C110" s="122">
        <f>(10.96/30)/12</f>
        <v>3.0444444444444444E-2</v>
      </c>
      <c r="D110" s="107">
        <f t="shared" si="1"/>
        <v>44.79</v>
      </c>
      <c r="E110" s="184"/>
    </row>
    <row r="111" spans="1:7">
      <c r="A111" s="191" t="s">
        <v>261</v>
      </c>
      <c r="B111" s="138" t="s">
        <v>337</v>
      </c>
      <c r="C111" s="122">
        <f>((5/30)/12)*0.015</f>
        <v>2.0833333333333332E-4</v>
      </c>
      <c r="D111" s="107">
        <f t="shared" si="1"/>
        <v>0.31</v>
      </c>
    </row>
    <row r="112" spans="1:7">
      <c r="A112" s="191" t="s">
        <v>263</v>
      </c>
      <c r="B112" s="138" t="s">
        <v>338</v>
      </c>
      <c r="C112" s="122">
        <f>((1/30)/12)</f>
        <v>2.7777777777777779E-3</v>
      </c>
      <c r="D112" s="107">
        <f t="shared" si="1"/>
        <v>4.09</v>
      </c>
    </row>
    <row r="113" spans="1:7">
      <c r="A113" s="191" t="s">
        <v>284</v>
      </c>
      <c r="B113" s="138" t="s">
        <v>339</v>
      </c>
      <c r="C113" s="122">
        <f>((15/30)/12)*0.0078</f>
        <v>3.2499999999999999E-4</v>
      </c>
      <c r="D113" s="107">
        <f t="shared" si="1"/>
        <v>0.48</v>
      </c>
    </row>
    <row r="114" spans="1:7">
      <c r="A114" s="191" t="s">
        <v>286</v>
      </c>
      <c r="B114" s="138" t="s">
        <v>291</v>
      </c>
      <c r="C114" s="145"/>
      <c r="D114" s="107">
        <f t="shared" si="1"/>
        <v>0</v>
      </c>
    </row>
    <row r="115" spans="1:7">
      <c r="A115" s="532" t="s">
        <v>318</v>
      </c>
      <c r="B115" s="533"/>
      <c r="C115" s="122">
        <f>SUM(C109:C114)</f>
        <v>0.12304126984126985</v>
      </c>
      <c r="D115" s="107">
        <f>SUM(D109:D114)</f>
        <v>181.01999999999998</v>
      </c>
    </row>
    <row r="116" spans="1:7" ht="32.25" thickBot="1">
      <c r="A116" s="109" t="s">
        <v>288</v>
      </c>
      <c r="B116" s="134" t="s">
        <v>340</v>
      </c>
      <c r="C116" s="142">
        <f>D116/$D$43</f>
        <v>4.5338680624001627E-2</v>
      </c>
      <c r="D116" s="107">
        <f>ROUND(D78*C115,2)</f>
        <v>66.7</v>
      </c>
    </row>
    <row r="117" spans="1:7" ht="16.5" thickBot="1">
      <c r="A117" s="525" t="s">
        <v>7</v>
      </c>
      <c r="B117" s="526"/>
      <c r="C117" s="127">
        <f>C116+C115</f>
        <v>0.16837995046527149</v>
      </c>
      <c r="D117" s="146">
        <f>D116+D115</f>
        <v>247.71999999999997</v>
      </c>
    </row>
    <row r="118" spans="1:7">
      <c r="A118" s="190" t="s">
        <v>341</v>
      </c>
    </row>
    <row r="119" spans="1:7" ht="16.5" thickBot="1">
      <c r="A119" s="522" t="s">
        <v>342</v>
      </c>
      <c r="B119" s="522"/>
      <c r="C119" s="522"/>
      <c r="D119" s="522"/>
      <c r="E119" s="522"/>
      <c r="F119" s="522"/>
      <c r="G119" s="522"/>
    </row>
    <row r="120" spans="1:7" ht="32.25" customHeight="1" thickBot="1">
      <c r="A120" s="147">
        <v>4</v>
      </c>
      <c r="B120" s="148" t="s">
        <v>343</v>
      </c>
      <c r="C120" s="149" t="s">
        <v>4</v>
      </c>
      <c r="D120" s="150" t="s">
        <v>279</v>
      </c>
    </row>
    <row r="121" spans="1:7">
      <c r="A121" s="82" t="s">
        <v>307</v>
      </c>
      <c r="B121" s="133" t="s">
        <v>344</v>
      </c>
      <c r="C121" s="142">
        <f t="shared" ref="C121:C126" si="2">D121/$D$43</f>
        <v>0.16291336709377019</v>
      </c>
      <c r="D121" s="107">
        <f>D88</f>
        <v>239.67000000000002</v>
      </c>
    </row>
    <row r="122" spans="1:7">
      <c r="A122" s="191" t="s">
        <v>314</v>
      </c>
      <c r="B122" s="138" t="s">
        <v>308</v>
      </c>
      <c r="C122" s="142">
        <f t="shared" si="2"/>
        <v>0.36850083268191547</v>
      </c>
      <c r="D122" s="107">
        <f>D78</f>
        <v>542.12</v>
      </c>
    </row>
    <row r="123" spans="1:7">
      <c r="A123" s="191" t="s">
        <v>321</v>
      </c>
      <c r="B123" s="138" t="s">
        <v>323</v>
      </c>
      <c r="C123" s="142">
        <f t="shared" si="2"/>
        <v>1.0128131053937397E-3</v>
      </c>
      <c r="D123" s="107">
        <f>D94</f>
        <v>1.4900000000000002</v>
      </c>
    </row>
    <row r="124" spans="1:7">
      <c r="A124" s="151" t="s">
        <v>326</v>
      </c>
      <c r="B124" s="152" t="s">
        <v>345</v>
      </c>
      <c r="C124" s="142">
        <f t="shared" si="2"/>
        <v>7.5390001019610506E-2</v>
      </c>
      <c r="D124" s="107">
        <f>D105</f>
        <v>110.91000000000001</v>
      </c>
    </row>
    <row r="125" spans="1:7">
      <c r="A125" s="153" t="s">
        <v>335</v>
      </c>
      <c r="B125" s="154" t="s">
        <v>346</v>
      </c>
      <c r="C125" s="142">
        <f t="shared" si="2"/>
        <v>0.16838527682425311</v>
      </c>
      <c r="D125" s="107">
        <f>D117</f>
        <v>247.71999999999997</v>
      </c>
    </row>
    <row r="126" spans="1:7" ht="16.5" thickBot="1">
      <c r="A126" s="191" t="s">
        <v>347</v>
      </c>
      <c r="B126" s="138" t="s">
        <v>291</v>
      </c>
      <c r="C126" s="142">
        <f t="shared" si="2"/>
        <v>0</v>
      </c>
      <c r="D126" s="107">
        <v>0</v>
      </c>
    </row>
    <row r="127" spans="1:7" ht="37.5" customHeight="1" thickBot="1">
      <c r="A127" s="530" t="s">
        <v>348</v>
      </c>
      <c r="B127" s="531"/>
      <c r="C127" s="127">
        <f>SUM(C121:C126)</f>
        <v>0.77620229072494284</v>
      </c>
      <c r="D127" s="113">
        <f>SUM(D121:D126)</f>
        <v>1141.9099999999999</v>
      </c>
    </row>
    <row r="128" spans="1:7">
      <c r="A128" s="155"/>
      <c r="B128" s="155"/>
      <c r="C128" s="156"/>
      <c r="D128" s="157"/>
      <c r="E128" s="158"/>
      <c r="F128" s="159"/>
      <c r="G128" s="159"/>
    </row>
    <row r="129" spans="1:8" ht="16.5" thickBot="1">
      <c r="A129" s="522" t="s">
        <v>349</v>
      </c>
      <c r="B129" s="522"/>
      <c r="C129" s="522"/>
      <c r="D129" s="522"/>
      <c r="E129" s="522"/>
      <c r="F129" s="522"/>
      <c r="G129" s="522"/>
      <c r="H129" s="160"/>
    </row>
    <row r="130" spans="1:8" ht="16.5" thickBot="1">
      <c r="A130" s="147" t="s">
        <v>350</v>
      </c>
      <c r="B130" s="148" t="s">
        <v>351</v>
      </c>
      <c r="C130" s="149" t="s">
        <v>4</v>
      </c>
      <c r="D130" s="114" t="s">
        <v>279</v>
      </c>
      <c r="E130" s="161">
        <f>D43+D54+D64+D78+D88+D94+D105+D117</f>
        <v>3304.7623725490189</v>
      </c>
      <c r="G130" s="160"/>
    </row>
    <row r="131" spans="1:8">
      <c r="A131" s="82" t="s">
        <v>257</v>
      </c>
      <c r="B131" s="133" t="s">
        <v>352</v>
      </c>
      <c r="C131" s="162">
        <v>6.9574999999999998E-2</v>
      </c>
      <c r="D131" s="163">
        <f>E130*C131</f>
        <v>229.92884207009797</v>
      </c>
      <c r="G131" s="160"/>
    </row>
    <row r="132" spans="1:8">
      <c r="A132" s="191" t="s">
        <v>259</v>
      </c>
      <c r="B132" s="138" t="s">
        <v>353</v>
      </c>
      <c r="C132" s="142"/>
      <c r="D132" s="164"/>
      <c r="F132" s="165"/>
    </row>
    <row r="133" spans="1:8">
      <c r="A133" s="191"/>
      <c r="B133" s="138" t="s">
        <v>354</v>
      </c>
      <c r="C133" s="142"/>
      <c r="D133" s="129"/>
      <c r="F133" s="182"/>
      <c r="G133" s="160"/>
    </row>
    <row r="134" spans="1:8">
      <c r="A134" s="191"/>
      <c r="B134" s="138" t="s">
        <v>355</v>
      </c>
      <c r="C134" s="142">
        <v>7.5999999999999998E-2</v>
      </c>
      <c r="D134" s="107">
        <f>$D$152*C134</f>
        <v>312.26093710661303</v>
      </c>
      <c r="E134" s="165">
        <f>D152</f>
        <v>4108.6965408764872</v>
      </c>
      <c r="G134" s="160"/>
    </row>
    <row r="135" spans="1:8">
      <c r="A135" s="191"/>
      <c r="B135" s="138" t="s">
        <v>356</v>
      </c>
      <c r="C135" s="142">
        <v>1.6500000000000001E-2</v>
      </c>
      <c r="D135" s="107">
        <f>$D$152*C135</f>
        <v>67.793492924462043</v>
      </c>
      <c r="E135" s="246"/>
      <c r="G135" s="160"/>
    </row>
    <row r="136" spans="1:8">
      <c r="A136" s="191"/>
      <c r="B136" s="138" t="s">
        <v>357</v>
      </c>
      <c r="C136" s="142"/>
      <c r="D136" s="107"/>
    </row>
    <row r="137" spans="1:8">
      <c r="A137" s="191"/>
      <c r="B137" s="138" t="s">
        <v>358</v>
      </c>
      <c r="C137" s="142">
        <v>0.03</v>
      </c>
      <c r="D137" s="107">
        <f>$D$152*C137</f>
        <v>123.26089622629462</v>
      </c>
      <c r="G137" s="160"/>
    </row>
    <row r="138" spans="1:8">
      <c r="A138" s="191"/>
      <c r="B138" s="138" t="s">
        <v>359</v>
      </c>
      <c r="C138" s="142"/>
      <c r="D138" s="107"/>
    </row>
    <row r="139" spans="1:8" ht="16.5" thickBot="1">
      <c r="A139" s="191" t="s">
        <v>261</v>
      </c>
      <c r="B139" s="138" t="s">
        <v>360</v>
      </c>
      <c r="C139" s="142">
        <v>0.02</v>
      </c>
      <c r="D139" s="107">
        <f>ROUND(E139*C139,2)</f>
        <v>70.69</v>
      </c>
      <c r="E139" s="132">
        <f>E130+D131</f>
        <v>3534.6912146191171</v>
      </c>
    </row>
    <row r="140" spans="1:8" ht="33" customHeight="1" thickBot="1">
      <c r="A140" s="527" t="s">
        <v>361</v>
      </c>
      <c r="B140" s="528"/>
      <c r="C140" s="529"/>
      <c r="D140" s="166">
        <f>D131+D134+D135+D137+D139</f>
        <v>803.93416832746766</v>
      </c>
    </row>
    <row r="141" spans="1:8">
      <c r="A141" s="522" t="s">
        <v>362</v>
      </c>
      <c r="B141" s="522"/>
      <c r="C141" s="522"/>
      <c r="D141" s="522"/>
      <c r="E141" s="522"/>
      <c r="F141" s="522"/>
      <c r="G141" s="522"/>
    </row>
    <row r="142" spans="1:8">
      <c r="A142" s="522" t="s">
        <v>363</v>
      </c>
      <c r="B142" s="522"/>
      <c r="C142" s="522"/>
      <c r="D142" s="522"/>
      <c r="E142" s="522"/>
      <c r="F142" s="522"/>
      <c r="G142" s="522"/>
    </row>
    <row r="143" spans="1:8">
      <c r="A143" s="190"/>
    </row>
    <row r="144" spans="1:8" ht="16.5" thickBot="1">
      <c r="A144" s="523" t="s">
        <v>364</v>
      </c>
      <c r="B144" s="523"/>
      <c r="C144" s="523"/>
      <c r="D144" s="523"/>
      <c r="E144" s="523"/>
      <c r="F144" s="523"/>
      <c r="G144" s="523"/>
    </row>
    <row r="145" spans="1:8" ht="32.25" customHeight="1" thickBot="1">
      <c r="A145" s="147"/>
      <c r="B145" s="524" t="s">
        <v>365</v>
      </c>
      <c r="C145" s="524"/>
      <c r="D145" s="167" t="s">
        <v>366</v>
      </c>
    </row>
    <row r="146" spans="1:8">
      <c r="A146" s="191" t="s">
        <v>257</v>
      </c>
      <c r="B146" s="138" t="s">
        <v>367</v>
      </c>
      <c r="C146" s="122">
        <f t="shared" ref="C146:C151" si="3">D146/$D$152</f>
        <v>0.3580575945105372</v>
      </c>
      <c r="D146" s="129">
        <f>D43</f>
        <v>1471.15</v>
      </c>
    </row>
    <row r="147" spans="1:8">
      <c r="A147" s="191" t="s">
        <v>259</v>
      </c>
      <c r="B147" s="138" t="s">
        <v>368</v>
      </c>
      <c r="C147" s="122">
        <f t="shared" si="3"/>
        <v>0.14565065279940884</v>
      </c>
      <c r="D147" s="129">
        <f>D54</f>
        <v>598.43433333333337</v>
      </c>
    </row>
    <row r="148" spans="1:8" ht="31.5">
      <c r="A148" s="191" t="s">
        <v>261</v>
      </c>
      <c r="B148" s="138" t="s">
        <v>369</v>
      </c>
      <c r="C148" s="122">
        <f t="shared" si="3"/>
        <v>2.2700152782709496E-2</v>
      </c>
      <c r="D148" s="129">
        <f>D64</f>
        <v>93.268039215686272</v>
      </c>
      <c r="E148" s="165">
        <f>D150+D131+D139</f>
        <v>3605.3812146191171</v>
      </c>
    </row>
    <row r="149" spans="1:8" ht="31.5">
      <c r="A149" s="191" t="s">
        <v>263</v>
      </c>
      <c r="B149" s="138" t="s">
        <v>370</v>
      </c>
      <c r="C149" s="122">
        <f t="shared" si="3"/>
        <v>0.27792512507054173</v>
      </c>
      <c r="D149" s="129">
        <f>D127</f>
        <v>1141.9099999999999</v>
      </c>
      <c r="E149" s="174">
        <f>C137+C135+C134</f>
        <v>0.1225</v>
      </c>
    </row>
    <row r="150" spans="1:8" ht="16.5" customHeight="1">
      <c r="A150" s="168" t="s">
        <v>371</v>
      </c>
      <c r="B150" s="169"/>
      <c r="C150" s="131">
        <f t="shared" si="3"/>
        <v>0.80433352516319723</v>
      </c>
      <c r="D150" s="170">
        <f>SUM(D146:D149)</f>
        <v>3304.7623725490193</v>
      </c>
      <c r="E150" s="174">
        <f>100%-E149</f>
        <v>0.87749999999999995</v>
      </c>
    </row>
    <row r="151" spans="1:8" ht="32.25" thickBot="1">
      <c r="A151" s="191" t="s">
        <v>284</v>
      </c>
      <c r="B151" s="138" t="s">
        <v>372</v>
      </c>
      <c r="C151" s="122">
        <f t="shared" si="3"/>
        <v>0.19566647483680275</v>
      </c>
      <c r="D151" s="129">
        <f>D140</f>
        <v>803.93416832746766</v>
      </c>
      <c r="G151" s="171"/>
    </row>
    <row r="152" spans="1:8" ht="16.5" customHeight="1" thickBot="1">
      <c r="A152" s="525" t="s">
        <v>373</v>
      </c>
      <c r="B152" s="526"/>
      <c r="C152" s="127">
        <f>C151+C150</f>
        <v>1</v>
      </c>
      <c r="D152" s="166">
        <f>(D150+D139+D131)/0.8775</f>
        <v>4108.6965408764872</v>
      </c>
      <c r="E152" s="171"/>
      <c r="F152" s="165">
        <f>D150+D151</f>
        <v>4108.6965408764872</v>
      </c>
      <c r="H152" s="172"/>
    </row>
    <row r="153" spans="1:8">
      <c r="E153" s="171"/>
    </row>
    <row r="154" spans="1:8">
      <c r="A154" s="186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1.299212598425197" right="0.51181102362204722" top="2.1653543307086616" bottom="0.98425196850393704" header="0.31496062992125984" footer="0.31496062992125984"/>
  <pageSetup paperSize="9" scale="80" fitToHeight="4" orientation="portrait" r:id="rId1"/>
  <headerFooter alignWithMargins="0"/>
  <rowBreaks count="3" manualBreakCount="3">
    <brk id="43" max="3" man="1"/>
    <brk id="88" max="3" man="1"/>
    <brk id="128" max="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154"/>
  <sheetViews>
    <sheetView showGridLines="0" view="pageBreakPreview" topLeftCell="A4" zoomScale="90" zoomScaleSheetLayoutView="90" workbookViewId="0">
      <selection activeCell="E135" sqref="E135"/>
    </sheetView>
  </sheetViews>
  <sheetFormatPr defaultRowHeight="15.75"/>
  <cols>
    <col min="1" max="1" width="9.28515625" style="53" customWidth="1"/>
    <col min="2" max="2" width="39.85546875" style="53" customWidth="1"/>
    <col min="3" max="3" width="18.28515625" style="53" customWidth="1"/>
    <col min="4" max="4" width="23.85546875" style="53" customWidth="1"/>
    <col min="5" max="5" width="16" style="53" bestFit="1" customWidth="1"/>
    <col min="6" max="6" width="13.7109375" style="53" bestFit="1" customWidth="1"/>
    <col min="7" max="7" width="15.7109375" style="53" bestFit="1" customWidth="1"/>
    <col min="8" max="8" width="13.140625" style="53" bestFit="1" customWidth="1"/>
    <col min="9" max="9" width="11.85546875" style="53" bestFit="1" customWidth="1"/>
    <col min="10" max="10" width="12.85546875" style="53" bestFit="1" customWidth="1"/>
    <col min="11" max="256" width="9.140625" style="53"/>
    <col min="257" max="257" width="9.28515625" style="53" customWidth="1"/>
    <col min="258" max="258" width="39.85546875" style="53" customWidth="1"/>
    <col min="259" max="259" width="18.28515625" style="53" customWidth="1"/>
    <col min="260" max="260" width="23.85546875" style="53" customWidth="1"/>
    <col min="261" max="261" width="16" style="53" bestFit="1" customWidth="1"/>
    <col min="262" max="262" width="13.7109375" style="53" bestFit="1" customWidth="1"/>
    <col min="263" max="263" width="15.7109375" style="53" bestFit="1" customWidth="1"/>
    <col min="264" max="264" width="13.140625" style="53" bestFit="1" customWidth="1"/>
    <col min="265" max="265" width="11.85546875" style="53" bestFit="1" customWidth="1"/>
    <col min="266" max="266" width="12.85546875" style="53" bestFit="1" customWidth="1"/>
    <col min="267" max="512" width="9.140625" style="53"/>
    <col min="513" max="513" width="9.28515625" style="53" customWidth="1"/>
    <col min="514" max="514" width="39.85546875" style="53" customWidth="1"/>
    <col min="515" max="515" width="18.28515625" style="53" customWidth="1"/>
    <col min="516" max="516" width="23.85546875" style="53" customWidth="1"/>
    <col min="517" max="517" width="16" style="53" bestFit="1" customWidth="1"/>
    <col min="518" max="518" width="13.7109375" style="53" bestFit="1" customWidth="1"/>
    <col min="519" max="519" width="15.7109375" style="53" bestFit="1" customWidth="1"/>
    <col min="520" max="520" width="13.140625" style="53" bestFit="1" customWidth="1"/>
    <col min="521" max="521" width="11.85546875" style="53" bestFit="1" customWidth="1"/>
    <col min="522" max="522" width="12.85546875" style="53" bestFit="1" customWidth="1"/>
    <col min="523" max="768" width="9.140625" style="53"/>
    <col min="769" max="769" width="9.28515625" style="53" customWidth="1"/>
    <col min="770" max="770" width="39.85546875" style="53" customWidth="1"/>
    <col min="771" max="771" width="18.28515625" style="53" customWidth="1"/>
    <col min="772" max="772" width="23.85546875" style="53" customWidth="1"/>
    <col min="773" max="773" width="16" style="53" bestFit="1" customWidth="1"/>
    <col min="774" max="774" width="13.7109375" style="53" bestFit="1" customWidth="1"/>
    <col min="775" max="775" width="15.7109375" style="53" bestFit="1" customWidth="1"/>
    <col min="776" max="776" width="13.140625" style="53" bestFit="1" customWidth="1"/>
    <col min="777" max="777" width="11.85546875" style="53" bestFit="1" customWidth="1"/>
    <col min="778" max="778" width="12.85546875" style="53" bestFit="1" customWidth="1"/>
    <col min="779" max="1024" width="9.140625" style="53"/>
    <col min="1025" max="1025" width="9.28515625" style="53" customWidth="1"/>
    <col min="1026" max="1026" width="39.85546875" style="53" customWidth="1"/>
    <col min="1027" max="1027" width="18.28515625" style="53" customWidth="1"/>
    <col min="1028" max="1028" width="23.85546875" style="53" customWidth="1"/>
    <col min="1029" max="1029" width="16" style="53" bestFit="1" customWidth="1"/>
    <col min="1030" max="1030" width="13.7109375" style="53" bestFit="1" customWidth="1"/>
    <col min="1031" max="1031" width="15.7109375" style="53" bestFit="1" customWidth="1"/>
    <col min="1032" max="1032" width="13.140625" style="53" bestFit="1" customWidth="1"/>
    <col min="1033" max="1033" width="11.85546875" style="53" bestFit="1" customWidth="1"/>
    <col min="1034" max="1034" width="12.85546875" style="53" bestFit="1" customWidth="1"/>
    <col min="1035" max="1280" width="9.140625" style="53"/>
    <col min="1281" max="1281" width="9.28515625" style="53" customWidth="1"/>
    <col min="1282" max="1282" width="39.85546875" style="53" customWidth="1"/>
    <col min="1283" max="1283" width="18.28515625" style="53" customWidth="1"/>
    <col min="1284" max="1284" width="23.85546875" style="53" customWidth="1"/>
    <col min="1285" max="1285" width="16" style="53" bestFit="1" customWidth="1"/>
    <col min="1286" max="1286" width="13.7109375" style="53" bestFit="1" customWidth="1"/>
    <col min="1287" max="1287" width="15.7109375" style="53" bestFit="1" customWidth="1"/>
    <col min="1288" max="1288" width="13.140625" style="53" bestFit="1" customWidth="1"/>
    <col min="1289" max="1289" width="11.85546875" style="53" bestFit="1" customWidth="1"/>
    <col min="1290" max="1290" width="12.85546875" style="53" bestFit="1" customWidth="1"/>
    <col min="1291" max="1536" width="9.140625" style="53"/>
    <col min="1537" max="1537" width="9.28515625" style="53" customWidth="1"/>
    <col min="1538" max="1538" width="39.85546875" style="53" customWidth="1"/>
    <col min="1539" max="1539" width="18.28515625" style="53" customWidth="1"/>
    <col min="1540" max="1540" width="23.85546875" style="53" customWidth="1"/>
    <col min="1541" max="1541" width="16" style="53" bestFit="1" customWidth="1"/>
    <col min="1542" max="1542" width="13.7109375" style="53" bestFit="1" customWidth="1"/>
    <col min="1543" max="1543" width="15.7109375" style="53" bestFit="1" customWidth="1"/>
    <col min="1544" max="1544" width="13.140625" style="53" bestFit="1" customWidth="1"/>
    <col min="1545" max="1545" width="11.85546875" style="53" bestFit="1" customWidth="1"/>
    <col min="1546" max="1546" width="12.85546875" style="53" bestFit="1" customWidth="1"/>
    <col min="1547" max="1792" width="9.140625" style="53"/>
    <col min="1793" max="1793" width="9.28515625" style="53" customWidth="1"/>
    <col min="1794" max="1794" width="39.85546875" style="53" customWidth="1"/>
    <col min="1795" max="1795" width="18.28515625" style="53" customWidth="1"/>
    <col min="1796" max="1796" width="23.85546875" style="53" customWidth="1"/>
    <col min="1797" max="1797" width="16" style="53" bestFit="1" customWidth="1"/>
    <col min="1798" max="1798" width="13.7109375" style="53" bestFit="1" customWidth="1"/>
    <col min="1799" max="1799" width="15.7109375" style="53" bestFit="1" customWidth="1"/>
    <col min="1800" max="1800" width="13.140625" style="53" bestFit="1" customWidth="1"/>
    <col min="1801" max="1801" width="11.85546875" style="53" bestFit="1" customWidth="1"/>
    <col min="1802" max="1802" width="12.85546875" style="53" bestFit="1" customWidth="1"/>
    <col min="1803" max="2048" width="9.140625" style="53"/>
    <col min="2049" max="2049" width="9.28515625" style="53" customWidth="1"/>
    <col min="2050" max="2050" width="39.85546875" style="53" customWidth="1"/>
    <col min="2051" max="2051" width="18.28515625" style="53" customWidth="1"/>
    <col min="2052" max="2052" width="23.85546875" style="53" customWidth="1"/>
    <col min="2053" max="2053" width="16" style="53" bestFit="1" customWidth="1"/>
    <col min="2054" max="2054" width="13.7109375" style="53" bestFit="1" customWidth="1"/>
    <col min="2055" max="2055" width="15.7109375" style="53" bestFit="1" customWidth="1"/>
    <col min="2056" max="2056" width="13.140625" style="53" bestFit="1" customWidth="1"/>
    <col min="2057" max="2057" width="11.85546875" style="53" bestFit="1" customWidth="1"/>
    <col min="2058" max="2058" width="12.85546875" style="53" bestFit="1" customWidth="1"/>
    <col min="2059" max="2304" width="9.140625" style="53"/>
    <col min="2305" max="2305" width="9.28515625" style="53" customWidth="1"/>
    <col min="2306" max="2306" width="39.85546875" style="53" customWidth="1"/>
    <col min="2307" max="2307" width="18.28515625" style="53" customWidth="1"/>
    <col min="2308" max="2308" width="23.85546875" style="53" customWidth="1"/>
    <col min="2309" max="2309" width="16" style="53" bestFit="1" customWidth="1"/>
    <col min="2310" max="2310" width="13.7109375" style="53" bestFit="1" customWidth="1"/>
    <col min="2311" max="2311" width="15.7109375" style="53" bestFit="1" customWidth="1"/>
    <col min="2312" max="2312" width="13.140625" style="53" bestFit="1" customWidth="1"/>
    <col min="2313" max="2313" width="11.85546875" style="53" bestFit="1" customWidth="1"/>
    <col min="2314" max="2314" width="12.85546875" style="53" bestFit="1" customWidth="1"/>
    <col min="2315" max="2560" width="9.140625" style="53"/>
    <col min="2561" max="2561" width="9.28515625" style="53" customWidth="1"/>
    <col min="2562" max="2562" width="39.85546875" style="53" customWidth="1"/>
    <col min="2563" max="2563" width="18.28515625" style="53" customWidth="1"/>
    <col min="2564" max="2564" width="23.85546875" style="53" customWidth="1"/>
    <col min="2565" max="2565" width="16" style="53" bestFit="1" customWidth="1"/>
    <col min="2566" max="2566" width="13.7109375" style="53" bestFit="1" customWidth="1"/>
    <col min="2567" max="2567" width="15.7109375" style="53" bestFit="1" customWidth="1"/>
    <col min="2568" max="2568" width="13.140625" style="53" bestFit="1" customWidth="1"/>
    <col min="2569" max="2569" width="11.85546875" style="53" bestFit="1" customWidth="1"/>
    <col min="2570" max="2570" width="12.85546875" style="53" bestFit="1" customWidth="1"/>
    <col min="2571" max="2816" width="9.140625" style="53"/>
    <col min="2817" max="2817" width="9.28515625" style="53" customWidth="1"/>
    <col min="2818" max="2818" width="39.85546875" style="53" customWidth="1"/>
    <col min="2819" max="2819" width="18.28515625" style="53" customWidth="1"/>
    <col min="2820" max="2820" width="23.85546875" style="53" customWidth="1"/>
    <col min="2821" max="2821" width="16" style="53" bestFit="1" customWidth="1"/>
    <col min="2822" max="2822" width="13.7109375" style="53" bestFit="1" customWidth="1"/>
    <col min="2823" max="2823" width="15.7109375" style="53" bestFit="1" customWidth="1"/>
    <col min="2824" max="2824" width="13.140625" style="53" bestFit="1" customWidth="1"/>
    <col min="2825" max="2825" width="11.85546875" style="53" bestFit="1" customWidth="1"/>
    <col min="2826" max="2826" width="12.85546875" style="53" bestFit="1" customWidth="1"/>
    <col min="2827" max="3072" width="9.140625" style="53"/>
    <col min="3073" max="3073" width="9.28515625" style="53" customWidth="1"/>
    <col min="3074" max="3074" width="39.85546875" style="53" customWidth="1"/>
    <col min="3075" max="3075" width="18.28515625" style="53" customWidth="1"/>
    <col min="3076" max="3076" width="23.85546875" style="53" customWidth="1"/>
    <col min="3077" max="3077" width="16" style="53" bestFit="1" customWidth="1"/>
    <col min="3078" max="3078" width="13.7109375" style="53" bestFit="1" customWidth="1"/>
    <col min="3079" max="3079" width="15.7109375" style="53" bestFit="1" customWidth="1"/>
    <col min="3080" max="3080" width="13.140625" style="53" bestFit="1" customWidth="1"/>
    <col min="3081" max="3081" width="11.85546875" style="53" bestFit="1" customWidth="1"/>
    <col min="3082" max="3082" width="12.85546875" style="53" bestFit="1" customWidth="1"/>
    <col min="3083" max="3328" width="9.140625" style="53"/>
    <col min="3329" max="3329" width="9.28515625" style="53" customWidth="1"/>
    <col min="3330" max="3330" width="39.85546875" style="53" customWidth="1"/>
    <col min="3331" max="3331" width="18.28515625" style="53" customWidth="1"/>
    <col min="3332" max="3332" width="23.85546875" style="53" customWidth="1"/>
    <col min="3333" max="3333" width="16" style="53" bestFit="1" customWidth="1"/>
    <col min="3334" max="3334" width="13.7109375" style="53" bestFit="1" customWidth="1"/>
    <col min="3335" max="3335" width="15.7109375" style="53" bestFit="1" customWidth="1"/>
    <col min="3336" max="3336" width="13.140625" style="53" bestFit="1" customWidth="1"/>
    <col min="3337" max="3337" width="11.85546875" style="53" bestFit="1" customWidth="1"/>
    <col min="3338" max="3338" width="12.85546875" style="53" bestFit="1" customWidth="1"/>
    <col min="3339" max="3584" width="9.140625" style="53"/>
    <col min="3585" max="3585" width="9.28515625" style="53" customWidth="1"/>
    <col min="3586" max="3586" width="39.85546875" style="53" customWidth="1"/>
    <col min="3587" max="3587" width="18.28515625" style="53" customWidth="1"/>
    <col min="3588" max="3588" width="23.85546875" style="53" customWidth="1"/>
    <col min="3589" max="3589" width="16" style="53" bestFit="1" customWidth="1"/>
    <col min="3590" max="3590" width="13.7109375" style="53" bestFit="1" customWidth="1"/>
    <col min="3591" max="3591" width="15.7109375" style="53" bestFit="1" customWidth="1"/>
    <col min="3592" max="3592" width="13.140625" style="53" bestFit="1" customWidth="1"/>
    <col min="3593" max="3593" width="11.85546875" style="53" bestFit="1" customWidth="1"/>
    <col min="3594" max="3594" width="12.85546875" style="53" bestFit="1" customWidth="1"/>
    <col min="3595" max="3840" width="9.140625" style="53"/>
    <col min="3841" max="3841" width="9.28515625" style="53" customWidth="1"/>
    <col min="3842" max="3842" width="39.85546875" style="53" customWidth="1"/>
    <col min="3843" max="3843" width="18.28515625" style="53" customWidth="1"/>
    <col min="3844" max="3844" width="23.85546875" style="53" customWidth="1"/>
    <col min="3845" max="3845" width="16" style="53" bestFit="1" customWidth="1"/>
    <col min="3846" max="3846" width="13.7109375" style="53" bestFit="1" customWidth="1"/>
    <col min="3847" max="3847" width="15.7109375" style="53" bestFit="1" customWidth="1"/>
    <col min="3848" max="3848" width="13.140625" style="53" bestFit="1" customWidth="1"/>
    <col min="3849" max="3849" width="11.85546875" style="53" bestFit="1" customWidth="1"/>
    <col min="3850" max="3850" width="12.85546875" style="53" bestFit="1" customWidth="1"/>
    <col min="3851" max="4096" width="9.140625" style="53"/>
    <col min="4097" max="4097" width="9.28515625" style="53" customWidth="1"/>
    <col min="4098" max="4098" width="39.85546875" style="53" customWidth="1"/>
    <col min="4099" max="4099" width="18.28515625" style="53" customWidth="1"/>
    <col min="4100" max="4100" width="23.85546875" style="53" customWidth="1"/>
    <col min="4101" max="4101" width="16" style="53" bestFit="1" customWidth="1"/>
    <col min="4102" max="4102" width="13.7109375" style="53" bestFit="1" customWidth="1"/>
    <col min="4103" max="4103" width="15.7109375" style="53" bestFit="1" customWidth="1"/>
    <col min="4104" max="4104" width="13.140625" style="53" bestFit="1" customWidth="1"/>
    <col min="4105" max="4105" width="11.85546875" style="53" bestFit="1" customWidth="1"/>
    <col min="4106" max="4106" width="12.85546875" style="53" bestFit="1" customWidth="1"/>
    <col min="4107" max="4352" width="9.140625" style="53"/>
    <col min="4353" max="4353" width="9.28515625" style="53" customWidth="1"/>
    <col min="4354" max="4354" width="39.85546875" style="53" customWidth="1"/>
    <col min="4355" max="4355" width="18.28515625" style="53" customWidth="1"/>
    <col min="4356" max="4356" width="23.85546875" style="53" customWidth="1"/>
    <col min="4357" max="4357" width="16" style="53" bestFit="1" customWidth="1"/>
    <col min="4358" max="4358" width="13.7109375" style="53" bestFit="1" customWidth="1"/>
    <col min="4359" max="4359" width="15.7109375" style="53" bestFit="1" customWidth="1"/>
    <col min="4360" max="4360" width="13.140625" style="53" bestFit="1" customWidth="1"/>
    <col min="4361" max="4361" width="11.85546875" style="53" bestFit="1" customWidth="1"/>
    <col min="4362" max="4362" width="12.85546875" style="53" bestFit="1" customWidth="1"/>
    <col min="4363" max="4608" width="9.140625" style="53"/>
    <col min="4609" max="4609" width="9.28515625" style="53" customWidth="1"/>
    <col min="4610" max="4610" width="39.85546875" style="53" customWidth="1"/>
    <col min="4611" max="4611" width="18.28515625" style="53" customWidth="1"/>
    <col min="4612" max="4612" width="23.85546875" style="53" customWidth="1"/>
    <col min="4613" max="4613" width="16" style="53" bestFit="1" customWidth="1"/>
    <col min="4614" max="4614" width="13.7109375" style="53" bestFit="1" customWidth="1"/>
    <col min="4615" max="4615" width="15.7109375" style="53" bestFit="1" customWidth="1"/>
    <col min="4616" max="4616" width="13.140625" style="53" bestFit="1" customWidth="1"/>
    <col min="4617" max="4617" width="11.85546875" style="53" bestFit="1" customWidth="1"/>
    <col min="4618" max="4618" width="12.85546875" style="53" bestFit="1" customWidth="1"/>
    <col min="4619" max="4864" width="9.140625" style="53"/>
    <col min="4865" max="4865" width="9.28515625" style="53" customWidth="1"/>
    <col min="4866" max="4866" width="39.85546875" style="53" customWidth="1"/>
    <col min="4867" max="4867" width="18.28515625" style="53" customWidth="1"/>
    <col min="4868" max="4868" width="23.85546875" style="53" customWidth="1"/>
    <col min="4869" max="4869" width="16" style="53" bestFit="1" customWidth="1"/>
    <col min="4870" max="4870" width="13.7109375" style="53" bestFit="1" customWidth="1"/>
    <col min="4871" max="4871" width="15.7109375" style="53" bestFit="1" customWidth="1"/>
    <col min="4872" max="4872" width="13.140625" style="53" bestFit="1" customWidth="1"/>
    <col min="4873" max="4873" width="11.85546875" style="53" bestFit="1" customWidth="1"/>
    <col min="4874" max="4874" width="12.85546875" style="53" bestFit="1" customWidth="1"/>
    <col min="4875" max="5120" width="9.140625" style="53"/>
    <col min="5121" max="5121" width="9.28515625" style="53" customWidth="1"/>
    <col min="5122" max="5122" width="39.85546875" style="53" customWidth="1"/>
    <col min="5123" max="5123" width="18.28515625" style="53" customWidth="1"/>
    <col min="5124" max="5124" width="23.85546875" style="53" customWidth="1"/>
    <col min="5125" max="5125" width="16" style="53" bestFit="1" customWidth="1"/>
    <col min="5126" max="5126" width="13.7109375" style="53" bestFit="1" customWidth="1"/>
    <col min="5127" max="5127" width="15.7109375" style="53" bestFit="1" customWidth="1"/>
    <col min="5128" max="5128" width="13.140625" style="53" bestFit="1" customWidth="1"/>
    <col min="5129" max="5129" width="11.85546875" style="53" bestFit="1" customWidth="1"/>
    <col min="5130" max="5130" width="12.85546875" style="53" bestFit="1" customWidth="1"/>
    <col min="5131" max="5376" width="9.140625" style="53"/>
    <col min="5377" max="5377" width="9.28515625" style="53" customWidth="1"/>
    <col min="5378" max="5378" width="39.85546875" style="53" customWidth="1"/>
    <col min="5379" max="5379" width="18.28515625" style="53" customWidth="1"/>
    <col min="5380" max="5380" width="23.85546875" style="53" customWidth="1"/>
    <col min="5381" max="5381" width="16" style="53" bestFit="1" customWidth="1"/>
    <col min="5382" max="5382" width="13.7109375" style="53" bestFit="1" customWidth="1"/>
    <col min="5383" max="5383" width="15.7109375" style="53" bestFit="1" customWidth="1"/>
    <col min="5384" max="5384" width="13.140625" style="53" bestFit="1" customWidth="1"/>
    <col min="5385" max="5385" width="11.85546875" style="53" bestFit="1" customWidth="1"/>
    <col min="5386" max="5386" width="12.85546875" style="53" bestFit="1" customWidth="1"/>
    <col min="5387" max="5632" width="9.140625" style="53"/>
    <col min="5633" max="5633" width="9.28515625" style="53" customWidth="1"/>
    <col min="5634" max="5634" width="39.85546875" style="53" customWidth="1"/>
    <col min="5635" max="5635" width="18.28515625" style="53" customWidth="1"/>
    <col min="5636" max="5636" width="23.85546875" style="53" customWidth="1"/>
    <col min="5637" max="5637" width="16" style="53" bestFit="1" customWidth="1"/>
    <col min="5638" max="5638" width="13.7109375" style="53" bestFit="1" customWidth="1"/>
    <col min="5639" max="5639" width="15.7109375" style="53" bestFit="1" customWidth="1"/>
    <col min="5640" max="5640" width="13.140625" style="53" bestFit="1" customWidth="1"/>
    <col min="5641" max="5641" width="11.85546875" style="53" bestFit="1" customWidth="1"/>
    <col min="5642" max="5642" width="12.85546875" style="53" bestFit="1" customWidth="1"/>
    <col min="5643" max="5888" width="9.140625" style="53"/>
    <col min="5889" max="5889" width="9.28515625" style="53" customWidth="1"/>
    <col min="5890" max="5890" width="39.85546875" style="53" customWidth="1"/>
    <col min="5891" max="5891" width="18.28515625" style="53" customWidth="1"/>
    <col min="5892" max="5892" width="23.85546875" style="53" customWidth="1"/>
    <col min="5893" max="5893" width="16" style="53" bestFit="1" customWidth="1"/>
    <col min="5894" max="5894" width="13.7109375" style="53" bestFit="1" customWidth="1"/>
    <col min="5895" max="5895" width="15.7109375" style="53" bestFit="1" customWidth="1"/>
    <col min="5896" max="5896" width="13.140625" style="53" bestFit="1" customWidth="1"/>
    <col min="5897" max="5897" width="11.85546875" style="53" bestFit="1" customWidth="1"/>
    <col min="5898" max="5898" width="12.85546875" style="53" bestFit="1" customWidth="1"/>
    <col min="5899" max="6144" width="9.140625" style="53"/>
    <col min="6145" max="6145" width="9.28515625" style="53" customWidth="1"/>
    <col min="6146" max="6146" width="39.85546875" style="53" customWidth="1"/>
    <col min="6147" max="6147" width="18.28515625" style="53" customWidth="1"/>
    <col min="6148" max="6148" width="23.85546875" style="53" customWidth="1"/>
    <col min="6149" max="6149" width="16" style="53" bestFit="1" customWidth="1"/>
    <col min="6150" max="6150" width="13.7109375" style="53" bestFit="1" customWidth="1"/>
    <col min="6151" max="6151" width="15.7109375" style="53" bestFit="1" customWidth="1"/>
    <col min="6152" max="6152" width="13.140625" style="53" bestFit="1" customWidth="1"/>
    <col min="6153" max="6153" width="11.85546875" style="53" bestFit="1" customWidth="1"/>
    <col min="6154" max="6154" width="12.85546875" style="53" bestFit="1" customWidth="1"/>
    <col min="6155" max="6400" width="9.140625" style="53"/>
    <col min="6401" max="6401" width="9.28515625" style="53" customWidth="1"/>
    <col min="6402" max="6402" width="39.85546875" style="53" customWidth="1"/>
    <col min="6403" max="6403" width="18.28515625" style="53" customWidth="1"/>
    <col min="6404" max="6404" width="23.85546875" style="53" customWidth="1"/>
    <col min="6405" max="6405" width="16" style="53" bestFit="1" customWidth="1"/>
    <col min="6406" max="6406" width="13.7109375" style="53" bestFit="1" customWidth="1"/>
    <col min="6407" max="6407" width="15.7109375" style="53" bestFit="1" customWidth="1"/>
    <col min="6408" max="6408" width="13.140625" style="53" bestFit="1" customWidth="1"/>
    <col min="6409" max="6409" width="11.85546875" style="53" bestFit="1" customWidth="1"/>
    <col min="6410" max="6410" width="12.85546875" style="53" bestFit="1" customWidth="1"/>
    <col min="6411" max="6656" width="9.140625" style="53"/>
    <col min="6657" max="6657" width="9.28515625" style="53" customWidth="1"/>
    <col min="6658" max="6658" width="39.85546875" style="53" customWidth="1"/>
    <col min="6659" max="6659" width="18.28515625" style="53" customWidth="1"/>
    <col min="6660" max="6660" width="23.85546875" style="53" customWidth="1"/>
    <col min="6661" max="6661" width="16" style="53" bestFit="1" customWidth="1"/>
    <col min="6662" max="6662" width="13.7109375" style="53" bestFit="1" customWidth="1"/>
    <col min="6663" max="6663" width="15.7109375" style="53" bestFit="1" customWidth="1"/>
    <col min="6664" max="6664" width="13.140625" style="53" bestFit="1" customWidth="1"/>
    <col min="6665" max="6665" width="11.85546875" style="53" bestFit="1" customWidth="1"/>
    <col min="6666" max="6666" width="12.85546875" style="53" bestFit="1" customWidth="1"/>
    <col min="6667" max="6912" width="9.140625" style="53"/>
    <col min="6913" max="6913" width="9.28515625" style="53" customWidth="1"/>
    <col min="6914" max="6914" width="39.85546875" style="53" customWidth="1"/>
    <col min="6915" max="6915" width="18.28515625" style="53" customWidth="1"/>
    <col min="6916" max="6916" width="23.85546875" style="53" customWidth="1"/>
    <col min="6917" max="6917" width="16" style="53" bestFit="1" customWidth="1"/>
    <col min="6918" max="6918" width="13.7109375" style="53" bestFit="1" customWidth="1"/>
    <col min="6919" max="6919" width="15.7109375" style="53" bestFit="1" customWidth="1"/>
    <col min="6920" max="6920" width="13.140625" style="53" bestFit="1" customWidth="1"/>
    <col min="6921" max="6921" width="11.85546875" style="53" bestFit="1" customWidth="1"/>
    <col min="6922" max="6922" width="12.85546875" style="53" bestFit="1" customWidth="1"/>
    <col min="6923" max="7168" width="9.140625" style="53"/>
    <col min="7169" max="7169" width="9.28515625" style="53" customWidth="1"/>
    <col min="7170" max="7170" width="39.85546875" style="53" customWidth="1"/>
    <col min="7171" max="7171" width="18.28515625" style="53" customWidth="1"/>
    <col min="7172" max="7172" width="23.85546875" style="53" customWidth="1"/>
    <col min="7173" max="7173" width="16" style="53" bestFit="1" customWidth="1"/>
    <col min="7174" max="7174" width="13.7109375" style="53" bestFit="1" customWidth="1"/>
    <col min="7175" max="7175" width="15.7109375" style="53" bestFit="1" customWidth="1"/>
    <col min="7176" max="7176" width="13.140625" style="53" bestFit="1" customWidth="1"/>
    <col min="7177" max="7177" width="11.85546875" style="53" bestFit="1" customWidth="1"/>
    <col min="7178" max="7178" width="12.85546875" style="53" bestFit="1" customWidth="1"/>
    <col min="7179" max="7424" width="9.140625" style="53"/>
    <col min="7425" max="7425" width="9.28515625" style="53" customWidth="1"/>
    <col min="7426" max="7426" width="39.85546875" style="53" customWidth="1"/>
    <col min="7427" max="7427" width="18.28515625" style="53" customWidth="1"/>
    <col min="7428" max="7428" width="23.85546875" style="53" customWidth="1"/>
    <col min="7429" max="7429" width="16" style="53" bestFit="1" customWidth="1"/>
    <col min="7430" max="7430" width="13.7109375" style="53" bestFit="1" customWidth="1"/>
    <col min="7431" max="7431" width="15.7109375" style="53" bestFit="1" customWidth="1"/>
    <col min="7432" max="7432" width="13.140625" style="53" bestFit="1" customWidth="1"/>
    <col min="7433" max="7433" width="11.85546875" style="53" bestFit="1" customWidth="1"/>
    <col min="7434" max="7434" width="12.85546875" style="53" bestFit="1" customWidth="1"/>
    <col min="7435" max="7680" width="9.140625" style="53"/>
    <col min="7681" max="7681" width="9.28515625" style="53" customWidth="1"/>
    <col min="7682" max="7682" width="39.85546875" style="53" customWidth="1"/>
    <col min="7683" max="7683" width="18.28515625" style="53" customWidth="1"/>
    <col min="7684" max="7684" width="23.85546875" style="53" customWidth="1"/>
    <col min="7685" max="7685" width="16" style="53" bestFit="1" customWidth="1"/>
    <col min="7686" max="7686" width="13.7109375" style="53" bestFit="1" customWidth="1"/>
    <col min="7687" max="7687" width="15.7109375" style="53" bestFit="1" customWidth="1"/>
    <col min="7688" max="7688" width="13.140625" style="53" bestFit="1" customWidth="1"/>
    <col min="7689" max="7689" width="11.85546875" style="53" bestFit="1" customWidth="1"/>
    <col min="7690" max="7690" width="12.85546875" style="53" bestFit="1" customWidth="1"/>
    <col min="7691" max="7936" width="9.140625" style="53"/>
    <col min="7937" max="7937" width="9.28515625" style="53" customWidth="1"/>
    <col min="7938" max="7938" width="39.85546875" style="53" customWidth="1"/>
    <col min="7939" max="7939" width="18.28515625" style="53" customWidth="1"/>
    <col min="7940" max="7940" width="23.85546875" style="53" customWidth="1"/>
    <col min="7941" max="7941" width="16" style="53" bestFit="1" customWidth="1"/>
    <col min="7942" max="7942" width="13.7109375" style="53" bestFit="1" customWidth="1"/>
    <col min="7943" max="7943" width="15.7109375" style="53" bestFit="1" customWidth="1"/>
    <col min="7944" max="7944" width="13.140625" style="53" bestFit="1" customWidth="1"/>
    <col min="7945" max="7945" width="11.85546875" style="53" bestFit="1" customWidth="1"/>
    <col min="7946" max="7946" width="12.85546875" style="53" bestFit="1" customWidth="1"/>
    <col min="7947" max="8192" width="9.140625" style="53"/>
    <col min="8193" max="8193" width="9.28515625" style="53" customWidth="1"/>
    <col min="8194" max="8194" width="39.85546875" style="53" customWidth="1"/>
    <col min="8195" max="8195" width="18.28515625" style="53" customWidth="1"/>
    <col min="8196" max="8196" width="23.85546875" style="53" customWidth="1"/>
    <col min="8197" max="8197" width="16" style="53" bestFit="1" customWidth="1"/>
    <col min="8198" max="8198" width="13.7109375" style="53" bestFit="1" customWidth="1"/>
    <col min="8199" max="8199" width="15.7109375" style="53" bestFit="1" customWidth="1"/>
    <col min="8200" max="8200" width="13.140625" style="53" bestFit="1" customWidth="1"/>
    <col min="8201" max="8201" width="11.85546875" style="53" bestFit="1" customWidth="1"/>
    <col min="8202" max="8202" width="12.85546875" style="53" bestFit="1" customWidth="1"/>
    <col min="8203" max="8448" width="9.140625" style="53"/>
    <col min="8449" max="8449" width="9.28515625" style="53" customWidth="1"/>
    <col min="8450" max="8450" width="39.85546875" style="53" customWidth="1"/>
    <col min="8451" max="8451" width="18.28515625" style="53" customWidth="1"/>
    <col min="8452" max="8452" width="23.85546875" style="53" customWidth="1"/>
    <col min="8453" max="8453" width="16" style="53" bestFit="1" customWidth="1"/>
    <col min="8454" max="8454" width="13.7109375" style="53" bestFit="1" customWidth="1"/>
    <col min="8455" max="8455" width="15.7109375" style="53" bestFit="1" customWidth="1"/>
    <col min="8456" max="8456" width="13.140625" style="53" bestFit="1" customWidth="1"/>
    <col min="8457" max="8457" width="11.85546875" style="53" bestFit="1" customWidth="1"/>
    <col min="8458" max="8458" width="12.85546875" style="53" bestFit="1" customWidth="1"/>
    <col min="8459" max="8704" width="9.140625" style="53"/>
    <col min="8705" max="8705" width="9.28515625" style="53" customWidth="1"/>
    <col min="8706" max="8706" width="39.85546875" style="53" customWidth="1"/>
    <col min="8707" max="8707" width="18.28515625" style="53" customWidth="1"/>
    <col min="8708" max="8708" width="23.85546875" style="53" customWidth="1"/>
    <col min="8709" max="8709" width="16" style="53" bestFit="1" customWidth="1"/>
    <col min="8710" max="8710" width="13.7109375" style="53" bestFit="1" customWidth="1"/>
    <col min="8711" max="8711" width="15.7109375" style="53" bestFit="1" customWidth="1"/>
    <col min="8712" max="8712" width="13.140625" style="53" bestFit="1" customWidth="1"/>
    <col min="8713" max="8713" width="11.85546875" style="53" bestFit="1" customWidth="1"/>
    <col min="8714" max="8714" width="12.85546875" style="53" bestFit="1" customWidth="1"/>
    <col min="8715" max="8960" width="9.140625" style="53"/>
    <col min="8961" max="8961" width="9.28515625" style="53" customWidth="1"/>
    <col min="8962" max="8962" width="39.85546875" style="53" customWidth="1"/>
    <col min="8963" max="8963" width="18.28515625" style="53" customWidth="1"/>
    <col min="8964" max="8964" width="23.85546875" style="53" customWidth="1"/>
    <col min="8965" max="8965" width="16" style="53" bestFit="1" customWidth="1"/>
    <col min="8966" max="8966" width="13.7109375" style="53" bestFit="1" customWidth="1"/>
    <col min="8967" max="8967" width="15.7109375" style="53" bestFit="1" customWidth="1"/>
    <col min="8968" max="8968" width="13.140625" style="53" bestFit="1" customWidth="1"/>
    <col min="8969" max="8969" width="11.85546875" style="53" bestFit="1" customWidth="1"/>
    <col min="8970" max="8970" width="12.85546875" style="53" bestFit="1" customWidth="1"/>
    <col min="8971" max="9216" width="9.140625" style="53"/>
    <col min="9217" max="9217" width="9.28515625" style="53" customWidth="1"/>
    <col min="9218" max="9218" width="39.85546875" style="53" customWidth="1"/>
    <col min="9219" max="9219" width="18.28515625" style="53" customWidth="1"/>
    <col min="9220" max="9220" width="23.85546875" style="53" customWidth="1"/>
    <col min="9221" max="9221" width="16" style="53" bestFit="1" customWidth="1"/>
    <col min="9222" max="9222" width="13.7109375" style="53" bestFit="1" customWidth="1"/>
    <col min="9223" max="9223" width="15.7109375" style="53" bestFit="1" customWidth="1"/>
    <col min="9224" max="9224" width="13.140625" style="53" bestFit="1" customWidth="1"/>
    <col min="9225" max="9225" width="11.85546875" style="53" bestFit="1" customWidth="1"/>
    <col min="9226" max="9226" width="12.85546875" style="53" bestFit="1" customWidth="1"/>
    <col min="9227" max="9472" width="9.140625" style="53"/>
    <col min="9473" max="9473" width="9.28515625" style="53" customWidth="1"/>
    <col min="9474" max="9474" width="39.85546875" style="53" customWidth="1"/>
    <col min="9475" max="9475" width="18.28515625" style="53" customWidth="1"/>
    <col min="9476" max="9476" width="23.85546875" style="53" customWidth="1"/>
    <col min="9477" max="9477" width="16" style="53" bestFit="1" customWidth="1"/>
    <col min="9478" max="9478" width="13.7109375" style="53" bestFit="1" customWidth="1"/>
    <col min="9479" max="9479" width="15.7109375" style="53" bestFit="1" customWidth="1"/>
    <col min="9480" max="9480" width="13.140625" style="53" bestFit="1" customWidth="1"/>
    <col min="9481" max="9481" width="11.85546875" style="53" bestFit="1" customWidth="1"/>
    <col min="9482" max="9482" width="12.85546875" style="53" bestFit="1" customWidth="1"/>
    <col min="9483" max="9728" width="9.140625" style="53"/>
    <col min="9729" max="9729" width="9.28515625" style="53" customWidth="1"/>
    <col min="9730" max="9730" width="39.85546875" style="53" customWidth="1"/>
    <col min="9731" max="9731" width="18.28515625" style="53" customWidth="1"/>
    <col min="9732" max="9732" width="23.85546875" style="53" customWidth="1"/>
    <col min="9733" max="9733" width="16" style="53" bestFit="1" customWidth="1"/>
    <col min="9734" max="9734" width="13.7109375" style="53" bestFit="1" customWidth="1"/>
    <col min="9735" max="9735" width="15.7109375" style="53" bestFit="1" customWidth="1"/>
    <col min="9736" max="9736" width="13.140625" style="53" bestFit="1" customWidth="1"/>
    <col min="9737" max="9737" width="11.85546875" style="53" bestFit="1" customWidth="1"/>
    <col min="9738" max="9738" width="12.85546875" style="53" bestFit="1" customWidth="1"/>
    <col min="9739" max="9984" width="9.140625" style="53"/>
    <col min="9985" max="9985" width="9.28515625" style="53" customWidth="1"/>
    <col min="9986" max="9986" width="39.85546875" style="53" customWidth="1"/>
    <col min="9987" max="9987" width="18.28515625" style="53" customWidth="1"/>
    <col min="9988" max="9988" width="23.85546875" style="53" customWidth="1"/>
    <col min="9989" max="9989" width="16" style="53" bestFit="1" customWidth="1"/>
    <col min="9990" max="9990" width="13.7109375" style="53" bestFit="1" customWidth="1"/>
    <col min="9991" max="9991" width="15.7109375" style="53" bestFit="1" customWidth="1"/>
    <col min="9992" max="9992" width="13.140625" style="53" bestFit="1" customWidth="1"/>
    <col min="9993" max="9993" width="11.85546875" style="53" bestFit="1" customWidth="1"/>
    <col min="9994" max="9994" width="12.85546875" style="53" bestFit="1" customWidth="1"/>
    <col min="9995" max="10240" width="9.140625" style="53"/>
    <col min="10241" max="10241" width="9.28515625" style="53" customWidth="1"/>
    <col min="10242" max="10242" width="39.85546875" style="53" customWidth="1"/>
    <col min="10243" max="10243" width="18.28515625" style="53" customWidth="1"/>
    <col min="10244" max="10244" width="23.85546875" style="53" customWidth="1"/>
    <col min="10245" max="10245" width="16" style="53" bestFit="1" customWidth="1"/>
    <col min="10246" max="10246" width="13.7109375" style="53" bestFit="1" customWidth="1"/>
    <col min="10247" max="10247" width="15.7109375" style="53" bestFit="1" customWidth="1"/>
    <col min="10248" max="10248" width="13.140625" style="53" bestFit="1" customWidth="1"/>
    <col min="10249" max="10249" width="11.85546875" style="53" bestFit="1" customWidth="1"/>
    <col min="10250" max="10250" width="12.85546875" style="53" bestFit="1" customWidth="1"/>
    <col min="10251" max="10496" width="9.140625" style="53"/>
    <col min="10497" max="10497" width="9.28515625" style="53" customWidth="1"/>
    <col min="10498" max="10498" width="39.85546875" style="53" customWidth="1"/>
    <col min="10499" max="10499" width="18.28515625" style="53" customWidth="1"/>
    <col min="10500" max="10500" width="23.85546875" style="53" customWidth="1"/>
    <col min="10501" max="10501" width="16" style="53" bestFit="1" customWidth="1"/>
    <col min="10502" max="10502" width="13.7109375" style="53" bestFit="1" customWidth="1"/>
    <col min="10503" max="10503" width="15.7109375" style="53" bestFit="1" customWidth="1"/>
    <col min="10504" max="10504" width="13.140625" style="53" bestFit="1" customWidth="1"/>
    <col min="10505" max="10505" width="11.85546875" style="53" bestFit="1" customWidth="1"/>
    <col min="10506" max="10506" width="12.85546875" style="53" bestFit="1" customWidth="1"/>
    <col min="10507" max="10752" width="9.140625" style="53"/>
    <col min="10753" max="10753" width="9.28515625" style="53" customWidth="1"/>
    <col min="10754" max="10754" width="39.85546875" style="53" customWidth="1"/>
    <col min="10755" max="10755" width="18.28515625" style="53" customWidth="1"/>
    <col min="10756" max="10756" width="23.85546875" style="53" customWidth="1"/>
    <col min="10757" max="10757" width="16" style="53" bestFit="1" customWidth="1"/>
    <col min="10758" max="10758" width="13.7109375" style="53" bestFit="1" customWidth="1"/>
    <col min="10759" max="10759" width="15.7109375" style="53" bestFit="1" customWidth="1"/>
    <col min="10760" max="10760" width="13.140625" style="53" bestFit="1" customWidth="1"/>
    <col min="10761" max="10761" width="11.85546875" style="53" bestFit="1" customWidth="1"/>
    <col min="10762" max="10762" width="12.85546875" style="53" bestFit="1" customWidth="1"/>
    <col min="10763" max="11008" width="9.140625" style="53"/>
    <col min="11009" max="11009" width="9.28515625" style="53" customWidth="1"/>
    <col min="11010" max="11010" width="39.85546875" style="53" customWidth="1"/>
    <col min="11011" max="11011" width="18.28515625" style="53" customWidth="1"/>
    <col min="11012" max="11012" width="23.85546875" style="53" customWidth="1"/>
    <col min="11013" max="11013" width="16" style="53" bestFit="1" customWidth="1"/>
    <col min="11014" max="11014" width="13.7109375" style="53" bestFit="1" customWidth="1"/>
    <col min="11015" max="11015" width="15.7109375" style="53" bestFit="1" customWidth="1"/>
    <col min="11016" max="11016" width="13.140625" style="53" bestFit="1" customWidth="1"/>
    <col min="11017" max="11017" width="11.85546875" style="53" bestFit="1" customWidth="1"/>
    <col min="11018" max="11018" width="12.85546875" style="53" bestFit="1" customWidth="1"/>
    <col min="11019" max="11264" width="9.140625" style="53"/>
    <col min="11265" max="11265" width="9.28515625" style="53" customWidth="1"/>
    <col min="11266" max="11266" width="39.85546875" style="53" customWidth="1"/>
    <col min="11267" max="11267" width="18.28515625" style="53" customWidth="1"/>
    <col min="11268" max="11268" width="23.85546875" style="53" customWidth="1"/>
    <col min="11269" max="11269" width="16" style="53" bestFit="1" customWidth="1"/>
    <col min="11270" max="11270" width="13.7109375" style="53" bestFit="1" customWidth="1"/>
    <col min="11271" max="11271" width="15.7109375" style="53" bestFit="1" customWidth="1"/>
    <col min="11272" max="11272" width="13.140625" style="53" bestFit="1" customWidth="1"/>
    <col min="11273" max="11273" width="11.85546875" style="53" bestFit="1" customWidth="1"/>
    <col min="11274" max="11274" width="12.85546875" style="53" bestFit="1" customWidth="1"/>
    <col min="11275" max="11520" width="9.140625" style="53"/>
    <col min="11521" max="11521" width="9.28515625" style="53" customWidth="1"/>
    <col min="11522" max="11522" width="39.85546875" style="53" customWidth="1"/>
    <col min="11523" max="11523" width="18.28515625" style="53" customWidth="1"/>
    <col min="11524" max="11524" width="23.85546875" style="53" customWidth="1"/>
    <col min="11525" max="11525" width="16" style="53" bestFit="1" customWidth="1"/>
    <col min="11526" max="11526" width="13.7109375" style="53" bestFit="1" customWidth="1"/>
    <col min="11527" max="11527" width="15.7109375" style="53" bestFit="1" customWidth="1"/>
    <col min="11528" max="11528" width="13.140625" style="53" bestFit="1" customWidth="1"/>
    <col min="11529" max="11529" width="11.85546875" style="53" bestFit="1" customWidth="1"/>
    <col min="11530" max="11530" width="12.85546875" style="53" bestFit="1" customWidth="1"/>
    <col min="11531" max="11776" width="9.140625" style="53"/>
    <col min="11777" max="11777" width="9.28515625" style="53" customWidth="1"/>
    <col min="11778" max="11778" width="39.85546875" style="53" customWidth="1"/>
    <col min="11779" max="11779" width="18.28515625" style="53" customWidth="1"/>
    <col min="11780" max="11780" width="23.85546875" style="53" customWidth="1"/>
    <col min="11781" max="11781" width="16" style="53" bestFit="1" customWidth="1"/>
    <col min="11782" max="11782" width="13.7109375" style="53" bestFit="1" customWidth="1"/>
    <col min="11783" max="11783" width="15.7109375" style="53" bestFit="1" customWidth="1"/>
    <col min="11784" max="11784" width="13.140625" style="53" bestFit="1" customWidth="1"/>
    <col min="11785" max="11785" width="11.85546875" style="53" bestFit="1" customWidth="1"/>
    <col min="11786" max="11786" width="12.85546875" style="53" bestFit="1" customWidth="1"/>
    <col min="11787" max="12032" width="9.140625" style="53"/>
    <col min="12033" max="12033" width="9.28515625" style="53" customWidth="1"/>
    <col min="12034" max="12034" width="39.85546875" style="53" customWidth="1"/>
    <col min="12035" max="12035" width="18.28515625" style="53" customWidth="1"/>
    <col min="12036" max="12036" width="23.85546875" style="53" customWidth="1"/>
    <col min="12037" max="12037" width="16" style="53" bestFit="1" customWidth="1"/>
    <col min="12038" max="12038" width="13.7109375" style="53" bestFit="1" customWidth="1"/>
    <col min="12039" max="12039" width="15.7109375" style="53" bestFit="1" customWidth="1"/>
    <col min="12040" max="12040" width="13.140625" style="53" bestFit="1" customWidth="1"/>
    <col min="12041" max="12041" width="11.85546875" style="53" bestFit="1" customWidth="1"/>
    <col min="12042" max="12042" width="12.85546875" style="53" bestFit="1" customWidth="1"/>
    <col min="12043" max="12288" width="9.140625" style="53"/>
    <col min="12289" max="12289" width="9.28515625" style="53" customWidth="1"/>
    <col min="12290" max="12290" width="39.85546875" style="53" customWidth="1"/>
    <col min="12291" max="12291" width="18.28515625" style="53" customWidth="1"/>
    <col min="12292" max="12292" width="23.85546875" style="53" customWidth="1"/>
    <col min="12293" max="12293" width="16" style="53" bestFit="1" customWidth="1"/>
    <col min="12294" max="12294" width="13.7109375" style="53" bestFit="1" customWidth="1"/>
    <col min="12295" max="12295" width="15.7109375" style="53" bestFit="1" customWidth="1"/>
    <col min="12296" max="12296" width="13.140625" style="53" bestFit="1" customWidth="1"/>
    <col min="12297" max="12297" width="11.85546875" style="53" bestFit="1" customWidth="1"/>
    <col min="12298" max="12298" width="12.85546875" style="53" bestFit="1" customWidth="1"/>
    <col min="12299" max="12544" width="9.140625" style="53"/>
    <col min="12545" max="12545" width="9.28515625" style="53" customWidth="1"/>
    <col min="12546" max="12546" width="39.85546875" style="53" customWidth="1"/>
    <col min="12547" max="12547" width="18.28515625" style="53" customWidth="1"/>
    <col min="12548" max="12548" width="23.85546875" style="53" customWidth="1"/>
    <col min="12549" max="12549" width="16" style="53" bestFit="1" customWidth="1"/>
    <col min="12550" max="12550" width="13.7109375" style="53" bestFit="1" customWidth="1"/>
    <col min="12551" max="12551" width="15.7109375" style="53" bestFit="1" customWidth="1"/>
    <col min="12552" max="12552" width="13.140625" style="53" bestFit="1" customWidth="1"/>
    <col min="12553" max="12553" width="11.85546875" style="53" bestFit="1" customWidth="1"/>
    <col min="12554" max="12554" width="12.85546875" style="53" bestFit="1" customWidth="1"/>
    <col min="12555" max="12800" width="9.140625" style="53"/>
    <col min="12801" max="12801" width="9.28515625" style="53" customWidth="1"/>
    <col min="12802" max="12802" width="39.85546875" style="53" customWidth="1"/>
    <col min="12803" max="12803" width="18.28515625" style="53" customWidth="1"/>
    <col min="12804" max="12804" width="23.85546875" style="53" customWidth="1"/>
    <col min="12805" max="12805" width="16" style="53" bestFit="1" customWidth="1"/>
    <col min="12806" max="12806" width="13.7109375" style="53" bestFit="1" customWidth="1"/>
    <col min="12807" max="12807" width="15.7109375" style="53" bestFit="1" customWidth="1"/>
    <col min="12808" max="12808" width="13.140625" style="53" bestFit="1" customWidth="1"/>
    <col min="12809" max="12809" width="11.85546875" style="53" bestFit="1" customWidth="1"/>
    <col min="12810" max="12810" width="12.85546875" style="53" bestFit="1" customWidth="1"/>
    <col min="12811" max="13056" width="9.140625" style="53"/>
    <col min="13057" max="13057" width="9.28515625" style="53" customWidth="1"/>
    <col min="13058" max="13058" width="39.85546875" style="53" customWidth="1"/>
    <col min="13059" max="13059" width="18.28515625" style="53" customWidth="1"/>
    <col min="13060" max="13060" width="23.85546875" style="53" customWidth="1"/>
    <col min="13061" max="13061" width="16" style="53" bestFit="1" customWidth="1"/>
    <col min="13062" max="13062" width="13.7109375" style="53" bestFit="1" customWidth="1"/>
    <col min="13063" max="13063" width="15.7109375" style="53" bestFit="1" customWidth="1"/>
    <col min="13064" max="13064" width="13.140625" style="53" bestFit="1" customWidth="1"/>
    <col min="13065" max="13065" width="11.85546875" style="53" bestFit="1" customWidth="1"/>
    <col min="13066" max="13066" width="12.85546875" style="53" bestFit="1" customWidth="1"/>
    <col min="13067" max="13312" width="9.140625" style="53"/>
    <col min="13313" max="13313" width="9.28515625" style="53" customWidth="1"/>
    <col min="13314" max="13314" width="39.85546875" style="53" customWidth="1"/>
    <col min="13315" max="13315" width="18.28515625" style="53" customWidth="1"/>
    <col min="13316" max="13316" width="23.85546875" style="53" customWidth="1"/>
    <col min="13317" max="13317" width="16" style="53" bestFit="1" customWidth="1"/>
    <col min="13318" max="13318" width="13.7109375" style="53" bestFit="1" customWidth="1"/>
    <col min="13319" max="13319" width="15.7109375" style="53" bestFit="1" customWidth="1"/>
    <col min="13320" max="13320" width="13.140625" style="53" bestFit="1" customWidth="1"/>
    <col min="13321" max="13321" width="11.85546875" style="53" bestFit="1" customWidth="1"/>
    <col min="13322" max="13322" width="12.85546875" style="53" bestFit="1" customWidth="1"/>
    <col min="13323" max="13568" width="9.140625" style="53"/>
    <col min="13569" max="13569" width="9.28515625" style="53" customWidth="1"/>
    <col min="13570" max="13570" width="39.85546875" style="53" customWidth="1"/>
    <col min="13571" max="13571" width="18.28515625" style="53" customWidth="1"/>
    <col min="13572" max="13572" width="23.85546875" style="53" customWidth="1"/>
    <col min="13573" max="13573" width="16" style="53" bestFit="1" customWidth="1"/>
    <col min="13574" max="13574" width="13.7109375" style="53" bestFit="1" customWidth="1"/>
    <col min="13575" max="13575" width="15.7109375" style="53" bestFit="1" customWidth="1"/>
    <col min="13576" max="13576" width="13.140625" style="53" bestFit="1" customWidth="1"/>
    <col min="13577" max="13577" width="11.85546875" style="53" bestFit="1" customWidth="1"/>
    <col min="13578" max="13578" width="12.85546875" style="53" bestFit="1" customWidth="1"/>
    <col min="13579" max="13824" width="9.140625" style="53"/>
    <col min="13825" max="13825" width="9.28515625" style="53" customWidth="1"/>
    <col min="13826" max="13826" width="39.85546875" style="53" customWidth="1"/>
    <col min="13827" max="13827" width="18.28515625" style="53" customWidth="1"/>
    <col min="13828" max="13828" width="23.85546875" style="53" customWidth="1"/>
    <col min="13829" max="13829" width="16" style="53" bestFit="1" customWidth="1"/>
    <col min="13830" max="13830" width="13.7109375" style="53" bestFit="1" customWidth="1"/>
    <col min="13831" max="13831" width="15.7109375" style="53" bestFit="1" customWidth="1"/>
    <col min="13832" max="13832" width="13.140625" style="53" bestFit="1" customWidth="1"/>
    <col min="13833" max="13833" width="11.85546875" style="53" bestFit="1" customWidth="1"/>
    <col min="13834" max="13834" width="12.85546875" style="53" bestFit="1" customWidth="1"/>
    <col min="13835" max="14080" width="9.140625" style="53"/>
    <col min="14081" max="14081" width="9.28515625" style="53" customWidth="1"/>
    <col min="14082" max="14082" width="39.85546875" style="53" customWidth="1"/>
    <col min="14083" max="14083" width="18.28515625" style="53" customWidth="1"/>
    <col min="14084" max="14084" width="23.85546875" style="53" customWidth="1"/>
    <col min="14085" max="14085" width="16" style="53" bestFit="1" customWidth="1"/>
    <col min="14086" max="14086" width="13.7109375" style="53" bestFit="1" customWidth="1"/>
    <col min="14087" max="14087" width="15.7109375" style="53" bestFit="1" customWidth="1"/>
    <col min="14088" max="14088" width="13.140625" style="53" bestFit="1" customWidth="1"/>
    <col min="14089" max="14089" width="11.85546875" style="53" bestFit="1" customWidth="1"/>
    <col min="14090" max="14090" width="12.85546875" style="53" bestFit="1" customWidth="1"/>
    <col min="14091" max="14336" width="9.140625" style="53"/>
    <col min="14337" max="14337" width="9.28515625" style="53" customWidth="1"/>
    <col min="14338" max="14338" width="39.85546875" style="53" customWidth="1"/>
    <col min="14339" max="14339" width="18.28515625" style="53" customWidth="1"/>
    <col min="14340" max="14340" width="23.85546875" style="53" customWidth="1"/>
    <col min="14341" max="14341" width="16" style="53" bestFit="1" customWidth="1"/>
    <col min="14342" max="14342" width="13.7109375" style="53" bestFit="1" customWidth="1"/>
    <col min="14343" max="14343" width="15.7109375" style="53" bestFit="1" customWidth="1"/>
    <col min="14344" max="14344" width="13.140625" style="53" bestFit="1" customWidth="1"/>
    <col min="14345" max="14345" width="11.85546875" style="53" bestFit="1" customWidth="1"/>
    <col min="14346" max="14346" width="12.85546875" style="53" bestFit="1" customWidth="1"/>
    <col min="14347" max="14592" width="9.140625" style="53"/>
    <col min="14593" max="14593" width="9.28515625" style="53" customWidth="1"/>
    <col min="14594" max="14594" width="39.85546875" style="53" customWidth="1"/>
    <col min="14595" max="14595" width="18.28515625" style="53" customWidth="1"/>
    <col min="14596" max="14596" width="23.85546875" style="53" customWidth="1"/>
    <col min="14597" max="14597" width="16" style="53" bestFit="1" customWidth="1"/>
    <col min="14598" max="14598" width="13.7109375" style="53" bestFit="1" customWidth="1"/>
    <col min="14599" max="14599" width="15.7109375" style="53" bestFit="1" customWidth="1"/>
    <col min="14600" max="14600" width="13.140625" style="53" bestFit="1" customWidth="1"/>
    <col min="14601" max="14601" width="11.85546875" style="53" bestFit="1" customWidth="1"/>
    <col min="14602" max="14602" width="12.85546875" style="53" bestFit="1" customWidth="1"/>
    <col min="14603" max="14848" width="9.140625" style="53"/>
    <col min="14849" max="14849" width="9.28515625" style="53" customWidth="1"/>
    <col min="14850" max="14850" width="39.85546875" style="53" customWidth="1"/>
    <col min="14851" max="14851" width="18.28515625" style="53" customWidth="1"/>
    <col min="14852" max="14852" width="23.85546875" style="53" customWidth="1"/>
    <col min="14853" max="14853" width="16" style="53" bestFit="1" customWidth="1"/>
    <col min="14854" max="14854" width="13.7109375" style="53" bestFit="1" customWidth="1"/>
    <col min="14855" max="14855" width="15.7109375" style="53" bestFit="1" customWidth="1"/>
    <col min="14856" max="14856" width="13.140625" style="53" bestFit="1" customWidth="1"/>
    <col min="14857" max="14857" width="11.85546875" style="53" bestFit="1" customWidth="1"/>
    <col min="14858" max="14858" width="12.85546875" style="53" bestFit="1" customWidth="1"/>
    <col min="14859" max="15104" width="9.140625" style="53"/>
    <col min="15105" max="15105" width="9.28515625" style="53" customWidth="1"/>
    <col min="15106" max="15106" width="39.85546875" style="53" customWidth="1"/>
    <col min="15107" max="15107" width="18.28515625" style="53" customWidth="1"/>
    <col min="15108" max="15108" width="23.85546875" style="53" customWidth="1"/>
    <col min="15109" max="15109" width="16" style="53" bestFit="1" customWidth="1"/>
    <col min="15110" max="15110" width="13.7109375" style="53" bestFit="1" customWidth="1"/>
    <col min="15111" max="15111" width="15.7109375" style="53" bestFit="1" customWidth="1"/>
    <col min="15112" max="15112" width="13.140625" style="53" bestFit="1" customWidth="1"/>
    <col min="15113" max="15113" width="11.85546875" style="53" bestFit="1" customWidth="1"/>
    <col min="15114" max="15114" width="12.85546875" style="53" bestFit="1" customWidth="1"/>
    <col min="15115" max="15360" width="9.140625" style="53"/>
    <col min="15361" max="15361" width="9.28515625" style="53" customWidth="1"/>
    <col min="15362" max="15362" width="39.85546875" style="53" customWidth="1"/>
    <col min="15363" max="15363" width="18.28515625" style="53" customWidth="1"/>
    <col min="15364" max="15364" width="23.85546875" style="53" customWidth="1"/>
    <col min="15365" max="15365" width="16" style="53" bestFit="1" customWidth="1"/>
    <col min="15366" max="15366" width="13.7109375" style="53" bestFit="1" customWidth="1"/>
    <col min="15367" max="15367" width="15.7109375" style="53" bestFit="1" customWidth="1"/>
    <col min="15368" max="15368" width="13.140625" style="53" bestFit="1" customWidth="1"/>
    <col min="15369" max="15369" width="11.85546875" style="53" bestFit="1" customWidth="1"/>
    <col min="15370" max="15370" width="12.85546875" style="53" bestFit="1" customWidth="1"/>
    <col min="15371" max="15616" width="9.140625" style="53"/>
    <col min="15617" max="15617" width="9.28515625" style="53" customWidth="1"/>
    <col min="15618" max="15618" width="39.85546875" style="53" customWidth="1"/>
    <col min="15619" max="15619" width="18.28515625" style="53" customWidth="1"/>
    <col min="15620" max="15620" width="23.85546875" style="53" customWidth="1"/>
    <col min="15621" max="15621" width="16" style="53" bestFit="1" customWidth="1"/>
    <col min="15622" max="15622" width="13.7109375" style="53" bestFit="1" customWidth="1"/>
    <col min="15623" max="15623" width="15.7109375" style="53" bestFit="1" customWidth="1"/>
    <col min="15624" max="15624" width="13.140625" style="53" bestFit="1" customWidth="1"/>
    <col min="15625" max="15625" width="11.85546875" style="53" bestFit="1" customWidth="1"/>
    <col min="15626" max="15626" width="12.85546875" style="53" bestFit="1" customWidth="1"/>
    <col min="15627" max="15872" width="9.140625" style="53"/>
    <col min="15873" max="15873" width="9.28515625" style="53" customWidth="1"/>
    <col min="15874" max="15874" width="39.85546875" style="53" customWidth="1"/>
    <col min="15875" max="15875" width="18.28515625" style="53" customWidth="1"/>
    <col min="15876" max="15876" width="23.85546875" style="53" customWidth="1"/>
    <col min="15877" max="15877" width="16" style="53" bestFit="1" customWidth="1"/>
    <col min="15878" max="15878" width="13.7109375" style="53" bestFit="1" customWidth="1"/>
    <col min="15879" max="15879" width="15.7109375" style="53" bestFit="1" customWidth="1"/>
    <col min="15880" max="15880" width="13.140625" style="53" bestFit="1" customWidth="1"/>
    <col min="15881" max="15881" width="11.85546875" style="53" bestFit="1" customWidth="1"/>
    <col min="15882" max="15882" width="12.85546875" style="53" bestFit="1" customWidth="1"/>
    <col min="15883" max="16128" width="9.140625" style="53"/>
    <col min="16129" max="16129" width="9.28515625" style="53" customWidth="1"/>
    <col min="16130" max="16130" width="39.85546875" style="53" customWidth="1"/>
    <col min="16131" max="16131" width="18.28515625" style="53" customWidth="1"/>
    <col min="16132" max="16132" width="23.85546875" style="53" customWidth="1"/>
    <col min="16133" max="16133" width="16" style="53" bestFit="1" customWidth="1"/>
    <col min="16134" max="16134" width="13.7109375" style="53" bestFit="1" customWidth="1"/>
    <col min="16135" max="16135" width="15.7109375" style="53" bestFit="1" customWidth="1"/>
    <col min="16136" max="16136" width="13.140625" style="53" bestFit="1" customWidth="1"/>
    <col min="16137" max="16137" width="11.85546875" style="53" bestFit="1" customWidth="1"/>
    <col min="16138" max="16138" width="12.85546875" style="53" bestFit="1" customWidth="1"/>
    <col min="16139" max="16384" width="9.140625" style="53"/>
  </cols>
  <sheetData>
    <row r="3" spans="1:7" ht="15.75" customHeight="1">
      <c r="A3" s="543" t="s">
        <v>255</v>
      </c>
      <c r="B3" s="543"/>
      <c r="C3" s="543"/>
      <c r="D3" s="543"/>
      <c r="E3" s="52"/>
      <c r="F3" s="52"/>
      <c r="G3" s="52"/>
    </row>
    <row r="4" spans="1:7">
      <c r="A4" s="543"/>
      <c r="B4" s="543"/>
      <c r="C4" s="543"/>
      <c r="D4" s="543"/>
      <c r="E4" s="52"/>
      <c r="F4" s="52"/>
      <c r="G4" s="52"/>
    </row>
    <row r="5" spans="1:7">
      <c r="A5" s="54"/>
      <c r="B5" s="52"/>
      <c r="C5" s="52"/>
      <c r="D5" s="52"/>
      <c r="E5" s="52"/>
      <c r="F5" s="52"/>
      <c r="G5" s="52"/>
    </row>
    <row r="6" spans="1:7" ht="15.75" customHeight="1">
      <c r="A6" s="544" t="s">
        <v>550</v>
      </c>
      <c r="B6" s="544"/>
      <c r="C6" s="544"/>
      <c r="D6" s="544"/>
      <c r="E6" s="52"/>
      <c r="F6" s="52"/>
      <c r="G6" s="52"/>
    </row>
    <row r="7" spans="1:7">
      <c r="A7" s="522"/>
      <c r="B7" s="522"/>
      <c r="C7" s="522"/>
      <c r="D7" s="522"/>
    </row>
    <row r="8" spans="1:7">
      <c r="A8" s="237" t="s">
        <v>551</v>
      </c>
      <c r="B8" s="238"/>
      <c r="C8" s="187"/>
      <c r="D8" s="187"/>
    </row>
    <row r="9" spans="1:7">
      <c r="A9" s="522"/>
      <c r="B9" s="522"/>
      <c r="C9" s="522"/>
      <c r="D9" s="522"/>
    </row>
    <row r="10" spans="1:7">
      <c r="A10" s="57" t="s">
        <v>256</v>
      </c>
      <c r="B10" s="188"/>
      <c r="C10" s="187"/>
      <c r="D10" s="187"/>
    </row>
    <row r="11" spans="1:7">
      <c r="A11" s="59" t="s">
        <v>257</v>
      </c>
      <c r="B11" s="541" t="s">
        <v>258</v>
      </c>
      <c r="C11" s="542"/>
      <c r="D11" s="239">
        <v>42550</v>
      </c>
    </row>
    <row r="12" spans="1:7">
      <c r="A12" s="59" t="s">
        <v>259</v>
      </c>
      <c r="B12" s="62" t="s">
        <v>260</v>
      </c>
      <c r="C12" s="63"/>
      <c r="D12" s="240" t="s">
        <v>374</v>
      </c>
    </row>
    <row r="13" spans="1:7">
      <c r="A13" s="59" t="s">
        <v>261</v>
      </c>
      <c r="B13" s="541" t="s">
        <v>262</v>
      </c>
      <c r="C13" s="542"/>
      <c r="D13" s="240">
        <v>2016</v>
      </c>
    </row>
    <row r="14" spans="1:7">
      <c r="A14" s="64" t="s">
        <v>263</v>
      </c>
      <c r="B14" s="65" t="s">
        <v>555</v>
      </c>
      <c r="C14" s="66"/>
      <c r="D14" s="239">
        <v>42625</v>
      </c>
    </row>
    <row r="16" spans="1:7">
      <c r="A16" s="190"/>
    </row>
    <row r="17" spans="1:7">
      <c r="A17" s="523"/>
      <c r="B17" s="523"/>
      <c r="C17" s="523"/>
      <c r="D17" s="523"/>
      <c r="E17" s="523"/>
      <c r="F17" s="523"/>
      <c r="G17" s="523"/>
    </row>
    <row r="18" spans="1:7" ht="35.25" customHeight="1">
      <c r="A18" s="545" t="s">
        <v>264</v>
      </c>
      <c r="B18" s="545"/>
      <c r="C18" s="67" t="s">
        <v>265</v>
      </c>
      <c r="D18" s="67" t="s">
        <v>266</v>
      </c>
    </row>
    <row r="19" spans="1:7">
      <c r="A19" s="241">
        <v>1</v>
      </c>
      <c r="B19" s="242" t="s">
        <v>397</v>
      </c>
      <c r="C19" s="241" t="s">
        <v>267</v>
      </c>
      <c r="D19" s="243">
        <v>3</v>
      </c>
    </row>
    <row r="20" spans="1:7">
      <c r="A20" s="68"/>
      <c r="B20" s="69"/>
      <c r="C20" s="68"/>
      <c r="D20" s="70"/>
    </row>
    <row r="21" spans="1:7">
      <c r="A21" s="522" t="s">
        <v>268</v>
      </c>
      <c r="B21" s="522"/>
      <c r="C21" s="522"/>
      <c r="D21" s="522"/>
      <c r="E21" s="522"/>
      <c r="F21" s="522"/>
      <c r="G21" s="522"/>
    </row>
    <row r="22" spans="1:7">
      <c r="A22" s="71"/>
    </row>
    <row r="23" spans="1:7">
      <c r="A23" s="57" t="s">
        <v>269</v>
      </c>
    </row>
    <row r="24" spans="1:7">
      <c r="A24" s="57" t="s">
        <v>270</v>
      </c>
    </row>
    <row r="25" spans="1:7">
      <c r="A25" s="72" t="s">
        <v>271</v>
      </c>
      <c r="B25" s="60"/>
      <c r="C25" s="60"/>
      <c r="D25" s="61"/>
    </row>
    <row r="26" spans="1:7" ht="31.5">
      <c r="A26" s="73">
        <v>1</v>
      </c>
      <c r="B26" s="74" t="s">
        <v>272</v>
      </c>
      <c r="C26" s="74"/>
      <c r="D26" s="244" t="str">
        <f>B19</f>
        <v>MANUTENÇÃO PREDIAL</v>
      </c>
    </row>
    <row r="27" spans="1:7" ht="30.75" customHeight="1">
      <c r="A27" s="73">
        <v>2</v>
      </c>
      <c r="B27" s="539" t="s">
        <v>273</v>
      </c>
      <c r="C27" s="540"/>
      <c r="D27" s="175">
        <v>1595</v>
      </c>
    </row>
    <row r="28" spans="1:7" ht="31.5" customHeight="1">
      <c r="A28" s="73">
        <v>3</v>
      </c>
      <c r="B28" s="539" t="s">
        <v>274</v>
      </c>
      <c r="C28" s="540"/>
      <c r="D28" s="176" t="s">
        <v>375</v>
      </c>
    </row>
    <row r="29" spans="1:7">
      <c r="A29" s="75">
        <v>4</v>
      </c>
      <c r="B29" s="76" t="s">
        <v>275</v>
      </c>
      <c r="C29" s="76"/>
      <c r="D29" s="77">
        <v>42206</v>
      </c>
    </row>
    <row r="30" spans="1:7">
      <c r="A30" s="71"/>
    </row>
    <row r="31" spans="1:7">
      <c r="A31" s="71"/>
    </row>
    <row r="32" spans="1:7">
      <c r="A32" s="71"/>
    </row>
    <row r="33" spans="1:7" ht="16.5" customHeight="1" thickBot="1">
      <c r="A33" s="523" t="s">
        <v>276</v>
      </c>
      <c r="B33" s="523"/>
      <c r="C33" s="523"/>
      <c r="D33" s="523"/>
      <c r="E33" s="523"/>
      <c r="F33" s="52"/>
      <c r="G33" s="52"/>
    </row>
    <row r="34" spans="1:7" ht="16.5" thickBot="1">
      <c r="A34" s="78" t="s">
        <v>277</v>
      </c>
      <c r="B34" s="79" t="s">
        <v>278</v>
      </c>
      <c r="C34" s="80"/>
      <c r="D34" s="81" t="s">
        <v>279</v>
      </c>
    </row>
    <row r="35" spans="1:7">
      <c r="A35" s="82" t="s">
        <v>257</v>
      </c>
      <c r="B35" s="83" t="s">
        <v>280</v>
      </c>
      <c r="C35" s="84"/>
      <c r="D35" s="85">
        <f>ROUND(((D27/220)*(365.25/12)*(40/6)),2)</f>
        <v>1471.15</v>
      </c>
    </row>
    <row r="36" spans="1:7">
      <c r="A36" s="191" t="s">
        <v>259</v>
      </c>
      <c r="B36" s="87" t="s">
        <v>281</v>
      </c>
      <c r="C36" s="88"/>
      <c r="D36" s="89">
        <v>0</v>
      </c>
    </row>
    <row r="37" spans="1:7">
      <c r="A37" s="191" t="s">
        <v>261</v>
      </c>
      <c r="B37" s="87" t="s">
        <v>282</v>
      </c>
      <c r="C37" s="90"/>
      <c r="D37" s="89">
        <v>0</v>
      </c>
    </row>
    <row r="38" spans="1:7">
      <c r="A38" s="191" t="s">
        <v>263</v>
      </c>
      <c r="B38" s="91" t="s">
        <v>552</v>
      </c>
      <c r="C38" s="88"/>
      <c r="D38" s="89">
        <v>0</v>
      </c>
    </row>
    <row r="39" spans="1:7">
      <c r="A39" s="191" t="s">
        <v>284</v>
      </c>
      <c r="B39" s="91" t="s">
        <v>285</v>
      </c>
      <c r="C39" s="92"/>
      <c r="D39" s="89">
        <v>0</v>
      </c>
    </row>
    <row r="40" spans="1:7">
      <c r="A40" s="191" t="s">
        <v>286</v>
      </c>
      <c r="B40" s="93" t="s">
        <v>287</v>
      </c>
      <c r="C40" s="92"/>
      <c r="D40" s="89">
        <v>0</v>
      </c>
    </row>
    <row r="41" spans="1:7">
      <c r="A41" s="191" t="s">
        <v>288</v>
      </c>
      <c r="B41" s="93" t="s">
        <v>289</v>
      </c>
      <c r="C41" s="92"/>
      <c r="D41" s="89">
        <v>0</v>
      </c>
    </row>
    <row r="42" spans="1:7" ht="16.5" thickBot="1">
      <c r="A42" s="191" t="s">
        <v>290</v>
      </c>
      <c r="B42" s="94" t="s">
        <v>376</v>
      </c>
      <c r="C42" s="95"/>
      <c r="D42" s="89">
        <v>0</v>
      </c>
    </row>
    <row r="43" spans="1:7" ht="16.5" thickBot="1">
      <c r="A43" s="96"/>
      <c r="B43" s="97" t="s">
        <v>292</v>
      </c>
      <c r="C43" s="98"/>
      <c r="D43" s="99">
        <f>SUM(D35:D42)</f>
        <v>1471.15</v>
      </c>
    </row>
    <row r="44" spans="1:7">
      <c r="A44" s="190"/>
    </row>
    <row r="45" spans="1:7" ht="16.5" thickBot="1">
      <c r="A45" s="523" t="s">
        <v>293</v>
      </c>
      <c r="B45" s="523"/>
      <c r="C45" s="523"/>
      <c r="D45" s="523"/>
      <c r="E45" s="523"/>
      <c r="F45" s="523"/>
      <c r="G45" s="523"/>
    </row>
    <row r="46" spans="1:7" ht="16.5" thickBot="1">
      <c r="A46" s="100">
        <v>2</v>
      </c>
      <c r="B46" s="189" t="s">
        <v>294</v>
      </c>
      <c r="C46" s="102"/>
      <c r="D46" s="100" t="s">
        <v>279</v>
      </c>
    </row>
    <row r="47" spans="1:7">
      <c r="A47" s="82" t="s">
        <v>257</v>
      </c>
      <c r="B47" s="83" t="s">
        <v>295</v>
      </c>
      <c r="C47" s="103"/>
      <c r="D47" s="104">
        <f>(3.7*44)-(D35*6%)</f>
        <v>74.531000000000006</v>
      </c>
    </row>
    <row r="48" spans="1:7" ht="31.5">
      <c r="A48" s="105" t="s">
        <v>259</v>
      </c>
      <c r="B48" s="106" t="s">
        <v>296</v>
      </c>
      <c r="C48" s="90"/>
      <c r="D48" s="107">
        <v>355</v>
      </c>
    </row>
    <row r="49" spans="1:7">
      <c r="A49" s="191" t="s">
        <v>261</v>
      </c>
      <c r="B49" s="87" t="s">
        <v>389</v>
      </c>
      <c r="C49" s="90"/>
      <c r="D49" s="107">
        <v>50</v>
      </c>
    </row>
    <row r="50" spans="1:7">
      <c r="A50" s="191" t="s">
        <v>263</v>
      </c>
      <c r="B50" s="87" t="s">
        <v>19</v>
      </c>
      <c r="C50" s="88"/>
      <c r="D50" s="107">
        <v>5.5</v>
      </c>
    </row>
    <row r="51" spans="1:7">
      <c r="A51" s="191" t="s">
        <v>284</v>
      </c>
      <c r="B51" s="87" t="s">
        <v>395</v>
      </c>
      <c r="C51" s="92"/>
      <c r="D51" s="108">
        <f>3.81*22</f>
        <v>83.820000000000007</v>
      </c>
    </row>
    <row r="52" spans="1:7" ht="16.5" customHeight="1">
      <c r="A52" s="191" t="s">
        <v>286</v>
      </c>
      <c r="B52" s="535" t="s">
        <v>394</v>
      </c>
      <c r="C52" s="536"/>
      <c r="D52" s="108">
        <f>355/12</f>
        <v>29.583333333333332</v>
      </c>
    </row>
    <row r="53" spans="1:7" ht="16.5" thickBot="1">
      <c r="A53" s="109" t="s">
        <v>288</v>
      </c>
      <c r="B53" s="537" t="s">
        <v>291</v>
      </c>
      <c r="C53" s="538"/>
      <c r="D53" s="110">
        <v>0</v>
      </c>
    </row>
    <row r="54" spans="1:7" ht="16.5" thickBot="1">
      <c r="A54" s="111"/>
      <c r="B54" s="189" t="s">
        <v>298</v>
      </c>
      <c r="C54" s="112"/>
      <c r="D54" s="113">
        <f>SUM(D47:D53)</f>
        <v>598.43433333333337</v>
      </c>
    </row>
    <row r="55" spans="1:7" ht="33" customHeight="1">
      <c r="A55" s="522" t="s">
        <v>299</v>
      </c>
      <c r="B55" s="522"/>
      <c r="C55" s="522"/>
      <c r="D55" s="522"/>
    </row>
    <row r="56" spans="1:7">
      <c r="A56" s="190"/>
    </row>
    <row r="57" spans="1:7" ht="16.5" thickBot="1">
      <c r="A57" s="523" t="s">
        <v>300</v>
      </c>
      <c r="B57" s="523"/>
      <c r="C57" s="523"/>
      <c r="D57" s="523"/>
      <c r="E57" s="523"/>
      <c r="F57" s="523"/>
      <c r="G57" s="523"/>
    </row>
    <row r="58" spans="1:7" ht="16.5" thickBot="1">
      <c r="A58" s="114">
        <v>3</v>
      </c>
      <c r="B58" s="189" t="s">
        <v>301</v>
      </c>
      <c r="C58" s="102"/>
      <c r="D58" s="100" t="s">
        <v>279</v>
      </c>
    </row>
    <row r="59" spans="1:7">
      <c r="A59" s="82" t="s">
        <v>257</v>
      </c>
      <c r="B59" s="83" t="s">
        <v>302</v>
      </c>
      <c r="C59" s="115"/>
      <c r="D59" s="116">
        <f>'ANEXO IV'!D69</f>
        <v>43</v>
      </c>
    </row>
    <row r="60" spans="1:7">
      <c r="A60" s="105" t="s">
        <v>259</v>
      </c>
      <c r="B60" s="106" t="s">
        <v>15</v>
      </c>
      <c r="C60" s="90"/>
      <c r="D60" s="107">
        <f>Equipamentos!E61/17</f>
        <v>12.164705882352942</v>
      </c>
    </row>
    <row r="61" spans="1:7">
      <c r="A61" s="191" t="s">
        <v>261</v>
      </c>
      <c r="B61" s="87" t="s">
        <v>21</v>
      </c>
      <c r="C61" s="90"/>
      <c r="D61" s="107">
        <v>19.68</v>
      </c>
    </row>
    <row r="62" spans="1:7">
      <c r="A62" s="191" t="s">
        <v>263</v>
      </c>
      <c r="B62" s="535" t="s">
        <v>18</v>
      </c>
      <c r="C62" s="536"/>
      <c r="D62" s="108">
        <f>Equipamentos!D140</f>
        <v>18.423333333333336</v>
      </c>
    </row>
    <row r="63" spans="1:7" ht="16.5" thickBot="1">
      <c r="A63" s="109" t="s">
        <v>284</v>
      </c>
      <c r="B63" s="537" t="s">
        <v>291</v>
      </c>
      <c r="C63" s="538"/>
      <c r="D63" s="110">
        <v>0</v>
      </c>
    </row>
    <row r="64" spans="1:7" ht="16.5" thickBot="1">
      <c r="A64" s="111"/>
      <c r="B64" s="189" t="s">
        <v>303</v>
      </c>
      <c r="C64" s="112"/>
      <c r="D64" s="113">
        <f>SUM(D59:D63)</f>
        <v>93.268039215686272</v>
      </c>
    </row>
    <row r="65" spans="1:7">
      <c r="A65" s="522" t="s">
        <v>304</v>
      </c>
      <c r="B65" s="522"/>
      <c r="C65" s="522"/>
      <c r="D65" s="522"/>
      <c r="E65" s="522"/>
      <c r="F65" s="522"/>
      <c r="G65" s="522"/>
    </row>
    <row r="66" spans="1:7">
      <c r="A66" s="190"/>
    </row>
    <row r="67" spans="1:7">
      <c r="A67" s="523" t="s">
        <v>305</v>
      </c>
      <c r="B67" s="523"/>
      <c r="C67" s="523"/>
      <c r="D67" s="523"/>
      <c r="E67" s="523"/>
      <c r="F67" s="523"/>
      <c r="G67" s="523"/>
    </row>
    <row r="68" spans="1:7" ht="16.5" thickBot="1">
      <c r="A68" s="523" t="s">
        <v>306</v>
      </c>
      <c r="B68" s="523"/>
      <c r="C68" s="523"/>
      <c r="D68" s="523"/>
      <c r="E68" s="523"/>
      <c r="F68" s="523"/>
      <c r="G68" s="523"/>
    </row>
    <row r="69" spans="1:7" ht="16.5" thickBot="1">
      <c r="A69" s="117" t="s">
        <v>307</v>
      </c>
      <c r="B69" s="118" t="s">
        <v>308</v>
      </c>
      <c r="C69" s="117" t="s">
        <v>4</v>
      </c>
      <c r="D69" s="117" t="s">
        <v>279</v>
      </c>
    </row>
    <row r="70" spans="1:7">
      <c r="A70" s="82" t="s">
        <v>257</v>
      </c>
      <c r="B70" s="119" t="s">
        <v>8</v>
      </c>
      <c r="C70" s="120">
        <v>0.2</v>
      </c>
      <c r="D70" s="104">
        <f t="shared" ref="D70:D77" si="0">ROUND($D$43*C70,2)</f>
        <v>294.23</v>
      </c>
    </row>
    <row r="71" spans="1:7">
      <c r="A71" s="105" t="s">
        <v>259</v>
      </c>
      <c r="B71" s="121" t="s">
        <v>309</v>
      </c>
      <c r="C71" s="122">
        <v>1.4999999999999999E-2</v>
      </c>
      <c r="D71" s="107">
        <f t="shared" si="0"/>
        <v>22.07</v>
      </c>
    </row>
    <row r="72" spans="1:7">
      <c r="A72" s="191" t="s">
        <v>261</v>
      </c>
      <c r="B72" s="123" t="s">
        <v>310</v>
      </c>
      <c r="C72" s="122">
        <v>0.01</v>
      </c>
      <c r="D72" s="107">
        <f t="shared" si="0"/>
        <v>14.71</v>
      </c>
    </row>
    <row r="73" spans="1:7">
      <c r="A73" s="105" t="s">
        <v>263</v>
      </c>
      <c r="B73" s="121" t="s">
        <v>9</v>
      </c>
      <c r="C73" s="122">
        <v>2E-3</v>
      </c>
      <c r="D73" s="107">
        <f t="shared" si="0"/>
        <v>2.94</v>
      </c>
    </row>
    <row r="74" spans="1:7">
      <c r="A74" s="191" t="s">
        <v>284</v>
      </c>
      <c r="B74" s="123" t="s">
        <v>10</v>
      </c>
      <c r="C74" s="122">
        <v>2.5000000000000001E-2</v>
      </c>
      <c r="D74" s="107">
        <f t="shared" si="0"/>
        <v>36.78</v>
      </c>
    </row>
    <row r="75" spans="1:7">
      <c r="A75" s="105" t="s">
        <v>286</v>
      </c>
      <c r="B75" s="121" t="s">
        <v>11</v>
      </c>
      <c r="C75" s="122">
        <v>0.08</v>
      </c>
      <c r="D75" s="107">
        <f t="shared" si="0"/>
        <v>117.69</v>
      </c>
    </row>
    <row r="76" spans="1:7" ht="31.5">
      <c r="A76" s="191" t="s">
        <v>288</v>
      </c>
      <c r="B76" s="123" t="s">
        <v>378</v>
      </c>
      <c r="C76" s="141">
        <v>3.0499999999999999E-2</v>
      </c>
      <c r="D76" s="245">
        <f t="shared" si="0"/>
        <v>44.87</v>
      </c>
    </row>
    <row r="77" spans="1:7" ht="16.5" thickBot="1">
      <c r="A77" s="124" t="s">
        <v>290</v>
      </c>
      <c r="B77" s="125" t="s">
        <v>12</v>
      </c>
      <c r="C77" s="126">
        <v>6.0000000000000001E-3</v>
      </c>
      <c r="D77" s="110">
        <f t="shared" si="0"/>
        <v>8.83</v>
      </c>
    </row>
    <row r="78" spans="1:7" ht="16.5" thickBot="1">
      <c r="A78" s="530" t="s">
        <v>7</v>
      </c>
      <c r="B78" s="531"/>
      <c r="C78" s="127">
        <f>SUM(C70:C77)</f>
        <v>0.36850000000000005</v>
      </c>
      <c r="D78" s="113">
        <f>SUM(D70:D77)</f>
        <v>542.12</v>
      </c>
    </row>
    <row r="79" spans="1:7">
      <c r="A79" s="534" t="s">
        <v>311</v>
      </c>
      <c r="B79" s="534"/>
      <c r="C79" s="534"/>
      <c r="D79" s="534"/>
    </row>
    <row r="80" spans="1:7" ht="16.5" customHeight="1">
      <c r="A80" s="534" t="s">
        <v>312</v>
      </c>
      <c r="B80" s="534"/>
      <c r="C80" s="534"/>
      <c r="D80" s="534"/>
    </row>
    <row r="81" spans="1:7">
      <c r="A81" s="190"/>
    </row>
    <row r="82" spans="1:7" ht="16.5" thickBot="1">
      <c r="A82" s="523" t="s">
        <v>313</v>
      </c>
      <c r="B82" s="523"/>
      <c r="C82" s="523"/>
      <c r="D82" s="523"/>
      <c r="E82" s="523"/>
      <c r="F82" s="523"/>
      <c r="G82" s="523"/>
    </row>
    <row r="83" spans="1:7" ht="16.5" thickBot="1">
      <c r="A83" s="117" t="s">
        <v>314</v>
      </c>
      <c r="B83" s="118" t="s">
        <v>315</v>
      </c>
      <c r="C83" s="117" t="s">
        <v>4</v>
      </c>
      <c r="D83" s="117" t="s">
        <v>279</v>
      </c>
    </row>
    <row r="84" spans="1:7">
      <c r="A84" s="82" t="s">
        <v>257</v>
      </c>
      <c r="B84" s="119" t="s">
        <v>316</v>
      </c>
      <c r="C84" s="120">
        <f>((5/56)*100)/100</f>
        <v>8.9285714285714288E-2</v>
      </c>
      <c r="D84" s="104">
        <f>ROUND($D$43*C84,2)</f>
        <v>131.35</v>
      </c>
    </row>
    <row r="85" spans="1:7">
      <c r="A85" s="105" t="s">
        <v>259</v>
      </c>
      <c r="B85" s="121" t="s">
        <v>317</v>
      </c>
      <c r="C85" s="128">
        <f>(1/3)*(5/56)</f>
        <v>2.976190476190476E-2</v>
      </c>
      <c r="D85" s="129">
        <f>ROUND($D$43*C85,2)</f>
        <v>43.78</v>
      </c>
    </row>
    <row r="86" spans="1:7">
      <c r="A86" s="130" t="s">
        <v>318</v>
      </c>
      <c r="B86" s="121"/>
      <c r="C86" s="131">
        <f>SUM(C84:C85)</f>
        <v>0.11904761904761904</v>
      </c>
      <c r="D86" s="132">
        <f>SUM(D84:D85)</f>
        <v>175.13</v>
      </c>
    </row>
    <row r="87" spans="1:7" ht="32.25" thickBot="1">
      <c r="A87" s="105" t="s">
        <v>261</v>
      </c>
      <c r="B87" s="121" t="s">
        <v>319</v>
      </c>
      <c r="C87" s="122">
        <f>D87/D43</f>
        <v>4.3870441491350304E-2</v>
      </c>
      <c r="D87" s="107">
        <f>ROUND(D78*C86,2)</f>
        <v>64.540000000000006</v>
      </c>
    </row>
    <row r="88" spans="1:7" ht="16.5" thickBot="1">
      <c r="A88" s="530" t="s">
        <v>7</v>
      </c>
      <c r="B88" s="531"/>
      <c r="C88" s="127">
        <f>C87+C86</f>
        <v>0.16291806053896934</v>
      </c>
      <c r="D88" s="113">
        <f>D86+D87</f>
        <v>239.67000000000002</v>
      </c>
    </row>
    <row r="89" spans="1:7">
      <c r="A89" s="190"/>
    </row>
    <row r="90" spans="1:7" ht="16.5" thickBot="1">
      <c r="A90" s="523" t="s">
        <v>320</v>
      </c>
      <c r="B90" s="523"/>
      <c r="C90" s="523"/>
      <c r="D90" s="523"/>
      <c r="E90" s="523"/>
      <c r="F90" s="523"/>
      <c r="G90" s="523"/>
    </row>
    <row r="91" spans="1:7" ht="16.5" thickBot="1">
      <c r="A91" s="117" t="s">
        <v>321</v>
      </c>
      <c r="B91" s="118" t="s">
        <v>322</v>
      </c>
      <c r="C91" s="117" t="s">
        <v>4</v>
      </c>
      <c r="D91" s="117" t="s">
        <v>279</v>
      </c>
    </row>
    <row r="92" spans="1:7">
      <c r="A92" s="82" t="s">
        <v>257</v>
      </c>
      <c r="B92" s="133" t="s">
        <v>323</v>
      </c>
      <c r="C92" s="120">
        <f>0.1111*0.02*0.3333</f>
        <v>7.4059259999999997E-4</v>
      </c>
      <c r="D92" s="104">
        <f>ROUND($D$43*C92,2)</f>
        <v>1.0900000000000001</v>
      </c>
    </row>
    <row r="93" spans="1:7" ht="32.25" thickBot="1">
      <c r="A93" s="109" t="s">
        <v>259</v>
      </c>
      <c r="B93" s="134" t="s">
        <v>324</v>
      </c>
      <c r="C93" s="126">
        <f>D93/D43</f>
        <v>2.7189613567617173E-4</v>
      </c>
      <c r="D93" s="110">
        <f>ROUND(D78*C92,2)</f>
        <v>0.4</v>
      </c>
    </row>
    <row r="94" spans="1:7" ht="16.5" thickBot="1">
      <c r="A94" s="530" t="s">
        <v>7</v>
      </c>
      <c r="B94" s="531"/>
      <c r="C94" s="127">
        <f>SUM(C92:C93)</f>
        <v>1.0124887356761716E-3</v>
      </c>
      <c r="D94" s="113">
        <f>SUM(D92:D93)</f>
        <v>1.4900000000000002</v>
      </c>
    </row>
    <row r="95" spans="1:7">
      <c r="A95" s="190"/>
    </row>
    <row r="96" spans="1:7">
      <c r="A96" s="190"/>
    </row>
    <row r="97" spans="1:7" ht="16.5" thickBot="1">
      <c r="A97" s="523" t="s">
        <v>325</v>
      </c>
      <c r="B97" s="523"/>
      <c r="C97" s="523"/>
      <c r="D97" s="523"/>
      <c r="E97" s="523"/>
      <c r="F97" s="523"/>
      <c r="G97" s="523"/>
    </row>
    <row r="98" spans="1:7" ht="16.5" thickBot="1">
      <c r="A98" s="117" t="s">
        <v>326</v>
      </c>
      <c r="B98" s="118" t="s">
        <v>327</v>
      </c>
      <c r="C98" s="117" t="s">
        <v>4</v>
      </c>
      <c r="D98" s="117" t="s">
        <v>279</v>
      </c>
    </row>
    <row r="99" spans="1:7">
      <c r="A99" s="82" t="s">
        <v>257</v>
      </c>
      <c r="B99" s="133" t="s">
        <v>328</v>
      </c>
      <c r="C99" s="135">
        <f>((1/12)*0.05)</f>
        <v>4.1666666666666666E-3</v>
      </c>
      <c r="D99" s="104">
        <f>ROUND($D$43*C99,2)</f>
        <v>6.13</v>
      </c>
    </row>
    <row r="100" spans="1:7" ht="31.5">
      <c r="A100" s="191" t="s">
        <v>259</v>
      </c>
      <c r="B100" s="91" t="s">
        <v>329</v>
      </c>
      <c r="C100" s="136">
        <f>D100/D43</f>
        <v>3.3307276620331028E-4</v>
      </c>
      <c r="D100" s="137">
        <f>ROUND(D75*C99,2)</f>
        <v>0.49</v>
      </c>
    </row>
    <row r="101" spans="1:7">
      <c r="A101" s="191" t="s">
        <v>261</v>
      </c>
      <c r="B101" s="138" t="s">
        <v>330</v>
      </c>
      <c r="C101" s="139">
        <f>0.08*0.5*0.9*(1+(5/56)+(5/56)+(1/3)*(5/56))</f>
        <v>4.3499999999999997E-2</v>
      </c>
      <c r="D101" s="107">
        <f>ROUND($D$43*C101,2)</f>
        <v>64</v>
      </c>
    </row>
    <row r="102" spans="1:7">
      <c r="A102" s="191" t="s">
        <v>263</v>
      </c>
      <c r="B102" s="138" t="s">
        <v>331</v>
      </c>
      <c r="C102" s="140">
        <f>(((7/30)/12))</f>
        <v>1.9444444444444445E-2</v>
      </c>
      <c r="D102" s="107">
        <f>ROUND($D$43*C102,2)</f>
        <v>28.61</v>
      </c>
    </row>
    <row r="103" spans="1:7" ht="31.5">
      <c r="A103" s="191" t="s">
        <v>284</v>
      </c>
      <c r="B103" s="138" t="s">
        <v>332</v>
      </c>
      <c r="C103" s="141">
        <f>D103/D43</f>
        <v>7.1644631750671234E-3</v>
      </c>
      <c r="D103" s="107">
        <f>ROUND(D78*C102,2)</f>
        <v>10.54</v>
      </c>
    </row>
    <row r="104" spans="1:7" ht="16.5" thickBot="1">
      <c r="A104" s="109" t="s">
        <v>286</v>
      </c>
      <c r="B104" s="134" t="s">
        <v>333</v>
      </c>
      <c r="C104" s="142">
        <f>(40%+10%)*C75*C102</f>
        <v>7.7777777777777784E-4</v>
      </c>
      <c r="D104" s="107">
        <f>ROUND($D$43*C104,2)</f>
        <v>1.1399999999999999</v>
      </c>
    </row>
    <row r="105" spans="1:7" ht="16.5" thickBot="1">
      <c r="A105" s="525" t="s">
        <v>7</v>
      </c>
      <c r="B105" s="526"/>
      <c r="C105" s="127">
        <f>SUM(C99:C104)</f>
        <v>7.5386424830159324E-2</v>
      </c>
      <c r="D105" s="143">
        <f>SUM(D99:D104)</f>
        <v>110.91000000000001</v>
      </c>
    </row>
    <row r="106" spans="1:7">
      <c r="A106" s="71"/>
    </row>
    <row r="107" spans="1:7" ht="16.5" thickBot="1">
      <c r="A107" s="523" t="s">
        <v>334</v>
      </c>
      <c r="B107" s="523"/>
      <c r="C107" s="523"/>
      <c r="D107" s="523"/>
      <c r="E107" s="523"/>
      <c r="F107" s="523"/>
      <c r="G107" s="523"/>
    </row>
    <row r="108" spans="1:7" ht="32.25" thickBot="1">
      <c r="A108" s="117" t="s">
        <v>335</v>
      </c>
      <c r="B108" s="118" t="s">
        <v>336</v>
      </c>
      <c r="C108" s="117" t="s">
        <v>4</v>
      </c>
      <c r="D108" s="117" t="s">
        <v>279</v>
      </c>
    </row>
    <row r="109" spans="1:7">
      <c r="A109" s="82" t="s">
        <v>257</v>
      </c>
      <c r="B109" s="133" t="s">
        <v>13</v>
      </c>
      <c r="C109" s="144">
        <f>(5/56)</f>
        <v>8.9285714285714288E-2</v>
      </c>
      <c r="D109" s="107">
        <f t="shared" ref="D109:D114" si="1">ROUND($D$43*C109,2)</f>
        <v>131.35</v>
      </c>
    </row>
    <row r="110" spans="1:7">
      <c r="A110" s="191" t="s">
        <v>259</v>
      </c>
      <c r="B110" s="138" t="s">
        <v>379</v>
      </c>
      <c r="C110" s="122">
        <f>(10.96/30)/12</f>
        <v>3.0444444444444444E-2</v>
      </c>
      <c r="D110" s="107">
        <f t="shared" si="1"/>
        <v>44.79</v>
      </c>
      <c r="E110" s="184"/>
    </row>
    <row r="111" spans="1:7">
      <c r="A111" s="191" t="s">
        <v>261</v>
      </c>
      <c r="B111" s="138" t="s">
        <v>337</v>
      </c>
      <c r="C111" s="122">
        <f>((5/30)/12)*0.015</f>
        <v>2.0833333333333332E-4</v>
      </c>
      <c r="D111" s="107">
        <f t="shared" si="1"/>
        <v>0.31</v>
      </c>
    </row>
    <row r="112" spans="1:7">
      <c r="A112" s="191" t="s">
        <v>263</v>
      </c>
      <c r="B112" s="138" t="s">
        <v>338</v>
      </c>
      <c r="C112" s="122">
        <f>((1/30)/12)</f>
        <v>2.7777777777777779E-3</v>
      </c>
      <c r="D112" s="107">
        <f t="shared" si="1"/>
        <v>4.09</v>
      </c>
    </row>
    <row r="113" spans="1:7">
      <c r="A113" s="191" t="s">
        <v>284</v>
      </c>
      <c r="B113" s="138" t="s">
        <v>339</v>
      </c>
      <c r="C113" s="122">
        <f>((15/30)/12)*0.0078</f>
        <v>3.2499999999999999E-4</v>
      </c>
      <c r="D113" s="107">
        <f t="shared" si="1"/>
        <v>0.48</v>
      </c>
    </row>
    <row r="114" spans="1:7">
      <c r="A114" s="191" t="s">
        <v>286</v>
      </c>
      <c r="B114" s="138" t="s">
        <v>291</v>
      </c>
      <c r="C114" s="145"/>
      <c r="D114" s="107">
        <f t="shared" si="1"/>
        <v>0</v>
      </c>
    </row>
    <row r="115" spans="1:7">
      <c r="A115" s="532" t="s">
        <v>318</v>
      </c>
      <c r="B115" s="533"/>
      <c r="C115" s="122">
        <f>SUM(C109:C114)</f>
        <v>0.12304126984126985</v>
      </c>
      <c r="D115" s="107">
        <f>SUM(D109:D114)</f>
        <v>181.01999999999998</v>
      </c>
    </row>
    <row r="116" spans="1:7" ht="32.25" thickBot="1">
      <c r="A116" s="109" t="s">
        <v>288</v>
      </c>
      <c r="B116" s="134" t="s">
        <v>340</v>
      </c>
      <c r="C116" s="142">
        <f>D116/$D$43</f>
        <v>4.5338680624001627E-2</v>
      </c>
      <c r="D116" s="107">
        <f>ROUND(D78*C115,2)</f>
        <v>66.7</v>
      </c>
    </row>
    <row r="117" spans="1:7" ht="16.5" thickBot="1">
      <c r="A117" s="525" t="s">
        <v>7</v>
      </c>
      <c r="B117" s="526"/>
      <c r="C117" s="127">
        <f>C116+C115</f>
        <v>0.16837995046527149</v>
      </c>
      <c r="D117" s="146">
        <f>D116+D115</f>
        <v>247.71999999999997</v>
      </c>
    </row>
    <row r="118" spans="1:7">
      <c r="A118" s="190" t="s">
        <v>341</v>
      </c>
    </row>
    <row r="119" spans="1:7" ht="16.5" thickBot="1">
      <c r="A119" s="522" t="s">
        <v>342</v>
      </c>
      <c r="B119" s="522"/>
      <c r="C119" s="522"/>
      <c r="D119" s="522"/>
      <c r="E119" s="522"/>
      <c r="F119" s="522"/>
      <c r="G119" s="522"/>
    </row>
    <row r="120" spans="1:7" ht="32.25" customHeight="1" thickBot="1">
      <c r="A120" s="147">
        <v>4</v>
      </c>
      <c r="B120" s="148" t="s">
        <v>343</v>
      </c>
      <c r="C120" s="149" t="s">
        <v>4</v>
      </c>
      <c r="D120" s="150" t="s">
        <v>279</v>
      </c>
    </row>
    <row r="121" spans="1:7">
      <c r="A121" s="82" t="s">
        <v>307</v>
      </c>
      <c r="B121" s="133" t="s">
        <v>344</v>
      </c>
      <c r="C121" s="142">
        <f t="shared" ref="C121:C126" si="2">D121/$D$43</f>
        <v>0.16291336709377019</v>
      </c>
      <c r="D121" s="107">
        <f>D88</f>
        <v>239.67000000000002</v>
      </c>
    </row>
    <row r="122" spans="1:7">
      <c r="A122" s="191" t="s">
        <v>314</v>
      </c>
      <c r="B122" s="138" t="s">
        <v>308</v>
      </c>
      <c r="C122" s="142">
        <f t="shared" si="2"/>
        <v>0.36850083268191547</v>
      </c>
      <c r="D122" s="107">
        <f>D78</f>
        <v>542.12</v>
      </c>
    </row>
    <row r="123" spans="1:7">
      <c r="A123" s="191" t="s">
        <v>321</v>
      </c>
      <c r="B123" s="138" t="s">
        <v>323</v>
      </c>
      <c r="C123" s="142">
        <f t="shared" si="2"/>
        <v>1.0128131053937397E-3</v>
      </c>
      <c r="D123" s="107">
        <f>D94</f>
        <v>1.4900000000000002</v>
      </c>
    </row>
    <row r="124" spans="1:7">
      <c r="A124" s="151" t="s">
        <v>326</v>
      </c>
      <c r="B124" s="152" t="s">
        <v>345</v>
      </c>
      <c r="C124" s="142">
        <f t="shared" si="2"/>
        <v>7.5390001019610506E-2</v>
      </c>
      <c r="D124" s="107">
        <f>D105</f>
        <v>110.91000000000001</v>
      </c>
    </row>
    <row r="125" spans="1:7">
      <c r="A125" s="153" t="s">
        <v>335</v>
      </c>
      <c r="B125" s="154" t="s">
        <v>346</v>
      </c>
      <c r="C125" s="142">
        <f t="shared" si="2"/>
        <v>0.16838527682425311</v>
      </c>
      <c r="D125" s="107">
        <f>D117</f>
        <v>247.71999999999997</v>
      </c>
    </row>
    <row r="126" spans="1:7" ht="16.5" thickBot="1">
      <c r="A126" s="191" t="s">
        <v>347</v>
      </c>
      <c r="B126" s="138" t="s">
        <v>291</v>
      </c>
      <c r="C126" s="142">
        <f t="shared" si="2"/>
        <v>0</v>
      </c>
      <c r="D126" s="107">
        <v>0</v>
      </c>
    </row>
    <row r="127" spans="1:7" ht="37.5" customHeight="1" thickBot="1">
      <c r="A127" s="530" t="s">
        <v>348</v>
      </c>
      <c r="B127" s="531"/>
      <c r="C127" s="127">
        <f>SUM(C121:C126)</f>
        <v>0.77620229072494284</v>
      </c>
      <c r="D127" s="113">
        <f>SUM(D121:D126)</f>
        <v>1141.9099999999999</v>
      </c>
    </row>
    <row r="128" spans="1:7">
      <c r="A128" s="155"/>
      <c r="B128" s="155"/>
      <c r="C128" s="156"/>
      <c r="D128" s="157"/>
      <c r="E128" s="158"/>
      <c r="F128" s="159"/>
      <c r="G128" s="159"/>
    </row>
    <row r="129" spans="1:8" ht="16.5" thickBot="1">
      <c r="A129" s="522" t="s">
        <v>349</v>
      </c>
      <c r="B129" s="522"/>
      <c r="C129" s="522"/>
      <c r="D129" s="522"/>
      <c r="E129" s="522"/>
      <c r="F129" s="522"/>
      <c r="G129" s="522"/>
      <c r="H129" s="160"/>
    </row>
    <row r="130" spans="1:8" ht="16.5" thickBot="1">
      <c r="A130" s="147" t="s">
        <v>350</v>
      </c>
      <c r="B130" s="148" t="s">
        <v>351</v>
      </c>
      <c r="C130" s="149" t="s">
        <v>4</v>
      </c>
      <c r="D130" s="114" t="s">
        <v>279</v>
      </c>
      <c r="E130" s="161">
        <f>D43+D54+D64+D78+D88+D94+D105+D117</f>
        <v>3304.7623725490189</v>
      </c>
      <c r="G130" s="160"/>
    </row>
    <row r="131" spans="1:8">
      <c r="A131" s="82" t="s">
        <v>257</v>
      </c>
      <c r="B131" s="133" t="s">
        <v>352</v>
      </c>
      <c r="C131" s="162">
        <v>6.9667999999999994E-2</v>
      </c>
      <c r="D131" s="163">
        <f>E130*C131</f>
        <v>230.23618497074503</v>
      </c>
      <c r="G131" s="160"/>
    </row>
    <row r="132" spans="1:8">
      <c r="A132" s="191" t="s">
        <v>259</v>
      </c>
      <c r="B132" s="138" t="s">
        <v>353</v>
      </c>
      <c r="C132" s="142"/>
      <c r="D132" s="164"/>
      <c r="F132" s="165"/>
    </row>
    <row r="133" spans="1:8">
      <c r="A133" s="191"/>
      <c r="B133" s="138" t="s">
        <v>354</v>
      </c>
      <c r="C133" s="142"/>
      <c r="D133" s="129"/>
      <c r="F133" s="182"/>
      <c r="G133" s="160"/>
    </row>
    <row r="134" spans="1:8">
      <c r="A134" s="191"/>
      <c r="B134" s="138" t="s">
        <v>355</v>
      </c>
      <c r="C134" s="142">
        <v>7.5999999999999998E-2</v>
      </c>
      <c r="D134" s="107">
        <f>$D$152*C134</f>
        <v>315.88828861268246</v>
      </c>
      <c r="E134" s="165">
        <f>D152</f>
        <v>4156.4248501668744</v>
      </c>
      <c r="G134" s="160"/>
    </row>
    <row r="135" spans="1:8">
      <c r="A135" s="191"/>
      <c r="B135" s="138" t="s">
        <v>356</v>
      </c>
      <c r="C135" s="142">
        <v>1.6500000000000001E-2</v>
      </c>
      <c r="D135" s="107">
        <f>$D$152*C135</f>
        <v>68.581010027753436</v>
      </c>
      <c r="E135" s="246"/>
      <c r="G135" s="160"/>
    </row>
    <row r="136" spans="1:8">
      <c r="A136" s="191"/>
      <c r="B136" s="138" t="s">
        <v>357</v>
      </c>
      <c r="C136" s="142"/>
      <c r="D136" s="107"/>
    </row>
    <row r="137" spans="1:8">
      <c r="A137" s="191"/>
      <c r="B137" s="138" t="s">
        <v>358</v>
      </c>
      <c r="C137" s="142">
        <v>0.04</v>
      </c>
      <c r="D137" s="107">
        <f>$D$152*C137</f>
        <v>166.25699400667497</v>
      </c>
      <c r="G137" s="160"/>
    </row>
    <row r="138" spans="1:8">
      <c r="A138" s="191"/>
      <c r="B138" s="138" t="s">
        <v>359</v>
      </c>
      <c r="C138" s="142"/>
      <c r="D138" s="107"/>
    </row>
    <row r="139" spans="1:8" ht="16.5" thickBot="1">
      <c r="A139" s="191" t="s">
        <v>261</v>
      </c>
      <c r="B139" s="138" t="s">
        <v>360</v>
      </c>
      <c r="C139" s="142">
        <v>0.02</v>
      </c>
      <c r="D139" s="107">
        <f>ROUND(E139*C139,2)</f>
        <v>70.7</v>
      </c>
      <c r="E139" s="132">
        <f>E130+D131</f>
        <v>3534.9985575197638</v>
      </c>
    </row>
    <row r="140" spans="1:8" ht="33" customHeight="1" thickBot="1">
      <c r="A140" s="527" t="s">
        <v>361</v>
      </c>
      <c r="B140" s="528"/>
      <c r="C140" s="529"/>
      <c r="D140" s="166">
        <f>D131+D134+D135+D137+D139</f>
        <v>851.66247761785598</v>
      </c>
    </row>
    <row r="141" spans="1:8">
      <c r="A141" s="522" t="s">
        <v>362</v>
      </c>
      <c r="B141" s="522"/>
      <c r="C141" s="522"/>
      <c r="D141" s="522"/>
      <c r="E141" s="522"/>
      <c r="F141" s="522"/>
      <c r="G141" s="522"/>
    </row>
    <row r="142" spans="1:8">
      <c r="A142" s="522" t="s">
        <v>363</v>
      </c>
      <c r="B142" s="522"/>
      <c r="C142" s="522"/>
      <c r="D142" s="522"/>
      <c r="E142" s="522"/>
      <c r="F142" s="522"/>
      <c r="G142" s="522"/>
    </row>
    <row r="143" spans="1:8">
      <c r="A143" s="190"/>
    </row>
    <row r="144" spans="1:8" ht="16.5" thickBot="1">
      <c r="A144" s="523" t="s">
        <v>364</v>
      </c>
      <c r="B144" s="523"/>
      <c r="C144" s="523"/>
      <c r="D144" s="523"/>
      <c r="E144" s="523"/>
      <c r="F144" s="523"/>
      <c r="G144" s="523"/>
    </row>
    <row r="145" spans="1:8" ht="32.25" customHeight="1" thickBot="1">
      <c r="A145" s="147"/>
      <c r="B145" s="524" t="s">
        <v>365</v>
      </c>
      <c r="C145" s="524"/>
      <c r="D145" s="167" t="s">
        <v>366</v>
      </c>
    </row>
    <row r="146" spans="1:8">
      <c r="A146" s="191" t="s">
        <v>257</v>
      </c>
      <c r="B146" s="138" t="s">
        <v>367</v>
      </c>
      <c r="C146" s="122">
        <f t="shared" ref="C146:C151" si="3">D146/$D$152</f>
        <v>0.35394601202543952</v>
      </c>
      <c r="D146" s="129">
        <f>D43</f>
        <v>1471.15</v>
      </c>
    </row>
    <row r="147" spans="1:8">
      <c r="A147" s="191" t="s">
        <v>259</v>
      </c>
      <c r="B147" s="138" t="s">
        <v>368</v>
      </c>
      <c r="C147" s="122">
        <f t="shared" si="3"/>
        <v>0.14397814345405693</v>
      </c>
      <c r="D147" s="129">
        <f>D54</f>
        <v>598.43433333333337</v>
      </c>
    </row>
    <row r="148" spans="1:8" ht="31.5">
      <c r="A148" s="191" t="s">
        <v>261</v>
      </c>
      <c r="B148" s="138" t="s">
        <v>369</v>
      </c>
      <c r="C148" s="122">
        <f t="shared" si="3"/>
        <v>2.2439486476446627E-2</v>
      </c>
      <c r="D148" s="129">
        <f>D64</f>
        <v>93.268039215686272</v>
      </c>
      <c r="E148" s="165">
        <f>D150+D131+D139</f>
        <v>3605.6985575197641</v>
      </c>
    </row>
    <row r="149" spans="1:8" ht="31.5">
      <c r="A149" s="191" t="s">
        <v>263</v>
      </c>
      <c r="B149" s="138" t="s">
        <v>370</v>
      </c>
      <c r="C149" s="122">
        <f t="shared" si="3"/>
        <v>0.27473370532710434</v>
      </c>
      <c r="D149" s="129">
        <f>D127</f>
        <v>1141.9099999999999</v>
      </c>
      <c r="E149" s="174">
        <f>C137+C135+C134</f>
        <v>0.13250000000000001</v>
      </c>
    </row>
    <row r="150" spans="1:8" ht="16.5" customHeight="1">
      <c r="A150" s="168" t="s">
        <v>371</v>
      </c>
      <c r="B150" s="169"/>
      <c r="C150" s="131">
        <f t="shared" si="3"/>
        <v>0.79509734728304737</v>
      </c>
      <c r="D150" s="170">
        <f>SUM(D146:D149)</f>
        <v>3304.7623725490193</v>
      </c>
      <c r="E150" s="174">
        <f>100%-E149</f>
        <v>0.86749999999999994</v>
      </c>
    </row>
    <row r="151" spans="1:8" ht="32.25" thickBot="1">
      <c r="A151" s="191" t="s">
        <v>284</v>
      </c>
      <c r="B151" s="138" t="s">
        <v>372</v>
      </c>
      <c r="C151" s="122">
        <f t="shared" si="3"/>
        <v>0.20490265271695288</v>
      </c>
      <c r="D151" s="129">
        <f>D140</f>
        <v>851.66247761785598</v>
      </c>
      <c r="G151" s="171"/>
    </row>
    <row r="152" spans="1:8" ht="16.5" customHeight="1" thickBot="1">
      <c r="A152" s="525" t="s">
        <v>373</v>
      </c>
      <c r="B152" s="526"/>
      <c r="C152" s="127">
        <f>C151+C150</f>
        <v>1.0000000000000002</v>
      </c>
      <c r="D152" s="166">
        <f>(D150+D139+D131)/0.8675</f>
        <v>4156.4248501668744</v>
      </c>
      <c r="E152" s="171"/>
      <c r="F152" s="165">
        <f>D150+D151</f>
        <v>4156.4248501668753</v>
      </c>
      <c r="H152" s="172"/>
    </row>
    <row r="153" spans="1:8">
      <c r="E153" s="171"/>
    </row>
    <row r="154" spans="1:8">
      <c r="A154" s="186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1.299212598425197" right="0.51181102362204722" top="2.1653543307086616" bottom="0.98425196850393704" header="0.31496062992125984" footer="0.31496062992125984"/>
  <pageSetup paperSize="9" scale="79" fitToHeight="4" orientation="portrait" r:id="rId1"/>
  <headerFooter alignWithMargins="0"/>
  <rowBreaks count="3" manualBreakCount="3">
    <brk id="43" max="3" man="1"/>
    <brk id="88" max="3" man="1"/>
    <brk id="128" max="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154"/>
  <sheetViews>
    <sheetView showGridLines="0" view="pageBreakPreview" topLeftCell="A131" zoomScale="90" zoomScaleSheetLayoutView="90" workbookViewId="0">
      <selection activeCell="G155" sqref="G155"/>
    </sheetView>
  </sheetViews>
  <sheetFormatPr defaultRowHeight="15.75"/>
  <cols>
    <col min="1" max="1" width="9.28515625" style="53" customWidth="1"/>
    <col min="2" max="2" width="39.85546875" style="53" customWidth="1"/>
    <col min="3" max="3" width="18.28515625" style="53" customWidth="1"/>
    <col min="4" max="4" width="23.85546875" style="53" customWidth="1"/>
    <col min="5" max="5" width="16" style="53" bestFit="1" customWidth="1"/>
    <col min="6" max="6" width="13.7109375" style="53" bestFit="1" customWidth="1"/>
    <col min="7" max="7" width="15.7109375" style="53" bestFit="1" customWidth="1"/>
    <col min="8" max="8" width="13.140625" style="53" bestFit="1" customWidth="1"/>
    <col min="9" max="9" width="11.85546875" style="53" bestFit="1" customWidth="1"/>
    <col min="10" max="10" width="12.85546875" style="53" bestFit="1" customWidth="1"/>
    <col min="11" max="256" width="9.140625" style="53"/>
    <col min="257" max="257" width="9.28515625" style="53" customWidth="1"/>
    <col min="258" max="258" width="39.85546875" style="53" customWidth="1"/>
    <col min="259" max="259" width="18.28515625" style="53" customWidth="1"/>
    <col min="260" max="260" width="23.85546875" style="53" customWidth="1"/>
    <col min="261" max="261" width="16" style="53" bestFit="1" customWidth="1"/>
    <col min="262" max="262" width="13.7109375" style="53" bestFit="1" customWidth="1"/>
    <col min="263" max="263" width="15.7109375" style="53" bestFit="1" customWidth="1"/>
    <col min="264" max="264" width="13.140625" style="53" bestFit="1" customWidth="1"/>
    <col min="265" max="265" width="11.85546875" style="53" bestFit="1" customWidth="1"/>
    <col min="266" max="266" width="12.85546875" style="53" bestFit="1" customWidth="1"/>
    <col min="267" max="512" width="9.140625" style="53"/>
    <col min="513" max="513" width="9.28515625" style="53" customWidth="1"/>
    <col min="514" max="514" width="39.85546875" style="53" customWidth="1"/>
    <col min="515" max="515" width="18.28515625" style="53" customWidth="1"/>
    <col min="516" max="516" width="23.85546875" style="53" customWidth="1"/>
    <col min="517" max="517" width="16" style="53" bestFit="1" customWidth="1"/>
    <col min="518" max="518" width="13.7109375" style="53" bestFit="1" customWidth="1"/>
    <col min="519" max="519" width="15.7109375" style="53" bestFit="1" customWidth="1"/>
    <col min="520" max="520" width="13.140625" style="53" bestFit="1" customWidth="1"/>
    <col min="521" max="521" width="11.85546875" style="53" bestFit="1" customWidth="1"/>
    <col min="522" max="522" width="12.85546875" style="53" bestFit="1" customWidth="1"/>
    <col min="523" max="768" width="9.140625" style="53"/>
    <col min="769" max="769" width="9.28515625" style="53" customWidth="1"/>
    <col min="770" max="770" width="39.85546875" style="53" customWidth="1"/>
    <col min="771" max="771" width="18.28515625" style="53" customWidth="1"/>
    <col min="772" max="772" width="23.85546875" style="53" customWidth="1"/>
    <col min="773" max="773" width="16" style="53" bestFit="1" customWidth="1"/>
    <col min="774" max="774" width="13.7109375" style="53" bestFit="1" customWidth="1"/>
    <col min="775" max="775" width="15.7109375" style="53" bestFit="1" customWidth="1"/>
    <col min="776" max="776" width="13.140625" style="53" bestFit="1" customWidth="1"/>
    <col min="777" max="777" width="11.85546875" style="53" bestFit="1" customWidth="1"/>
    <col min="778" max="778" width="12.85546875" style="53" bestFit="1" customWidth="1"/>
    <col min="779" max="1024" width="9.140625" style="53"/>
    <col min="1025" max="1025" width="9.28515625" style="53" customWidth="1"/>
    <col min="1026" max="1026" width="39.85546875" style="53" customWidth="1"/>
    <col min="1027" max="1027" width="18.28515625" style="53" customWidth="1"/>
    <col min="1028" max="1028" width="23.85546875" style="53" customWidth="1"/>
    <col min="1029" max="1029" width="16" style="53" bestFit="1" customWidth="1"/>
    <col min="1030" max="1030" width="13.7109375" style="53" bestFit="1" customWidth="1"/>
    <col min="1031" max="1031" width="15.7109375" style="53" bestFit="1" customWidth="1"/>
    <col min="1032" max="1032" width="13.140625" style="53" bestFit="1" customWidth="1"/>
    <col min="1033" max="1033" width="11.85546875" style="53" bestFit="1" customWidth="1"/>
    <col min="1034" max="1034" width="12.85546875" style="53" bestFit="1" customWidth="1"/>
    <col min="1035" max="1280" width="9.140625" style="53"/>
    <col min="1281" max="1281" width="9.28515625" style="53" customWidth="1"/>
    <col min="1282" max="1282" width="39.85546875" style="53" customWidth="1"/>
    <col min="1283" max="1283" width="18.28515625" style="53" customWidth="1"/>
    <col min="1284" max="1284" width="23.85546875" style="53" customWidth="1"/>
    <col min="1285" max="1285" width="16" style="53" bestFit="1" customWidth="1"/>
    <col min="1286" max="1286" width="13.7109375" style="53" bestFit="1" customWidth="1"/>
    <col min="1287" max="1287" width="15.7109375" style="53" bestFit="1" customWidth="1"/>
    <col min="1288" max="1288" width="13.140625" style="53" bestFit="1" customWidth="1"/>
    <col min="1289" max="1289" width="11.85546875" style="53" bestFit="1" customWidth="1"/>
    <col min="1290" max="1290" width="12.85546875" style="53" bestFit="1" customWidth="1"/>
    <col min="1291" max="1536" width="9.140625" style="53"/>
    <col min="1537" max="1537" width="9.28515625" style="53" customWidth="1"/>
    <col min="1538" max="1538" width="39.85546875" style="53" customWidth="1"/>
    <col min="1539" max="1539" width="18.28515625" style="53" customWidth="1"/>
    <col min="1540" max="1540" width="23.85546875" style="53" customWidth="1"/>
    <col min="1541" max="1541" width="16" style="53" bestFit="1" customWidth="1"/>
    <col min="1542" max="1542" width="13.7109375" style="53" bestFit="1" customWidth="1"/>
    <col min="1543" max="1543" width="15.7109375" style="53" bestFit="1" customWidth="1"/>
    <col min="1544" max="1544" width="13.140625" style="53" bestFit="1" customWidth="1"/>
    <col min="1545" max="1545" width="11.85546875" style="53" bestFit="1" customWidth="1"/>
    <col min="1546" max="1546" width="12.85546875" style="53" bestFit="1" customWidth="1"/>
    <col min="1547" max="1792" width="9.140625" style="53"/>
    <col min="1793" max="1793" width="9.28515625" style="53" customWidth="1"/>
    <col min="1794" max="1794" width="39.85546875" style="53" customWidth="1"/>
    <col min="1795" max="1795" width="18.28515625" style="53" customWidth="1"/>
    <col min="1796" max="1796" width="23.85546875" style="53" customWidth="1"/>
    <col min="1797" max="1797" width="16" style="53" bestFit="1" customWidth="1"/>
    <col min="1798" max="1798" width="13.7109375" style="53" bestFit="1" customWidth="1"/>
    <col min="1799" max="1799" width="15.7109375" style="53" bestFit="1" customWidth="1"/>
    <col min="1800" max="1800" width="13.140625" style="53" bestFit="1" customWidth="1"/>
    <col min="1801" max="1801" width="11.85546875" style="53" bestFit="1" customWidth="1"/>
    <col min="1802" max="1802" width="12.85546875" style="53" bestFit="1" customWidth="1"/>
    <col min="1803" max="2048" width="9.140625" style="53"/>
    <col min="2049" max="2049" width="9.28515625" style="53" customWidth="1"/>
    <col min="2050" max="2050" width="39.85546875" style="53" customWidth="1"/>
    <col min="2051" max="2051" width="18.28515625" style="53" customWidth="1"/>
    <col min="2052" max="2052" width="23.85546875" style="53" customWidth="1"/>
    <col min="2053" max="2053" width="16" style="53" bestFit="1" customWidth="1"/>
    <col min="2054" max="2054" width="13.7109375" style="53" bestFit="1" customWidth="1"/>
    <col min="2055" max="2055" width="15.7109375" style="53" bestFit="1" customWidth="1"/>
    <col min="2056" max="2056" width="13.140625" style="53" bestFit="1" customWidth="1"/>
    <col min="2057" max="2057" width="11.85546875" style="53" bestFit="1" customWidth="1"/>
    <col min="2058" max="2058" width="12.85546875" style="53" bestFit="1" customWidth="1"/>
    <col min="2059" max="2304" width="9.140625" style="53"/>
    <col min="2305" max="2305" width="9.28515625" style="53" customWidth="1"/>
    <col min="2306" max="2306" width="39.85546875" style="53" customWidth="1"/>
    <col min="2307" max="2307" width="18.28515625" style="53" customWidth="1"/>
    <col min="2308" max="2308" width="23.85546875" style="53" customWidth="1"/>
    <col min="2309" max="2309" width="16" style="53" bestFit="1" customWidth="1"/>
    <col min="2310" max="2310" width="13.7109375" style="53" bestFit="1" customWidth="1"/>
    <col min="2311" max="2311" width="15.7109375" style="53" bestFit="1" customWidth="1"/>
    <col min="2312" max="2312" width="13.140625" style="53" bestFit="1" customWidth="1"/>
    <col min="2313" max="2313" width="11.85546875" style="53" bestFit="1" customWidth="1"/>
    <col min="2314" max="2314" width="12.85546875" style="53" bestFit="1" customWidth="1"/>
    <col min="2315" max="2560" width="9.140625" style="53"/>
    <col min="2561" max="2561" width="9.28515625" style="53" customWidth="1"/>
    <col min="2562" max="2562" width="39.85546875" style="53" customWidth="1"/>
    <col min="2563" max="2563" width="18.28515625" style="53" customWidth="1"/>
    <col min="2564" max="2564" width="23.85546875" style="53" customWidth="1"/>
    <col min="2565" max="2565" width="16" style="53" bestFit="1" customWidth="1"/>
    <col min="2566" max="2566" width="13.7109375" style="53" bestFit="1" customWidth="1"/>
    <col min="2567" max="2567" width="15.7109375" style="53" bestFit="1" customWidth="1"/>
    <col min="2568" max="2568" width="13.140625" style="53" bestFit="1" customWidth="1"/>
    <col min="2569" max="2569" width="11.85546875" style="53" bestFit="1" customWidth="1"/>
    <col min="2570" max="2570" width="12.85546875" style="53" bestFit="1" customWidth="1"/>
    <col min="2571" max="2816" width="9.140625" style="53"/>
    <col min="2817" max="2817" width="9.28515625" style="53" customWidth="1"/>
    <col min="2818" max="2818" width="39.85546875" style="53" customWidth="1"/>
    <col min="2819" max="2819" width="18.28515625" style="53" customWidth="1"/>
    <col min="2820" max="2820" width="23.85546875" style="53" customWidth="1"/>
    <col min="2821" max="2821" width="16" style="53" bestFit="1" customWidth="1"/>
    <col min="2822" max="2822" width="13.7109375" style="53" bestFit="1" customWidth="1"/>
    <col min="2823" max="2823" width="15.7109375" style="53" bestFit="1" customWidth="1"/>
    <col min="2824" max="2824" width="13.140625" style="53" bestFit="1" customWidth="1"/>
    <col min="2825" max="2825" width="11.85546875" style="53" bestFit="1" customWidth="1"/>
    <col min="2826" max="2826" width="12.85546875" style="53" bestFit="1" customWidth="1"/>
    <col min="2827" max="3072" width="9.140625" style="53"/>
    <col min="3073" max="3073" width="9.28515625" style="53" customWidth="1"/>
    <col min="3074" max="3074" width="39.85546875" style="53" customWidth="1"/>
    <col min="3075" max="3075" width="18.28515625" style="53" customWidth="1"/>
    <col min="3076" max="3076" width="23.85546875" style="53" customWidth="1"/>
    <col min="3077" max="3077" width="16" style="53" bestFit="1" customWidth="1"/>
    <col min="3078" max="3078" width="13.7109375" style="53" bestFit="1" customWidth="1"/>
    <col min="3079" max="3079" width="15.7109375" style="53" bestFit="1" customWidth="1"/>
    <col min="3080" max="3080" width="13.140625" style="53" bestFit="1" customWidth="1"/>
    <col min="3081" max="3081" width="11.85546875" style="53" bestFit="1" customWidth="1"/>
    <col min="3082" max="3082" width="12.85546875" style="53" bestFit="1" customWidth="1"/>
    <col min="3083" max="3328" width="9.140625" style="53"/>
    <col min="3329" max="3329" width="9.28515625" style="53" customWidth="1"/>
    <col min="3330" max="3330" width="39.85546875" style="53" customWidth="1"/>
    <col min="3331" max="3331" width="18.28515625" style="53" customWidth="1"/>
    <col min="3332" max="3332" width="23.85546875" style="53" customWidth="1"/>
    <col min="3333" max="3333" width="16" style="53" bestFit="1" customWidth="1"/>
    <col min="3334" max="3334" width="13.7109375" style="53" bestFit="1" customWidth="1"/>
    <col min="3335" max="3335" width="15.7109375" style="53" bestFit="1" customWidth="1"/>
    <col min="3336" max="3336" width="13.140625" style="53" bestFit="1" customWidth="1"/>
    <col min="3337" max="3337" width="11.85546875" style="53" bestFit="1" customWidth="1"/>
    <col min="3338" max="3338" width="12.85546875" style="53" bestFit="1" customWidth="1"/>
    <col min="3339" max="3584" width="9.140625" style="53"/>
    <col min="3585" max="3585" width="9.28515625" style="53" customWidth="1"/>
    <col min="3586" max="3586" width="39.85546875" style="53" customWidth="1"/>
    <col min="3587" max="3587" width="18.28515625" style="53" customWidth="1"/>
    <col min="3588" max="3588" width="23.85546875" style="53" customWidth="1"/>
    <col min="3589" max="3589" width="16" style="53" bestFit="1" customWidth="1"/>
    <col min="3590" max="3590" width="13.7109375" style="53" bestFit="1" customWidth="1"/>
    <col min="3591" max="3591" width="15.7109375" style="53" bestFit="1" customWidth="1"/>
    <col min="3592" max="3592" width="13.140625" style="53" bestFit="1" customWidth="1"/>
    <col min="3593" max="3593" width="11.85546875" style="53" bestFit="1" customWidth="1"/>
    <col min="3594" max="3594" width="12.85546875" style="53" bestFit="1" customWidth="1"/>
    <col min="3595" max="3840" width="9.140625" style="53"/>
    <col min="3841" max="3841" width="9.28515625" style="53" customWidth="1"/>
    <col min="3842" max="3842" width="39.85546875" style="53" customWidth="1"/>
    <col min="3843" max="3843" width="18.28515625" style="53" customWidth="1"/>
    <col min="3844" max="3844" width="23.85546875" style="53" customWidth="1"/>
    <col min="3845" max="3845" width="16" style="53" bestFit="1" customWidth="1"/>
    <col min="3846" max="3846" width="13.7109375" style="53" bestFit="1" customWidth="1"/>
    <col min="3847" max="3847" width="15.7109375" style="53" bestFit="1" customWidth="1"/>
    <col min="3848" max="3848" width="13.140625" style="53" bestFit="1" customWidth="1"/>
    <col min="3849" max="3849" width="11.85546875" style="53" bestFit="1" customWidth="1"/>
    <col min="3850" max="3850" width="12.85546875" style="53" bestFit="1" customWidth="1"/>
    <col min="3851" max="4096" width="9.140625" style="53"/>
    <col min="4097" max="4097" width="9.28515625" style="53" customWidth="1"/>
    <col min="4098" max="4098" width="39.85546875" style="53" customWidth="1"/>
    <col min="4099" max="4099" width="18.28515625" style="53" customWidth="1"/>
    <col min="4100" max="4100" width="23.85546875" style="53" customWidth="1"/>
    <col min="4101" max="4101" width="16" style="53" bestFit="1" customWidth="1"/>
    <col min="4102" max="4102" width="13.7109375" style="53" bestFit="1" customWidth="1"/>
    <col min="4103" max="4103" width="15.7109375" style="53" bestFit="1" customWidth="1"/>
    <col min="4104" max="4104" width="13.140625" style="53" bestFit="1" customWidth="1"/>
    <col min="4105" max="4105" width="11.85546875" style="53" bestFit="1" customWidth="1"/>
    <col min="4106" max="4106" width="12.85546875" style="53" bestFit="1" customWidth="1"/>
    <col min="4107" max="4352" width="9.140625" style="53"/>
    <col min="4353" max="4353" width="9.28515625" style="53" customWidth="1"/>
    <col min="4354" max="4354" width="39.85546875" style="53" customWidth="1"/>
    <col min="4355" max="4355" width="18.28515625" style="53" customWidth="1"/>
    <col min="4356" max="4356" width="23.85546875" style="53" customWidth="1"/>
    <col min="4357" max="4357" width="16" style="53" bestFit="1" customWidth="1"/>
    <col min="4358" max="4358" width="13.7109375" style="53" bestFit="1" customWidth="1"/>
    <col min="4359" max="4359" width="15.7109375" style="53" bestFit="1" customWidth="1"/>
    <col min="4360" max="4360" width="13.140625" style="53" bestFit="1" customWidth="1"/>
    <col min="4361" max="4361" width="11.85546875" style="53" bestFit="1" customWidth="1"/>
    <col min="4362" max="4362" width="12.85546875" style="53" bestFit="1" customWidth="1"/>
    <col min="4363" max="4608" width="9.140625" style="53"/>
    <col min="4609" max="4609" width="9.28515625" style="53" customWidth="1"/>
    <col min="4610" max="4610" width="39.85546875" style="53" customWidth="1"/>
    <col min="4611" max="4611" width="18.28515625" style="53" customWidth="1"/>
    <col min="4612" max="4612" width="23.85546875" style="53" customWidth="1"/>
    <col min="4613" max="4613" width="16" style="53" bestFit="1" customWidth="1"/>
    <col min="4614" max="4614" width="13.7109375" style="53" bestFit="1" customWidth="1"/>
    <col min="4615" max="4615" width="15.7109375" style="53" bestFit="1" customWidth="1"/>
    <col min="4616" max="4616" width="13.140625" style="53" bestFit="1" customWidth="1"/>
    <col min="4617" max="4617" width="11.85546875" style="53" bestFit="1" customWidth="1"/>
    <col min="4618" max="4618" width="12.85546875" style="53" bestFit="1" customWidth="1"/>
    <col min="4619" max="4864" width="9.140625" style="53"/>
    <col min="4865" max="4865" width="9.28515625" style="53" customWidth="1"/>
    <col min="4866" max="4866" width="39.85546875" style="53" customWidth="1"/>
    <col min="4867" max="4867" width="18.28515625" style="53" customWidth="1"/>
    <col min="4868" max="4868" width="23.85546875" style="53" customWidth="1"/>
    <col min="4869" max="4869" width="16" style="53" bestFit="1" customWidth="1"/>
    <col min="4870" max="4870" width="13.7109375" style="53" bestFit="1" customWidth="1"/>
    <col min="4871" max="4871" width="15.7109375" style="53" bestFit="1" customWidth="1"/>
    <col min="4872" max="4872" width="13.140625" style="53" bestFit="1" customWidth="1"/>
    <col min="4873" max="4873" width="11.85546875" style="53" bestFit="1" customWidth="1"/>
    <col min="4874" max="4874" width="12.85546875" style="53" bestFit="1" customWidth="1"/>
    <col min="4875" max="5120" width="9.140625" style="53"/>
    <col min="5121" max="5121" width="9.28515625" style="53" customWidth="1"/>
    <col min="5122" max="5122" width="39.85546875" style="53" customWidth="1"/>
    <col min="5123" max="5123" width="18.28515625" style="53" customWidth="1"/>
    <col min="5124" max="5124" width="23.85546875" style="53" customWidth="1"/>
    <col min="5125" max="5125" width="16" style="53" bestFit="1" customWidth="1"/>
    <col min="5126" max="5126" width="13.7109375" style="53" bestFit="1" customWidth="1"/>
    <col min="5127" max="5127" width="15.7109375" style="53" bestFit="1" customWidth="1"/>
    <col min="5128" max="5128" width="13.140625" style="53" bestFit="1" customWidth="1"/>
    <col min="5129" max="5129" width="11.85546875" style="53" bestFit="1" customWidth="1"/>
    <col min="5130" max="5130" width="12.85546875" style="53" bestFit="1" customWidth="1"/>
    <col min="5131" max="5376" width="9.140625" style="53"/>
    <col min="5377" max="5377" width="9.28515625" style="53" customWidth="1"/>
    <col min="5378" max="5378" width="39.85546875" style="53" customWidth="1"/>
    <col min="5379" max="5379" width="18.28515625" style="53" customWidth="1"/>
    <col min="5380" max="5380" width="23.85546875" style="53" customWidth="1"/>
    <col min="5381" max="5381" width="16" style="53" bestFit="1" customWidth="1"/>
    <col min="5382" max="5382" width="13.7109375" style="53" bestFit="1" customWidth="1"/>
    <col min="5383" max="5383" width="15.7109375" style="53" bestFit="1" customWidth="1"/>
    <col min="5384" max="5384" width="13.140625" style="53" bestFit="1" customWidth="1"/>
    <col min="5385" max="5385" width="11.85546875" style="53" bestFit="1" customWidth="1"/>
    <col min="5386" max="5386" width="12.85546875" style="53" bestFit="1" customWidth="1"/>
    <col min="5387" max="5632" width="9.140625" style="53"/>
    <col min="5633" max="5633" width="9.28515625" style="53" customWidth="1"/>
    <col min="5634" max="5634" width="39.85546875" style="53" customWidth="1"/>
    <col min="5635" max="5635" width="18.28515625" style="53" customWidth="1"/>
    <col min="5636" max="5636" width="23.85546875" style="53" customWidth="1"/>
    <col min="5637" max="5637" width="16" style="53" bestFit="1" customWidth="1"/>
    <col min="5638" max="5638" width="13.7109375" style="53" bestFit="1" customWidth="1"/>
    <col min="5639" max="5639" width="15.7109375" style="53" bestFit="1" customWidth="1"/>
    <col min="5640" max="5640" width="13.140625" style="53" bestFit="1" customWidth="1"/>
    <col min="5641" max="5641" width="11.85546875" style="53" bestFit="1" customWidth="1"/>
    <col min="5642" max="5642" width="12.85546875" style="53" bestFit="1" customWidth="1"/>
    <col min="5643" max="5888" width="9.140625" style="53"/>
    <col min="5889" max="5889" width="9.28515625" style="53" customWidth="1"/>
    <col min="5890" max="5890" width="39.85546875" style="53" customWidth="1"/>
    <col min="5891" max="5891" width="18.28515625" style="53" customWidth="1"/>
    <col min="5892" max="5892" width="23.85546875" style="53" customWidth="1"/>
    <col min="5893" max="5893" width="16" style="53" bestFit="1" customWidth="1"/>
    <col min="5894" max="5894" width="13.7109375" style="53" bestFit="1" customWidth="1"/>
    <col min="5895" max="5895" width="15.7109375" style="53" bestFit="1" customWidth="1"/>
    <col min="5896" max="5896" width="13.140625" style="53" bestFit="1" customWidth="1"/>
    <col min="5897" max="5897" width="11.85546875" style="53" bestFit="1" customWidth="1"/>
    <col min="5898" max="5898" width="12.85546875" style="53" bestFit="1" customWidth="1"/>
    <col min="5899" max="6144" width="9.140625" style="53"/>
    <col min="6145" max="6145" width="9.28515625" style="53" customWidth="1"/>
    <col min="6146" max="6146" width="39.85546875" style="53" customWidth="1"/>
    <col min="6147" max="6147" width="18.28515625" style="53" customWidth="1"/>
    <col min="6148" max="6148" width="23.85546875" style="53" customWidth="1"/>
    <col min="6149" max="6149" width="16" style="53" bestFit="1" customWidth="1"/>
    <col min="6150" max="6150" width="13.7109375" style="53" bestFit="1" customWidth="1"/>
    <col min="6151" max="6151" width="15.7109375" style="53" bestFit="1" customWidth="1"/>
    <col min="6152" max="6152" width="13.140625" style="53" bestFit="1" customWidth="1"/>
    <col min="6153" max="6153" width="11.85546875" style="53" bestFit="1" customWidth="1"/>
    <col min="6154" max="6154" width="12.85546875" style="53" bestFit="1" customWidth="1"/>
    <col min="6155" max="6400" width="9.140625" style="53"/>
    <col min="6401" max="6401" width="9.28515625" style="53" customWidth="1"/>
    <col min="6402" max="6402" width="39.85546875" style="53" customWidth="1"/>
    <col min="6403" max="6403" width="18.28515625" style="53" customWidth="1"/>
    <col min="6404" max="6404" width="23.85546875" style="53" customWidth="1"/>
    <col min="6405" max="6405" width="16" style="53" bestFit="1" customWidth="1"/>
    <col min="6406" max="6406" width="13.7109375" style="53" bestFit="1" customWidth="1"/>
    <col min="6407" max="6407" width="15.7109375" style="53" bestFit="1" customWidth="1"/>
    <col min="6408" max="6408" width="13.140625" style="53" bestFit="1" customWidth="1"/>
    <col min="6409" max="6409" width="11.85546875" style="53" bestFit="1" customWidth="1"/>
    <col min="6410" max="6410" width="12.85546875" style="53" bestFit="1" customWidth="1"/>
    <col min="6411" max="6656" width="9.140625" style="53"/>
    <col min="6657" max="6657" width="9.28515625" style="53" customWidth="1"/>
    <col min="6658" max="6658" width="39.85546875" style="53" customWidth="1"/>
    <col min="6659" max="6659" width="18.28515625" style="53" customWidth="1"/>
    <col min="6660" max="6660" width="23.85546875" style="53" customWidth="1"/>
    <col min="6661" max="6661" width="16" style="53" bestFit="1" customWidth="1"/>
    <col min="6662" max="6662" width="13.7109375" style="53" bestFit="1" customWidth="1"/>
    <col min="6663" max="6663" width="15.7109375" style="53" bestFit="1" customWidth="1"/>
    <col min="6664" max="6664" width="13.140625" style="53" bestFit="1" customWidth="1"/>
    <col min="6665" max="6665" width="11.85546875" style="53" bestFit="1" customWidth="1"/>
    <col min="6666" max="6666" width="12.85546875" style="53" bestFit="1" customWidth="1"/>
    <col min="6667" max="6912" width="9.140625" style="53"/>
    <col min="6913" max="6913" width="9.28515625" style="53" customWidth="1"/>
    <col min="6914" max="6914" width="39.85546875" style="53" customWidth="1"/>
    <col min="6915" max="6915" width="18.28515625" style="53" customWidth="1"/>
    <col min="6916" max="6916" width="23.85546875" style="53" customWidth="1"/>
    <col min="6917" max="6917" width="16" style="53" bestFit="1" customWidth="1"/>
    <col min="6918" max="6918" width="13.7109375" style="53" bestFit="1" customWidth="1"/>
    <col min="6919" max="6919" width="15.7109375" style="53" bestFit="1" customWidth="1"/>
    <col min="6920" max="6920" width="13.140625" style="53" bestFit="1" customWidth="1"/>
    <col min="6921" max="6921" width="11.85546875" style="53" bestFit="1" customWidth="1"/>
    <col min="6922" max="6922" width="12.85546875" style="53" bestFit="1" customWidth="1"/>
    <col min="6923" max="7168" width="9.140625" style="53"/>
    <col min="7169" max="7169" width="9.28515625" style="53" customWidth="1"/>
    <col min="7170" max="7170" width="39.85546875" style="53" customWidth="1"/>
    <col min="7171" max="7171" width="18.28515625" style="53" customWidth="1"/>
    <col min="7172" max="7172" width="23.85546875" style="53" customWidth="1"/>
    <col min="7173" max="7173" width="16" style="53" bestFit="1" customWidth="1"/>
    <col min="7174" max="7174" width="13.7109375" style="53" bestFit="1" customWidth="1"/>
    <col min="7175" max="7175" width="15.7109375" style="53" bestFit="1" customWidth="1"/>
    <col min="7176" max="7176" width="13.140625" style="53" bestFit="1" customWidth="1"/>
    <col min="7177" max="7177" width="11.85546875" style="53" bestFit="1" customWidth="1"/>
    <col min="7178" max="7178" width="12.85546875" style="53" bestFit="1" customWidth="1"/>
    <col min="7179" max="7424" width="9.140625" style="53"/>
    <col min="7425" max="7425" width="9.28515625" style="53" customWidth="1"/>
    <col min="7426" max="7426" width="39.85546875" style="53" customWidth="1"/>
    <col min="7427" max="7427" width="18.28515625" style="53" customWidth="1"/>
    <col min="7428" max="7428" width="23.85546875" style="53" customWidth="1"/>
    <col min="7429" max="7429" width="16" style="53" bestFit="1" customWidth="1"/>
    <col min="7430" max="7430" width="13.7109375" style="53" bestFit="1" customWidth="1"/>
    <col min="7431" max="7431" width="15.7109375" style="53" bestFit="1" customWidth="1"/>
    <col min="7432" max="7432" width="13.140625" style="53" bestFit="1" customWidth="1"/>
    <col min="7433" max="7433" width="11.85546875" style="53" bestFit="1" customWidth="1"/>
    <col min="7434" max="7434" width="12.85546875" style="53" bestFit="1" customWidth="1"/>
    <col min="7435" max="7680" width="9.140625" style="53"/>
    <col min="7681" max="7681" width="9.28515625" style="53" customWidth="1"/>
    <col min="7682" max="7682" width="39.85546875" style="53" customWidth="1"/>
    <col min="7683" max="7683" width="18.28515625" style="53" customWidth="1"/>
    <col min="7684" max="7684" width="23.85546875" style="53" customWidth="1"/>
    <col min="7685" max="7685" width="16" style="53" bestFit="1" customWidth="1"/>
    <col min="7686" max="7686" width="13.7109375" style="53" bestFit="1" customWidth="1"/>
    <col min="7687" max="7687" width="15.7109375" style="53" bestFit="1" customWidth="1"/>
    <col min="7688" max="7688" width="13.140625" style="53" bestFit="1" customWidth="1"/>
    <col min="7689" max="7689" width="11.85546875" style="53" bestFit="1" customWidth="1"/>
    <col min="7690" max="7690" width="12.85546875" style="53" bestFit="1" customWidth="1"/>
    <col min="7691" max="7936" width="9.140625" style="53"/>
    <col min="7937" max="7937" width="9.28515625" style="53" customWidth="1"/>
    <col min="7938" max="7938" width="39.85546875" style="53" customWidth="1"/>
    <col min="7939" max="7939" width="18.28515625" style="53" customWidth="1"/>
    <col min="7940" max="7940" width="23.85546875" style="53" customWidth="1"/>
    <col min="7941" max="7941" width="16" style="53" bestFit="1" customWidth="1"/>
    <col min="7942" max="7942" width="13.7109375" style="53" bestFit="1" customWidth="1"/>
    <col min="7943" max="7943" width="15.7109375" style="53" bestFit="1" customWidth="1"/>
    <col min="7944" max="7944" width="13.140625" style="53" bestFit="1" customWidth="1"/>
    <col min="7945" max="7945" width="11.85546875" style="53" bestFit="1" customWidth="1"/>
    <col min="7946" max="7946" width="12.85546875" style="53" bestFit="1" customWidth="1"/>
    <col min="7947" max="8192" width="9.140625" style="53"/>
    <col min="8193" max="8193" width="9.28515625" style="53" customWidth="1"/>
    <col min="8194" max="8194" width="39.85546875" style="53" customWidth="1"/>
    <col min="8195" max="8195" width="18.28515625" style="53" customWidth="1"/>
    <col min="8196" max="8196" width="23.85546875" style="53" customWidth="1"/>
    <col min="8197" max="8197" width="16" style="53" bestFit="1" customWidth="1"/>
    <col min="8198" max="8198" width="13.7109375" style="53" bestFit="1" customWidth="1"/>
    <col min="8199" max="8199" width="15.7109375" style="53" bestFit="1" customWidth="1"/>
    <col min="8200" max="8200" width="13.140625" style="53" bestFit="1" customWidth="1"/>
    <col min="8201" max="8201" width="11.85546875" style="53" bestFit="1" customWidth="1"/>
    <col min="8202" max="8202" width="12.85546875" style="53" bestFit="1" customWidth="1"/>
    <col min="8203" max="8448" width="9.140625" style="53"/>
    <col min="8449" max="8449" width="9.28515625" style="53" customWidth="1"/>
    <col min="8450" max="8450" width="39.85546875" style="53" customWidth="1"/>
    <col min="8451" max="8451" width="18.28515625" style="53" customWidth="1"/>
    <col min="8452" max="8452" width="23.85546875" style="53" customWidth="1"/>
    <col min="8453" max="8453" width="16" style="53" bestFit="1" customWidth="1"/>
    <col min="8454" max="8454" width="13.7109375" style="53" bestFit="1" customWidth="1"/>
    <col min="8455" max="8455" width="15.7109375" style="53" bestFit="1" customWidth="1"/>
    <col min="8456" max="8456" width="13.140625" style="53" bestFit="1" customWidth="1"/>
    <col min="8457" max="8457" width="11.85546875" style="53" bestFit="1" customWidth="1"/>
    <col min="8458" max="8458" width="12.85546875" style="53" bestFit="1" customWidth="1"/>
    <col min="8459" max="8704" width="9.140625" style="53"/>
    <col min="8705" max="8705" width="9.28515625" style="53" customWidth="1"/>
    <col min="8706" max="8706" width="39.85546875" style="53" customWidth="1"/>
    <col min="8707" max="8707" width="18.28515625" style="53" customWidth="1"/>
    <col min="8708" max="8708" width="23.85546875" style="53" customWidth="1"/>
    <col min="8709" max="8709" width="16" style="53" bestFit="1" customWidth="1"/>
    <col min="8710" max="8710" width="13.7109375" style="53" bestFit="1" customWidth="1"/>
    <col min="8711" max="8711" width="15.7109375" style="53" bestFit="1" customWidth="1"/>
    <col min="8712" max="8712" width="13.140625" style="53" bestFit="1" customWidth="1"/>
    <col min="8713" max="8713" width="11.85546875" style="53" bestFit="1" customWidth="1"/>
    <col min="8714" max="8714" width="12.85546875" style="53" bestFit="1" customWidth="1"/>
    <col min="8715" max="8960" width="9.140625" style="53"/>
    <col min="8961" max="8961" width="9.28515625" style="53" customWidth="1"/>
    <col min="8962" max="8962" width="39.85546875" style="53" customWidth="1"/>
    <col min="8963" max="8963" width="18.28515625" style="53" customWidth="1"/>
    <col min="8964" max="8964" width="23.85546875" style="53" customWidth="1"/>
    <col min="8965" max="8965" width="16" style="53" bestFit="1" customWidth="1"/>
    <col min="8966" max="8966" width="13.7109375" style="53" bestFit="1" customWidth="1"/>
    <col min="8967" max="8967" width="15.7109375" style="53" bestFit="1" customWidth="1"/>
    <col min="8968" max="8968" width="13.140625" style="53" bestFit="1" customWidth="1"/>
    <col min="8969" max="8969" width="11.85546875" style="53" bestFit="1" customWidth="1"/>
    <col min="8970" max="8970" width="12.85546875" style="53" bestFit="1" customWidth="1"/>
    <col min="8971" max="9216" width="9.140625" style="53"/>
    <col min="9217" max="9217" width="9.28515625" style="53" customWidth="1"/>
    <col min="9218" max="9218" width="39.85546875" style="53" customWidth="1"/>
    <col min="9219" max="9219" width="18.28515625" style="53" customWidth="1"/>
    <col min="9220" max="9220" width="23.85546875" style="53" customWidth="1"/>
    <col min="9221" max="9221" width="16" style="53" bestFit="1" customWidth="1"/>
    <col min="9222" max="9222" width="13.7109375" style="53" bestFit="1" customWidth="1"/>
    <col min="9223" max="9223" width="15.7109375" style="53" bestFit="1" customWidth="1"/>
    <col min="9224" max="9224" width="13.140625" style="53" bestFit="1" customWidth="1"/>
    <col min="9225" max="9225" width="11.85546875" style="53" bestFit="1" customWidth="1"/>
    <col min="9226" max="9226" width="12.85546875" style="53" bestFit="1" customWidth="1"/>
    <col min="9227" max="9472" width="9.140625" style="53"/>
    <col min="9473" max="9473" width="9.28515625" style="53" customWidth="1"/>
    <col min="9474" max="9474" width="39.85546875" style="53" customWidth="1"/>
    <col min="9475" max="9475" width="18.28515625" style="53" customWidth="1"/>
    <col min="9476" max="9476" width="23.85546875" style="53" customWidth="1"/>
    <col min="9477" max="9477" width="16" style="53" bestFit="1" customWidth="1"/>
    <col min="9478" max="9478" width="13.7109375" style="53" bestFit="1" customWidth="1"/>
    <col min="9479" max="9479" width="15.7109375" style="53" bestFit="1" customWidth="1"/>
    <col min="9480" max="9480" width="13.140625" style="53" bestFit="1" customWidth="1"/>
    <col min="9481" max="9481" width="11.85546875" style="53" bestFit="1" customWidth="1"/>
    <col min="9482" max="9482" width="12.85546875" style="53" bestFit="1" customWidth="1"/>
    <col min="9483" max="9728" width="9.140625" style="53"/>
    <col min="9729" max="9729" width="9.28515625" style="53" customWidth="1"/>
    <col min="9730" max="9730" width="39.85546875" style="53" customWidth="1"/>
    <col min="9731" max="9731" width="18.28515625" style="53" customWidth="1"/>
    <col min="9732" max="9732" width="23.85546875" style="53" customWidth="1"/>
    <col min="9733" max="9733" width="16" style="53" bestFit="1" customWidth="1"/>
    <col min="9734" max="9734" width="13.7109375" style="53" bestFit="1" customWidth="1"/>
    <col min="9735" max="9735" width="15.7109375" style="53" bestFit="1" customWidth="1"/>
    <col min="9736" max="9736" width="13.140625" style="53" bestFit="1" customWidth="1"/>
    <col min="9737" max="9737" width="11.85546875" style="53" bestFit="1" customWidth="1"/>
    <col min="9738" max="9738" width="12.85546875" style="53" bestFit="1" customWidth="1"/>
    <col min="9739" max="9984" width="9.140625" style="53"/>
    <col min="9985" max="9985" width="9.28515625" style="53" customWidth="1"/>
    <col min="9986" max="9986" width="39.85546875" style="53" customWidth="1"/>
    <col min="9987" max="9987" width="18.28515625" style="53" customWidth="1"/>
    <col min="9988" max="9988" width="23.85546875" style="53" customWidth="1"/>
    <col min="9989" max="9989" width="16" style="53" bestFit="1" customWidth="1"/>
    <col min="9990" max="9990" width="13.7109375" style="53" bestFit="1" customWidth="1"/>
    <col min="9991" max="9991" width="15.7109375" style="53" bestFit="1" customWidth="1"/>
    <col min="9992" max="9992" width="13.140625" style="53" bestFit="1" customWidth="1"/>
    <col min="9993" max="9993" width="11.85546875" style="53" bestFit="1" customWidth="1"/>
    <col min="9994" max="9994" width="12.85546875" style="53" bestFit="1" customWidth="1"/>
    <col min="9995" max="10240" width="9.140625" style="53"/>
    <col min="10241" max="10241" width="9.28515625" style="53" customWidth="1"/>
    <col min="10242" max="10242" width="39.85546875" style="53" customWidth="1"/>
    <col min="10243" max="10243" width="18.28515625" style="53" customWidth="1"/>
    <col min="10244" max="10244" width="23.85546875" style="53" customWidth="1"/>
    <col min="10245" max="10245" width="16" style="53" bestFit="1" customWidth="1"/>
    <col min="10246" max="10246" width="13.7109375" style="53" bestFit="1" customWidth="1"/>
    <col min="10247" max="10247" width="15.7109375" style="53" bestFit="1" customWidth="1"/>
    <col min="10248" max="10248" width="13.140625" style="53" bestFit="1" customWidth="1"/>
    <col min="10249" max="10249" width="11.85546875" style="53" bestFit="1" customWidth="1"/>
    <col min="10250" max="10250" width="12.85546875" style="53" bestFit="1" customWidth="1"/>
    <col min="10251" max="10496" width="9.140625" style="53"/>
    <col min="10497" max="10497" width="9.28515625" style="53" customWidth="1"/>
    <col min="10498" max="10498" width="39.85546875" style="53" customWidth="1"/>
    <col min="10499" max="10499" width="18.28515625" style="53" customWidth="1"/>
    <col min="10500" max="10500" width="23.85546875" style="53" customWidth="1"/>
    <col min="10501" max="10501" width="16" style="53" bestFit="1" customWidth="1"/>
    <col min="10502" max="10502" width="13.7109375" style="53" bestFit="1" customWidth="1"/>
    <col min="10503" max="10503" width="15.7109375" style="53" bestFit="1" customWidth="1"/>
    <col min="10504" max="10504" width="13.140625" style="53" bestFit="1" customWidth="1"/>
    <col min="10505" max="10505" width="11.85546875" style="53" bestFit="1" customWidth="1"/>
    <col min="10506" max="10506" width="12.85546875" style="53" bestFit="1" customWidth="1"/>
    <col min="10507" max="10752" width="9.140625" style="53"/>
    <col min="10753" max="10753" width="9.28515625" style="53" customWidth="1"/>
    <col min="10754" max="10754" width="39.85546875" style="53" customWidth="1"/>
    <col min="10755" max="10755" width="18.28515625" style="53" customWidth="1"/>
    <col min="10756" max="10756" width="23.85546875" style="53" customWidth="1"/>
    <col min="10757" max="10757" width="16" style="53" bestFit="1" customWidth="1"/>
    <col min="10758" max="10758" width="13.7109375" style="53" bestFit="1" customWidth="1"/>
    <col min="10759" max="10759" width="15.7109375" style="53" bestFit="1" customWidth="1"/>
    <col min="10760" max="10760" width="13.140625" style="53" bestFit="1" customWidth="1"/>
    <col min="10761" max="10761" width="11.85546875" style="53" bestFit="1" customWidth="1"/>
    <col min="10762" max="10762" width="12.85546875" style="53" bestFit="1" customWidth="1"/>
    <col min="10763" max="11008" width="9.140625" style="53"/>
    <col min="11009" max="11009" width="9.28515625" style="53" customWidth="1"/>
    <col min="11010" max="11010" width="39.85546875" style="53" customWidth="1"/>
    <col min="11011" max="11011" width="18.28515625" style="53" customWidth="1"/>
    <col min="11012" max="11012" width="23.85546875" style="53" customWidth="1"/>
    <col min="11013" max="11013" width="16" style="53" bestFit="1" customWidth="1"/>
    <col min="11014" max="11014" width="13.7109375" style="53" bestFit="1" customWidth="1"/>
    <col min="11015" max="11015" width="15.7109375" style="53" bestFit="1" customWidth="1"/>
    <col min="11016" max="11016" width="13.140625" style="53" bestFit="1" customWidth="1"/>
    <col min="11017" max="11017" width="11.85546875" style="53" bestFit="1" customWidth="1"/>
    <col min="11018" max="11018" width="12.85546875" style="53" bestFit="1" customWidth="1"/>
    <col min="11019" max="11264" width="9.140625" style="53"/>
    <col min="11265" max="11265" width="9.28515625" style="53" customWidth="1"/>
    <col min="11266" max="11266" width="39.85546875" style="53" customWidth="1"/>
    <col min="11267" max="11267" width="18.28515625" style="53" customWidth="1"/>
    <col min="11268" max="11268" width="23.85546875" style="53" customWidth="1"/>
    <col min="11269" max="11269" width="16" style="53" bestFit="1" customWidth="1"/>
    <col min="11270" max="11270" width="13.7109375" style="53" bestFit="1" customWidth="1"/>
    <col min="11271" max="11271" width="15.7109375" style="53" bestFit="1" customWidth="1"/>
    <col min="11272" max="11272" width="13.140625" style="53" bestFit="1" customWidth="1"/>
    <col min="11273" max="11273" width="11.85546875" style="53" bestFit="1" customWidth="1"/>
    <col min="11274" max="11274" width="12.85546875" style="53" bestFit="1" customWidth="1"/>
    <col min="11275" max="11520" width="9.140625" style="53"/>
    <col min="11521" max="11521" width="9.28515625" style="53" customWidth="1"/>
    <col min="11522" max="11522" width="39.85546875" style="53" customWidth="1"/>
    <col min="11523" max="11523" width="18.28515625" style="53" customWidth="1"/>
    <col min="11524" max="11524" width="23.85546875" style="53" customWidth="1"/>
    <col min="11525" max="11525" width="16" style="53" bestFit="1" customWidth="1"/>
    <col min="11526" max="11526" width="13.7109375" style="53" bestFit="1" customWidth="1"/>
    <col min="11527" max="11527" width="15.7109375" style="53" bestFit="1" customWidth="1"/>
    <col min="11528" max="11528" width="13.140625" style="53" bestFit="1" customWidth="1"/>
    <col min="11529" max="11529" width="11.85546875" style="53" bestFit="1" customWidth="1"/>
    <col min="11530" max="11530" width="12.85546875" style="53" bestFit="1" customWidth="1"/>
    <col min="11531" max="11776" width="9.140625" style="53"/>
    <col min="11777" max="11777" width="9.28515625" style="53" customWidth="1"/>
    <col min="11778" max="11778" width="39.85546875" style="53" customWidth="1"/>
    <col min="11779" max="11779" width="18.28515625" style="53" customWidth="1"/>
    <col min="11780" max="11780" width="23.85546875" style="53" customWidth="1"/>
    <col min="11781" max="11781" width="16" style="53" bestFit="1" customWidth="1"/>
    <col min="11782" max="11782" width="13.7109375" style="53" bestFit="1" customWidth="1"/>
    <col min="11783" max="11783" width="15.7109375" style="53" bestFit="1" customWidth="1"/>
    <col min="11784" max="11784" width="13.140625" style="53" bestFit="1" customWidth="1"/>
    <col min="11785" max="11785" width="11.85546875" style="53" bestFit="1" customWidth="1"/>
    <col min="11786" max="11786" width="12.85546875" style="53" bestFit="1" customWidth="1"/>
    <col min="11787" max="12032" width="9.140625" style="53"/>
    <col min="12033" max="12033" width="9.28515625" style="53" customWidth="1"/>
    <col min="12034" max="12034" width="39.85546875" style="53" customWidth="1"/>
    <col min="12035" max="12035" width="18.28515625" style="53" customWidth="1"/>
    <col min="12036" max="12036" width="23.85546875" style="53" customWidth="1"/>
    <col min="12037" max="12037" width="16" style="53" bestFit="1" customWidth="1"/>
    <col min="12038" max="12038" width="13.7109375" style="53" bestFit="1" customWidth="1"/>
    <col min="12039" max="12039" width="15.7109375" style="53" bestFit="1" customWidth="1"/>
    <col min="12040" max="12040" width="13.140625" style="53" bestFit="1" customWidth="1"/>
    <col min="12041" max="12041" width="11.85546875" style="53" bestFit="1" customWidth="1"/>
    <col min="12042" max="12042" width="12.85546875" style="53" bestFit="1" customWidth="1"/>
    <col min="12043" max="12288" width="9.140625" style="53"/>
    <col min="12289" max="12289" width="9.28515625" style="53" customWidth="1"/>
    <col min="12290" max="12290" width="39.85546875" style="53" customWidth="1"/>
    <col min="12291" max="12291" width="18.28515625" style="53" customWidth="1"/>
    <col min="12292" max="12292" width="23.85546875" style="53" customWidth="1"/>
    <col min="12293" max="12293" width="16" style="53" bestFit="1" customWidth="1"/>
    <col min="12294" max="12294" width="13.7109375" style="53" bestFit="1" customWidth="1"/>
    <col min="12295" max="12295" width="15.7109375" style="53" bestFit="1" customWidth="1"/>
    <col min="12296" max="12296" width="13.140625" style="53" bestFit="1" customWidth="1"/>
    <col min="12297" max="12297" width="11.85546875" style="53" bestFit="1" customWidth="1"/>
    <col min="12298" max="12298" width="12.85546875" style="53" bestFit="1" customWidth="1"/>
    <col min="12299" max="12544" width="9.140625" style="53"/>
    <col min="12545" max="12545" width="9.28515625" style="53" customWidth="1"/>
    <col min="12546" max="12546" width="39.85546875" style="53" customWidth="1"/>
    <col min="12547" max="12547" width="18.28515625" style="53" customWidth="1"/>
    <col min="12548" max="12548" width="23.85546875" style="53" customWidth="1"/>
    <col min="12549" max="12549" width="16" style="53" bestFit="1" customWidth="1"/>
    <col min="12550" max="12550" width="13.7109375" style="53" bestFit="1" customWidth="1"/>
    <col min="12551" max="12551" width="15.7109375" style="53" bestFit="1" customWidth="1"/>
    <col min="12552" max="12552" width="13.140625" style="53" bestFit="1" customWidth="1"/>
    <col min="12553" max="12553" width="11.85546875" style="53" bestFit="1" customWidth="1"/>
    <col min="12554" max="12554" width="12.85546875" style="53" bestFit="1" customWidth="1"/>
    <col min="12555" max="12800" width="9.140625" style="53"/>
    <col min="12801" max="12801" width="9.28515625" style="53" customWidth="1"/>
    <col min="12802" max="12802" width="39.85546875" style="53" customWidth="1"/>
    <col min="12803" max="12803" width="18.28515625" style="53" customWidth="1"/>
    <col min="12804" max="12804" width="23.85546875" style="53" customWidth="1"/>
    <col min="12805" max="12805" width="16" style="53" bestFit="1" customWidth="1"/>
    <col min="12806" max="12806" width="13.7109375" style="53" bestFit="1" customWidth="1"/>
    <col min="12807" max="12807" width="15.7109375" style="53" bestFit="1" customWidth="1"/>
    <col min="12808" max="12808" width="13.140625" style="53" bestFit="1" customWidth="1"/>
    <col min="12809" max="12809" width="11.85546875" style="53" bestFit="1" customWidth="1"/>
    <col min="12810" max="12810" width="12.85546875" style="53" bestFit="1" customWidth="1"/>
    <col min="12811" max="13056" width="9.140625" style="53"/>
    <col min="13057" max="13057" width="9.28515625" style="53" customWidth="1"/>
    <col min="13058" max="13058" width="39.85546875" style="53" customWidth="1"/>
    <col min="13059" max="13059" width="18.28515625" style="53" customWidth="1"/>
    <col min="13060" max="13060" width="23.85546875" style="53" customWidth="1"/>
    <col min="13061" max="13061" width="16" style="53" bestFit="1" customWidth="1"/>
    <col min="13062" max="13062" width="13.7109375" style="53" bestFit="1" customWidth="1"/>
    <col min="13063" max="13063" width="15.7109375" style="53" bestFit="1" customWidth="1"/>
    <col min="13064" max="13064" width="13.140625" style="53" bestFit="1" customWidth="1"/>
    <col min="13065" max="13065" width="11.85546875" style="53" bestFit="1" customWidth="1"/>
    <col min="13066" max="13066" width="12.85546875" style="53" bestFit="1" customWidth="1"/>
    <col min="13067" max="13312" width="9.140625" style="53"/>
    <col min="13313" max="13313" width="9.28515625" style="53" customWidth="1"/>
    <col min="13314" max="13314" width="39.85546875" style="53" customWidth="1"/>
    <col min="13315" max="13315" width="18.28515625" style="53" customWidth="1"/>
    <col min="13316" max="13316" width="23.85546875" style="53" customWidth="1"/>
    <col min="13317" max="13317" width="16" style="53" bestFit="1" customWidth="1"/>
    <col min="13318" max="13318" width="13.7109375" style="53" bestFit="1" customWidth="1"/>
    <col min="13319" max="13319" width="15.7109375" style="53" bestFit="1" customWidth="1"/>
    <col min="13320" max="13320" width="13.140625" style="53" bestFit="1" customWidth="1"/>
    <col min="13321" max="13321" width="11.85546875" style="53" bestFit="1" customWidth="1"/>
    <col min="13322" max="13322" width="12.85546875" style="53" bestFit="1" customWidth="1"/>
    <col min="13323" max="13568" width="9.140625" style="53"/>
    <col min="13569" max="13569" width="9.28515625" style="53" customWidth="1"/>
    <col min="13570" max="13570" width="39.85546875" style="53" customWidth="1"/>
    <col min="13571" max="13571" width="18.28515625" style="53" customWidth="1"/>
    <col min="13572" max="13572" width="23.85546875" style="53" customWidth="1"/>
    <col min="13573" max="13573" width="16" style="53" bestFit="1" customWidth="1"/>
    <col min="13574" max="13574" width="13.7109375" style="53" bestFit="1" customWidth="1"/>
    <col min="13575" max="13575" width="15.7109375" style="53" bestFit="1" customWidth="1"/>
    <col min="13576" max="13576" width="13.140625" style="53" bestFit="1" customWidth="1"/>
    <col min="13577" max="13577" width="11.85546875" style="53" bestFit="1" customWidth="1"/>
    <col min="13578" max="13578" width="12.85546875" style="53" bestFit="1" customWidth="1"/>
    <col min="13579" max="13824" width="9.140625" style="53"/>
    <col min="13825" max="13825" width="9.28515625" style="53" customWidth="1"/>
    <col min="13826" max="13826" width="39.85546875" style="53" customWidth="1"/>
    <col min="13827" max="13827" width="18.28515625" style="53" customWidth="1"/>
    <col min="13828" max="13828" width="23.85546875" style="53" customWidth="1"/>
    <col min="13829" max="13829" width="16" style="53" bestFit="1" customWidth="1"/>
    <col min="13830" max="13830" width="13.7109375" style="53" bestFit="1" customWidth="1"/>
    <col min="13831" max="13831" width="15.7109375" style="53" bestFit="1" customWidth="1"/>
    <col min="13832" max="13832" width="13.140625" style="53" bestFit="1" customWidth="1"/>
    <col min="13833" max="13833" width="11.85546875" style="53" bestFit="1" customWidth="1"/>
    <col min="13834" max="13834" width="12.85546875" style="53" bestFit="1" customWidth="1"/>
    <col min="13835" max="14080" width="9.140625" style="53"/>
    <col min="14081" max="14081" width="9.28515625" style="53" customWidth="1"/>
    <col min="14082" max="14082" width="39.85546875" style="53" customWidth="1"/>
    <col min="14083" max="14083" width="18.28515625" style="53" customWidth="1"/>
    <col min="14084" max="14084" width="23.85546875" style="53" customWidth="1"/>
    <col min="14085" max="14085" width="16" style="53" bestFit="1" customWidth="1"/>
    <col min="14086" max="14086" width="13.7109375" style="53" bestFit="1" customWidth="1"/>
    <col min="14087" max="14087" width="15.7109375" style="53" bestFit="1" customWidth="1"/>
    <col min="14088" max="14088" width="13.140625" style="53" bestFit="1" customWidth="1"/>
    <col min="14089" max="14089" width="11.85546875" style="53" bestFit="1" customWidth="1"/>
    <col min="14090" max="14090" width="12.85546875" style="53" bestFit="1" customWidth="1"/>
    <col min="14091" max="14336" width="9.140625" style="53"/>
    <col min="14337" max="14337" width="9.28515625" style="53" customWidth="1"/>
    <col min="14338" max="14338" width="39.85546875" style="53" customWidth="1"/>
    <col min="14339" max="14339" width="18.28515625" style="53" customWidth="1"/>
    <col min="14340" max="14340" width="23.85546875" style="53" customWidth="1"/>
    <col min="14341" max="14341" width="16" style="53" bestFit="1" customWidth="1"/>
    <col min="14342" max="14342" width="13.7109375" style="53" bestFit="1" customWidth="1"/>
    <col min="14343" max="14343" width="15.7109375" style="53" bestFit="1" customWidth="1"/>
    <col min="14344" max="14344" width="13.140625" style="53" bestFit="1" customWidth="1"/>
    <col min="14345" max="14345" width="11.85546875" style="53" bestFit="1" customWidth="1"/>
    <col min="14346" max="14346" width="12.85546875" style="53" bestFit="1" customWidth="1"/>
    <col min="14347" max="14592" width="9.140625" style="53"/>
    <col min="14593" max="14593" width="9.28515625" style="53" customWidth="1"/>
    <col min="14594" max="14594" width="39.85546875" style="53" customWidth="1"/>
    <col min="14595" max="14595" width="18.28515625" style="53" customWidth="1"/>
    <col min="14596" max="14596" width="23.85546875" style="53" customWidth="1"/>
    <col min="14597" max="14597" width="16" style="53" bestFit="1" customWidth="1"/>
    <col min="14598" max="14598" width="13.7109375" style="53" bestFit="1" customWidth="1"/>
    <col min="14599" max="14599" width="15.7109375" style="53" bestFit="1" customWidth="1"/>
    <col min="14600" max="14600" width="13.140625" style="53" bestFit="1" customWidth="1"/>
    <col min="14601" max="14601" width="11.85546875" style="53" bestFit="1" customWidth="1"/>
    <col min="14602" max="14602" width="12.85546875" style="53" bestFit="1" customWidth="1"/>
    <col min="14603" max="14848" width="9.140625" style="53"/>
    <col min="14849" max="14849" width="9.28515625" style="53" customWidth="1"/>
    <col min="14850" max="14850" width="39.85546875" style="53" customWidth="1"/>
    <col min="14851" max="14851" width="18.28515625" style="53" customWidth="1"/>
    <col min="14852" max="14852" width="23.85546875" style="53" customWidth="1"/>
    <col min="14853" max="14853" width="16" style="53" bestFit="1" customWidth="1"/>
    <col min="14854" max="14854" width="13.7109375" style="53" bestFit="1" customWidth="1"/>
    <col min="14855" max="14855" width="15.7109375" style="53" bestFit="1" customWidth="1"/>
    <col min="14856" max="14856" width="13.140625" style="53" bestFit="1" customWidth="1"/>
    <col min="14857" max="14857" width="11.85546875" style="53" bestFit="1" customWidth="1"/>
    <col min="14858" max="14858" width="12.85546875" style="53" bestFit="1" customWidth="1"/>
    <col min="14859" max="15104" width="9.140625" style="53"/>
    <col min="15105" max="15105" width="9.28515625" style="53" customWidth="1"/>
    <col min="15106" max="15106" width="39.85546875" style="53" customWidth="1"/>
    <col min="15107" max="15107" width="18.28515625" style="53" customWidth="1"/>
    <col min="15108" max="15108" width="23.85546875" style="53" customWidth="1"/>
    <col min="15109" max="15109" width="16" style="53" bestFit="1" customWidth="1"/>
    <col min="15110" max="15110" width="13.7109375" style="53" bestFit="1" customWidth="1"/>
    <col min="15111" max="15111" width="15.7109375" style="53" bestFit="1" customWidth="1"/>
    <col min="15112" max="15112" width="13.140625" style="53" bestFit="1" customWidth="1"/>
    <col min="15113" max="15113" width="11.85546875" style="53" bestFit="1" customWidth="1"/>
    <col min="15114" max="15114" width="12.85546875" style="53" bestFit="1" customWidth="1"/>
    <col min="15115" max="15360" width="9.140625" style="53"/>
    <col min="15361" max="15361" width="9.28515625" style="53" customWidth="1"/>
    <col min="15362" max="15362" width="39.85546875" style="53" customWidth="1"/>
    <col min="15363" max="15363" width="18.28515625" style="53" customWidth="1"/>
    <col min="15364" max="15364" width="23.85546875" style="53" customWidth="1"/>
    <col min="15365" max="15365" width="16" style="53" bestFit="1" customWidth="1"/>
    <col min="15366" max="15366" width="13.7109375" style="53" bestFit="1" customWidth="1"/>
    <col min="15367" max="15367" width="15.7109375" style="53" bestFit="1" customWidth="1"/>
    <col min="15368" max="15368" width="13.140625" style="53" bestFit="1" customWidth="1"/>
    <col min="15369" max="15369" width="11.85546875" style="53" bestFit="1" customWidth="1"/>
    <col min="15370" max="15370" width="12.85546875" style="53" bestFit="1" customWidth="1"/>
    <col min="15371" max="15616" width="9.140625" style="53"/>
    <col min="15617" max="15617" width="9.28515625" style="53" customWidth="1"/>
    <col min="15618" max="15618" width="39.85546875" style="53" customWidth="1"/>
    <col min="15619" max="15619" width="18.28515625" style="53" customWidth="1"/>
    <col min="15620" max="15620" width="23.85546875" style="53" customWidth="1"/>
    <col min="15621" max="15621" width="16" style="53" bestFit="1" customWidth="1"/>
    <col min="15622" max="15622" width="13.7109375" style="53" bestFit="1" customWidth="1"/>
    <col min="15623" max="15623" width="15.7109375" style="53" bestFit="1" customWidth="1"/>
    <col min="15624" max="15624" width="13.140625" style="53" bestFit="1" customWidth="1"/>
    <col min="15625" max="15625" width="11.85546875" style="53" bestFit="1" customWidth="1"/>
    <col min="15626" max="15626" width="12.85546875" style="53" bestFit="1" customWidth="1"/>
    <col min="15627" max="15872" width="9.140625" style="53"/>
    <col min="15873" max="15873" width="9.28515625" style="53" customWidth="1"/>
    <col min="15874" max="15874" width="39.85546875" style="53" customWidth="1"/>
    <col min="15875" max="15875" width="18.28515625" style="53" customWidth="1"/>
    <col min="15876" max="15876" width="23.85546875" style="53" customWidth="1"/>
    <col min="15877" max="15877" width="16" style="53" bestFit="1" customWidth="1"/>
    <col min="15878" max="15878" width="13.7109375" style="53" bestFit="1" customWidth="1"/>
    <col min="15879" max="15879" width="15.7109375" style="53" bestFit="1" customWidth="1"/>
    <col min="15880" max="15880" width="13.140625" style="53" bestFit="1" customWidth="1"/>
    <col min="15881" max="15881" width="11.85546875" style="53" bestFit="1" customWidth="1"/>
    <col min="15882" max="15882" width="12.85546875" style="53" bestFit="1" customWidth="1"/>
    <col min="15883" max="16128" width="9.140625" style="53"/>
    <col min="16129" max="16129" width="9.28515625" style="53" customWidth="1"/>
    <col min="16130" max="16130" width="39.85546875" style="53" customWidth="1"/>
    <col min="16131" max="16131" width="18.28515625" style="53" customWidth="1"/>
    <col min="16132" max="16132" width="23.85546875" style="53" customWidth="1"/>
    <col min="16133" max="16133" width="16" style="53" bestFit="1" customWidth="1"/>
    <col min="16134" max="16134" width="13.7109375" style="53" bestFit="1" customWidth="1"/>
    <col min="16135" max="16135" width="15.7109375" style="53" bestFit="1" customWidth="1"/>
    <col min="16136" max="16136" width="13.140625" style="53" bestFit="1" customWidth="1"/>
    <col min="16137" max="16137" width="11.85546875" style="53" bestFit="1" customWidth="1"/>
    <col min="16138" max="16138" width="12.85546875" style="53" bestFit="1" customWidth="1"/>
    <col min="16139" max="16384" width="9.140625" style="53"/>
  </cols>
  <sheetData>
    <row r="3" spans="1:7" ht="15.75" customHeight="1">
      <c r="A3" s="543" t="s">
        <v>255</v>
      </c>
      <c r="B3" s="543"/>
      <c r="C3" s="543"/>
      <c r="D3" s="543"/>
      <c r="E3" s="52"/>
      <c r="F3" s="52"/>
      <c r="G3" s="52"/>
    </row>
    <row r="4" spans="1:7">
      <c r="A4" s="543"/>
      <c r="B4" s="543"/>
      <c r="C4" s="543"/>
      <c r="D4" s="543"/>
      <c r="E4" s="52"/>
      <c r="F4" s="52"/>
      <c r="G4" s="52"/>
    </row>
    <row r="5" spans="1:7">
      <c r="A5" s="54"/>
      <c r="B5" s="52"/>
      <c r="C5" s="52"/>
      <c r="D5" s="52"/>
      <c r="E5" s="52"/>
      <c r="F5" s="52"/>
      <c r="G5" s="52"/>
    </row>
    <row r="6" spans="1:7" ht="15.75" customHeight="1">
      <c r="A6" s="544" t="s">
        <v>550</v>
      </c>
      <c r="B6" s="544"/>
      <c r="C6" s="544"/>
      <c r="D6" s="544"/>
      <c r="E6" s="52"/>
      <c r="F6" s="52"/>
      <c r="G6" s="52"/>
    </row>
    <row r="7" spans="1:7">
      <c r="A7" s="522"/>
      <c r="B7" s="522"/>
      <c r="C7" s="522"/>
      <c r="D7" s="522"/>
    </row>
    <row r="8" spans="1:7">
      <c r="A8" s="237" t="s">
        <v>551</v>
      </c>
      <c r="B8" s="238"/>
      <c r="C8" s="187"/>
      <c r="D8" s="187"/>
    </row>
    <row r="9" spans="1:7">
      <c r="A9" s="522"/>
      <c r="B9" s="522"/>
      <c r="C9" s="522"/>
      <c r="D9" s="522"/>
    </row>
    <row r="10" spans="1:7">
      <c r="A10" s="57" t="s">
        <v>256</v>
      </c>
      <c r="B10" s="188"/>
      <c r="C10" s="187"/>
      <c r="D10" s="187"/>
    </row>
    <row r="11" spans="1:7">
      <c r="A11" s="59" t="s">
        <v>257</v>
      </c>
      <c r="B11" s="541" t="s">
        <v>258</v>
      </c>
      <c r="C11" s="542"/>
      <c r="D11" s="239">
        <v>42550</v>
      </c>
    </row>
    <row r="12" spans="1:7">
      <c r="A12" s="59" t="s">
        <v>259</v>
      </c>
      <c r="B12" s="62" t="s">
        <v>260</v>
      </c>
      <c r="C12" s="63"/>
      <c r="D12" s="240" t="s">
        <v>374</v>
      </c>
    </row>
    <row r="13" spans="1:7">
      <c r="A13" s="59" t="s">
        <v>261</v>
      </c>
      <c r="B13" s="541" t="s">
        <v>262</v>
      </c>
      <c r="C13" s="542"/>
      <c r="D13" s="240">
        <v>2016</v>
      </c>
    </row>
    <row r="14" spans="1:7">
      <c r="A14" s="64" t="s">
        <v>263</v>
      </c>
      <c r="B14" s="65" t="s">
        <v>555</v>
      </c>
      <c r="C14" s="66"/>
      <c r="D14" s="239">
        <v>42625</v>
      </c>
    </row>
    <row r="16" spans="1:7">
      <c r="A16" s="190"/>
    </row>
    <row r="17" spans="1:7">
      <c r="A17" s="523"/>
      <c r="B17" s="523"/>
      <c r="C17" s="523"/>
      <c r="D17" s="523"/>
      <c r="E17" s="523"/>
      <c r="F17" s="523"/>
      <c r="G17" s="523"/>
    </row>
    <row r="18" spans="1:7" ht="35.25" customHeight="1">
      <c r="A18" s="545" t="s">
        <v>264</v>
      </c>
      <c r="B18" s="545"/>
      <c r="C18" s="67" t="s">
        <v>265</v>
      </c>
      <c r="D18" s="67" t="s">
        <v>266</v>
      </c>
    </row>
    <row r="19" spans="1:7">
      <c r="A19" s="241">
        <v>1</v>
      </c>
      <c r="B19" s="242" t="s">
        <v>559</v>
      </c>
      <c r="C19" s="241" t="s">
        <v>267</v>
      </c>
      <c r="D19" s="243">
        <v>4</v>
      </c>
    </row>
    <row r="20" spans="1:7">
      <c r="A20" s="68"/>
      <c r="B20" s="69"/>
      <c r="C20" s="68"/>
      <c r="D20" s="70"/>
    </row>
    <row r="21" spans="1:7">
      <c r="A21" s="522" t="s">
        <v>268</v>
      </c>
      <c r="B21" s="522"/>
      <c r="C21" s="522"/>
      <c r="D21" s="522"/>
      <c r="E21" s="522"/>
      <c r="F21" s="522"/>
      <c r="G21" s="522"/>
    </row>
    <row r="22" spans="1:7">
      <c r="A22" s="71"/>
    </row>
    <row r="23" spans="1:7">
      <c r="A23" s="57" t="s">
        <v>269</v>
      </c>
    </row>
    <row r="24" spans="1:7">
      <c r="A24" s="57" t="s">
        <v>270</v>
      </c>
    </row>
    <row r="25" spans="1:7">
      <c r="A25" s="72" t="s">
        <v>271</v>
      </c>
      <c r="B25" s="60"/>
      <c r="C25" s="60"/>
      <c r="D25" s="61"/>
    </row>
    <row r="26" spans="1:7" ht="31.5">
      <c r="A26" s="73">
        <v>1</v>
      </c>
      <c r="B26" s="74" t="s">
        <v>272</v>
      </c>
      <c r="C26" s="74"/>
      <c r="D26" s="244" t="str">
        <f>B19</f>
        <v>MANUENÇÃO PREDIAL</v>
      </c>
    </row>
    <row r="27" spans="1:7" ht="30.75" customHeight="1">
      <c r="A27" s="73">
        <v>2</v>
      </c>
      <c r="B27" s="539" t="s">
        <v>273</v>
      </c>
      <c r="C27" s="540"/>
      <c r="D27" s="175">
        <v>1595</v>
      </c>
    </row>
    <row r="28" spans="1:7" ht="31.5" customHeight="1">
      <c r="A28" s="73">
        <v>3</v>
      </c>
      <c r="B28" s="539" t="s">
        <v>274</v>
      </c>
      <c r="C28" s="540"/>
      <c r="D28" s="176" t="s">
        <v>375</v>
      </c>
    </row>
    <row r="29" spans="1:7">
      <c r="A29" s="75">
        <v>4</v>
      </c>
      <c r="B29" s="76" t="s">
        <v>275</v>
      </c>
      <c r="C29" s="76"/>
      <c r="D29" s="77">
        <v>42206</v>
      </c>
    </row>
    <row r="30" spans="1:7">
      <c r="A30" s="71"/>
    </row>
    <row r="31" spans="1:7">
      <c r="A31" s="71"/>
    </row>
    <row r="32" spans="1:7">
      <c r="A32" s="71"/>
    </row>
    <row r="33" spans="1:7" ht="16.5" customHeight="1" thickBot="1">
      <c r="A33" s="523" t="s">
        <v>276</v>
      </c>
      <c r="B33" s="523"/>
      <c r="C33" s="523"/>
      <c r="D33" s="523"/>
      <c r="E33" s="523"/>
      <c r="F33" s="52"/>
      <c r="G33" s="52"/>
    </row>
    <row r="34" spans="1:7" ht="16.5" thickBot="1">
      <c r="A34" s="78" t="s">
        <v>277</v>
      </c>
      <c r="B34" s="79" t="s">
        <v>278</v>
      </c>
      <c r="C34" s="80"/>
      <c r="D34" s="81" t="s">
        <v>279</v>
      </c>
    </row>
    <row r="35" spans="1:7">
      <c r="A35" s="82" t="s">
        <v>257</v>
      </c>
      <c r="B35" s="83" t="s">
        <v>280</v>
      </c>
      <c r="C35" s="84"/>
      <c r="D35" s="85">
        <f>ROUND(((D27/220)*(365.25/12)*(40/6)),2)</f>
        <v>1471.15</v>
      </c>
    </row>
    <row r="36" spans="1:7">
      <c r="A36" s="191" t="s">
        <v>259</v>
      </c>
      <c r="B36" s="87" t="s">
        <v>281</v>
      </c>
      <c r="C36" s="88"/>
      <c r="D36" s="89">
        <v>0</v>
      </c>
    </row>
    <row r="37" spans="1:7">
      <c r="A37" s="191" t="s">
        <v>261</v>
      </c>
      <c r="B37" s="87" t="s">
        <v>282</v>
      </c>
      <c r="C37" s="90"/>
      <c r="D37" s="89">
        <v>0</v>
      </c>
    </row>
    <row r="38" spans="1:7">
      <c r="A38" s="191" t="s">
        <v>263</v>
      </c>
      <c r="B38" s="91" t="s">
        <v>552</v>
      </c>
      <c r="C38" s="88"/>
      <c r="D38" s="89">
        <v>0</v>
      </c>
    </row>
    <row r="39" spans="1:7">
      <c r="A39" s="191" t="s">
        <v>284</v>
      </c>
      <c r="B39" s="91" t="s">
        <v>285</v>
      </c>
      <c r="C39" s="92"/>
      <c r="D39" s="89">
        <v>0</v>
      </c>
    </row>
    <row r="40" spans="1:7">
      <c r="A40" s="191" t="s">
        <v>286</v>
      </c>
      <c r="B40" s="93" t="s">
        <v>287</v>
      </c>
      <c r="C40" s="92"/>
      <c r="D40" s="89">
        <v>0</v>
      </c>
    </row>
    <row r="41" spans="1:7">
      <c r="A41" s="191" t="s">
        <v>288</v>
      </c>
      <c r="B41" s="93" t="s">
        <v>289</v>
      </c>
      <c r="C41" s="92"/>
      <c r="D41" s="89">
        <v>0</v>
      </c>
    </row>
    <row r="42" spans="1:7" ht="16.5" thickBot="1">
      <c r="A42" s="191" t="s">
        <v>290</v>
      </c>
      <c r="B42" s="94" t="s">
        <v>376</v>
      </c>
      <c r="C42" s="95"/>
      <c r="D42" s="89">
        <v>0</v>
      </c>
    </row>
    <row r="43" spans="1:7" ht="16.5" thickBot="1">
      <c r="A43" s="96"/>
      <c r="B43" s="97" t="s">
        <v>292</v>
      </c>
      <c r="C43" s="98"/>
      <c r="D43" s="99">
        <f>SUM(D35:D42)</f>
        <v>1471.15</v>
      </c>
    </row>
    <row r="44" spans="1:7">
      <c r="A44" s="190"/>
    </row>
    <row r="45" spans="1:7" ht="16.5" thickBot="1">
      <c r="A45" s="523" t="s">
        <v>293</v>
      </c>
      <c r="B45" s="523"/>
      <c r="C45" s="523"/>
      <c r="D45" s="523"/>
      <c r="E45" s="523"/>
      <c r="F45" s="523"/>
      <c r="G45" s="523"/>
    </row>
    <row r="46" spans="1:7" ht="16.5" thickBot="1">
      <c r="A46" s="100">
        <v>2</v>
      </c>
      <c r="B46" s="189" t="s">
        <v>294</v>
      </c>
      <c r="C46" s="102"/>
      <c r="D46" s="100" t="s">
        <v>279</v>
      </c>
    </row>
    <row r="47" spans="1:7">
      <c r="A47" s="82" t="s">
        <v>257</v>
      </c>
      <c r="B47" s="83" t="s">
        <v>295</v>
      </c>
      <c r="C47" s="103"/>
      <c r="D47" s="104">
        <f>(3.7*44)-(D35*6%)</f>
        <v>74.531000000000006</v>
      </c>
    </row>
    <row r="48" spans="1:7" ht="31.5">
      <c r="A48" s="105" t="s">
        <v>259</v>
      </c>
      <c r="B48" s="106" t="s">
        <v>296</v>
      </c>
      <c r="C48" s="90"/>
      <c r="D48" s="107">
        <v>355</v>
      </c>
    </row>
    <row r="49" spans="1:7">
      <c r="A49" s="191" t="s">
        <v>261</v>
      </c>
      <c r="B49" s="87" t="s">
        <v>389</v>
      </c>
      <c r="C49" s="90"/>
      <c r="D49" s="107">
        <v>50</v>
      </c>
    </row>
    <row r="50" spans="1:7">
      <c r="A50" s="191" t="s">
        <v>263</v>
      </c>
      <c r="B50" s="87" t="s">
        <v>19</v>
      </c>
      <c r="C50" s="88"/>
      <c r="D50" s="107">
        <v>5.5</v>
      </c>
    </row>
    <row r="51" spans="1:7">
      <c r="A51" s="191" t="s">
        <v>284</v>
      </c>
      <c r="B51" s="87" t="s">
        <v>395</v>
      </c>
      <c r="C51" s="92"/>
      <c r="D51" s="108">
        <f>3.81*22</f>
        <v>83.820000000000007</v>
      </c>
    </row>
    <row r="52" spans="1:7" ht="16.5" customHeight="1">
      <c r="A52" s="191" t="s">
        <v>286</v>
      </c>
      <c r="B52" s="535" t="s">
        <v>394</v>
      </c>
      <c r="C52" s="536"/>
      <c r="D52" s="108">
        <f>355/12</f>
        <v>29.583333333333332</v>
      </c>
    </row>
    <row r="53" spans="1:7" ht="16.5" thickBot="1">
      <c r="A53" s="109" t="s">
        <v>288</v>
      </c>
      <c r="B53" s="537" t="s">
        <v>291</v>
      </c>
      <c r="C53" s="538"/>
      <c r="D53" s="110">
        <v>0</v>
      </c>
    </row>
    <row r="54" spans="1:7" ht="16.5" thickBot="1">
      <c r="A54" s="111"/>
      <c r="B54" s="189" t="s">
        <v>298</v>
      </c>
      <c r="C54" s="112"/>
      <c r="D54" s="113">
        <f>SUM(D47:D53)</f>
        <v>598.43433333333337</v>
      </c>
    </row>
    <row r="55" spans="1:7" ht="33" customHeight="1">
      <c r="A55" s="522" t="s">
        <v>299</v>
      </c>
      <c r="B55" s="522"/>
      <c r="C55" s="522"/>
      <c r="D55" s="522"/>
    </row>
    <row r="56" spans="1:7">
      <c r="A56" s="190"/>
    </row>
    <row r="57" spans="1:7" ht="16.5" thickBot="1">
      <c r="A57" s="523" t="s">
        <v>300</v>
      </c>
      <c r="B57" s="523"/>
      <c r="C57" s="523"/>
      <c r="D57" s="523"/>
      <c r="E57" s="523"/>
      <c r="F57" s="523"/>
      <c r="G57" s="523"/>
    </row>
    <row r="58" spans="1:7" ht="16.5" thickBot="1">
      <c r="A58" s="114">
        <v>3</v>
      </c>
      <c r="B58" s="189" t="s">
        <v>301</v>
      </c>
      <c r="C58" s="102"/>
      <c r="D58" s="100" t="s">
        <v>279</v>
      </c>
    </row>
    <row r="59" spans="1:7">
      <c r="A59" s="82" t="s">
        <v>257</v>
      </c>
      <c r="B59" s="83" t="s">
        <v>302</v>
      </c>
      <c r="C59" s="115"/>
      <c r="D59" s="116">
        <f>'ANEXO IV'!D69</f>
        <v>43</v>
      </c>
    </row>
    <row r="60" spans="1:7">
      <c r="A60" s="105" t="s">
        <v>259</v>
      </c>
      <c r="B60" s="106" t="s">
        <v>15</v>
      </c>
      <c r="C60" s="90"/>
      <c r="D60" s="107">
        <f>Equipamentos!E61/17</f>
        <v>12.164705882352942</v>
      </c>
    </row>
    <row r="61" spans="1:7">
      <c r="A61" s="191" t="s">
        <v>261</v>
      </c>
      <c r="B61" s="87" t="s">
        <v>21</v>
      </c>
      <c r="C61" s="90"/>
      <c r="D61" s="107">
        <v>19.68</v>
      </c>
    </row>
    <row r="62" spans="1:7">
      <c r="A62" s="191" t="s">
        <v>263</v>
      </c>
      <c r="B62" s="535" t="s">
        <v>18</v>
      </c>
      <c r="C62" s="536"/>
      <c r="D62" s="108">
        <f>Equipamentos!D140</f>
        <v>18.423333333333336</v>
      </c>
    </row>
    <row r="63" spans="1:7" ht="16.5" thickBot="1">
      <c r="A63" s="109" t="s">
        <v>284</v>
      </c>
      <c r="B63" s="537" t="s">
        <v>291</v>
      </c>
      <c r="C63" s="538"/>
      <c r="D63" s="110">
        <v>0</v>
      </c>
    </row>
    <row r="64" spans="1:7" ht="16.5" thickBot="1">
      <c r="A64" s="111"/>
      <c r="B64" s="189" t="s">
        <v>303</v>
      </c>
      <c r="C64" s="112"/>
      <c r="D64" s="113">
        <f>SUM(D59:D63)</f>
        <v>93.268039215686272</v>
      </c>
    </row>
    <row r="65" spans="1:7">
      <c r="A65" s="522" t="s">
        <v>304</v>
      </c>
      <c r="B65" s="522"/>
      <c r="C65" s="522"/>
      <c r="D65" s="522"/>
      <c r="E65" s="522"/>
      <c r="F65" s="522"/>
      <c r="G65" s="522"/>
    </row>
    <row r="66" spans="1:7">
      <c r="A66" s="190"/>
    </row>
    <row r="67" spans="1:7">
      <c r="A67" s="523" t="s">
        <v>305</v>
      </c>
      <c r="B67" s="523"/>
      <c r="C67" s="523"/>
      <c r="D67" s="523"/>
      <c r="E67" s="523"/>
      <c r="F67" s="523"/>
      <c r="G67" s="523"/>
    </row>
    <row r="68" spans="1:7" ht="16.5" thickBot="1">
      <c r="A68" s="523" t="s">
        <v>306</v>
      </c>
      <c r="B68" s="523"/>
      <c r="C68" s="523"/>
      <c r="D68" s="523"/>
      <c r="E68" s="523"/>
      <c r="F68" s="523"/>
      <c r="G68" s="523"/>
    </row>
    <row r="69" spans="1:7" ht="16.5" thickBot="1">
      <c r="A69" s="117" t="s">
        <v>307</v>
      </c>
      <c r="B69" s="118" t="s">
        <v>308</v>
      </c>
      <c r="C69" s="117" t="s">
        <v>4</v>
      </c>
      <c r="D69" s="117" t="s">
        <v>279</v>
      </c>
    </row>
    <row r="70" spans="1:7">
      <c r="A70" s="82" t="s">
        <v>257</v>
      </c>
      <c r="B70" s="119" t="s">
        <v>8</v>
      </c>
      <c r="C70" s="120">
        <v>0.2</v>
      </c>
      <c r="D70" s="104">
        <f t="shared" ref="D70:D77" si="0">ROUND($D$43*C70,2)</f>
        <v>294.23</v>
      </c>
    </row>
    <row r="71" spans="1:7">
      <c r="A71" s="105" t="s">
        <v>259</v>
      </c>
      <c r="B71" s="121" t="s">
        <v>309</v>
      </c>
      <c r="C71" s="122">
        <v>1.4999999999999999E-2</v>
      </c>
      <c r="D71" s="107">
        <f t="shared" si="0"/>
        <v>22.07</v>
      </c>
    </row>
    <row r="72" spans="1:7">
      <c r="A72" s="191" t="s">
        <v>261</v>
      </c>
      <c r="B72" s="123" t="s">
        <v>310</v>
      </c>
      <c r="C72" s="122">
        <v>0.01</v>
      </c>
      <c r="D72" s="107">
        <f t="shared" si="0"/>
        <v>14.71</v>
      </c>
    </row>
    <row r="73" spans="1:7">
      <c r="A73" s="105" t="s">
        <v>263</v>
      </c>
      <c r="B73" s="121" t="s">
        <v>9</v>
      </c>
      <c r="C73" s="122">
        <v>2E-3</v>
      </c>
      <c r="D73" s="107">
        <f t="shared" si="0"/>
        <v>2.94</v>
      </c>
    </row>
    <row r="74" spans="1:7">
      <c r="A74" s="191" t="s">
        <v>284</v>
      </c>
      <c r="B74" s="123" t="s">
        <v>10</v>
      </c>
      <c r="C74" s="122">
        <v>2.5000000000000001E-2</v>
      </c>
      <c r="D74" s="107">
        <f t="shared" si="0"/>
        <v>36.78</v>
      </c>
    </row>
    <row r="75" spans="1:7">
      <c r="A75" s="105" t="s">
        <v>286</v>
      </c>
      <c r="B75" s="121" t="s">
        <v>11</v>
      </c>
      <c r="C75" s="122">
        <v>0.08</v>
      </c>
      <c r="D75" s="107">
        <f t="shared" si="0"/>
        <v>117.69</v>
      </c>
    </row>
    <row r="76" spans="1:7" ht="31.5">
      <c r="A76" s="191" t="s">
        <v>288</v>
      </c>
      <c r="B76" s="123" t="s">
        <v>378</v>
      </c>
      <c r="C76" s="141">
        <v>3.0499999999999999E-2</v>
      </c>
      <c r="D76" s="245">
        <f t="shared" si="0"/>
        <v>44.87</v>
      </c>
    </row>
    <row r="77" spans="1:7" ht="16.5" thickBot="1">
      <c r="A77" s="124" t="s">
        <v>290</v>
      </c>
      <c r="B77" s="125" t="s">
        <v>12</v>
      </c>
      <c r="C77" s="126">
        <v>6.0000000000000001E-3</v>
      </c>
      <c r="D77" s="110">
        <f t="shared" si="0"/>
        <v>8.83</v>
      </c>
    </row>
    <row r="78" spans="1:7" ht="16.5" thickBot="1">
      <c r="A78" s="530" t="s">
        <v>7</v>
      </c>
      <c r="B78" s="531"/>
      <c r="C78" s="127">
        <f>SUM(C70:C77)</f>
        <v>0.36850000000000005</v>
      </c>
      <c r="D78" s="113">
        <f>SUM(D70:D77)</f>
        <v>542.12</v>
      </c>
    </row>
    <row r="79" spans="1:7">
      <c r="A79" s="534" t="s">
        <v>311</v>
      </c>
      <c r="B79" s="534"/>
      <c r="C79" s="534"/>
      <c r="D79" s="534"/>
    </row>
    <row r="80" spans="1:7" ht="16.5" customHeight="1">
      <c r="A80" s="534" t="s">
        <v>312</v>
      </c>
      <c r="B80" s="534"/>
      <c r="C80" s="534"/>
      <c r="D80" s="534"/>
    </row>
    <row r="81" spans="1:7">
      <c r="A81" s="190"/>
    </row>
    <row r="82" spans="1:7" ht="16.5" thickBot="1">
      <c r="A82" s="523" t="s">
        <v>313</v>
      </c>
      <c r="B82" s="523"/>
      <c r="C82" s="523"/>
      <c r="D82" s="523"/>
      <c r="E82" s="523"/>
      <c r="F82" s="523"/>
      <c r="G82" s="523"/>
    </row>
    <row r="83" spans="1:7" ht="16.5" thickBot="1">
      <c r="A83" s="117" t="s">
        <v>314</v>
      </c>
      <c r="B83" s="118" t="s">
        <v>315</v>
      </c>
      <c r="C83" s="117" t="s">
        <v>4</v>
      </c>
      <c r="D83" s="117" t="s">
        <v>279</v>
      </c>
    </row>
    <row r="84" spans="1:7">
      <c r="A84" s="82" t="s">
        <v>257</v>
      </c>
      <c r="B84" s="119" t="s">
        <v>316</v>
      </c>
      <c r="C84" s="120">
        <f>((5/56)*100)/100</f>
        <v>8.9285714285714288E-2</v>
      </c>
      <c r="D84" s="104">
        <f>ROUND($D$43*C84,2)</f>
        <v>131.35</v>
      </c>
    </row>
    <row r="85" spans="1:7">
      <c r="A85" s="105" t="s">
        <v>259</v>
      </c>
      <c r="B85" s="121" t="s">
        <v>317</v>
      </c>
      <c r="C85" s="128">
        <f>(1/3)*(5/56)</f>
        <v>2.976190476190476E-2</v>
      </c>
      <c r="D85" s="129">
        <f>ROUND($D$43*C85,2)</f>
        <v>43.78</v>
      </c>
    </row>
    <row r="86" spans="1:7">
      <c r="A86" s="130" t="s">
        <v>318</v>
      </c>
      <c r="B86" s="121"/>
      <c r="C86" s="131">
        <f>SUM(C84:C85)</f>
        <v>0.11904761904761904</v>
      </c>
      <c r="D86" s="132">
        <f>SUM(D84:D85)</f>
        <v>175.13</v>
      </c>
    </row>
    <row r="87" spans="1:7" ht="32.25" thickBot="1">
      <c r="A87" s="105" t="s">
        <v>261</v>
      </c>
      <c r="B87" s="121" t="s">
        <v>319</v>
      </c>
      <c r="C87" s="122">
        <f>D87/D43</f>
        <v>4.3870441491350304E-2</v>
      </c>
      <c r="D87" s="107">
        <f>ROUND(D78*C86,2)</f>
        <v>64.540000000000006</v>
      </c>
    </row>
    <row r="88" spans="1:7" ht="16.5" thickBot="1">
      <c r="A88" s="530" t="s">
        <v>7</v>
      </c>
      <c r="B88" s="531"/>
      <c r="C88" s="127">
        <f>C87+C86</f>
        <v>0.16291806053896934</v>
      </c>
      <c r="D88" s="113">
        <f>D86+D87</f>
        <v>239.67000000000002</v>
      </c>
    </row>
    <row r="89" spans="1:7">
      <c r="A89" s="190"/>
    </row>
    <row r="90" spans="1:7" ht="16.5" thickBot="1">
      <c r="A90" s="523" t="s">
        <v>320</v>
      </c>
      <c r="B90" s="523"/>
      <c r="C90" s="523"/>
      <c r="D90" s="523"/>
      <c r="E90" s="523"/>
      <c r="F90" s="523"/>
      <c r="G90" s="523"/>
    </row>
    <row r="91" spans="1:7" ht="16.5" thickBot="1">
      <c r="A91" s="117" t="s">
        <v>321</v>
      </c>
      <c r="B91" s="118" t="s">
        <v>322</v>
      </c>
      <c r="C91" s="117" t="s">
        <v>4</v>
      </c>
      <c r="D91" s="117" t="s">
        <v>279</v>
      </c>
    </row>
    <row r="92" spans="1:7">
      <c r="A92" s="82" t="s">
        <v>257</v>
      </c>
      <c r="B92" s="133" t="s">
        <v>323</v>
      </c>
      <c r="C92" s="120">
        <f>0.1111*0.02*0.3333</f>
        <v>7.4059259999999997E-4</v>
      </c>
      <c r="D92" s="104">
        <f>ROUND($D$43*C92,2)</f>
        <v>1.0900000000000001</v>
      </c>
    </row>
    <row r="93" spans="1:7" ht="32.25" thickBot="1">
      <c r="A93" s="109" t="s">
        <v>259</v>
      </c>
      <c r="B93" s="134" t="s">
        <v>324</v>
      </c>
      <c r="C93" s="126">
        <f>D93/D43</f>
        <v>2.7189613567617173E-4</v>
      </c>
      <c r="D93" s="110">
        <f>ROUND(D78*C92,2)</f>
        <v>0.4</v>
      </c>
    </row>
    <row r="94" spans="1:7" ht="16.5" thickBot="1">
      <c r="A94" s="530" t="s">
        <v>7</v>
      </c>
      <c r="B94" s="531"/>
      <c r="C94" s="127">
        <f>SUM(C92:C93)</f>
        <v>1.0124887356761716E-3</v>
      </c>
      <c r="D94" s="113">
        <f>SUM(D92:D93)</f>
        <v>1.4900000000000002</v>
      </c>
    </row>
    <row r="95" spans="1:7">
      <c r="A95" s="190"/>
    </row>
    <row r="96" spans="1:7">
      <c r="A96" s="190"/>
    </row>
    <row r="97" spans="1:7" ht="16.5" thickBot="1">
      <c r="A97" s="523" t="s">
        <v>325</v>
      </c>
      <c r="B97" s="523"/>
      <c r="C97" s="523"/>
      <c r="D97" s="523"/>
      <c r="E97" s="523"/>
      <c r="F97" s="523"/>
      <c r="G97" s="523"/>
    </row>
    <row r="98" spans="1:7" ht="16.5" thickBot="1">
      <c r="A98" s="117" t="s">
        <v>326</v>
      </c>
      <c r="B98" s="118" t="s">
        <v>327</v>
      </c>
      <c r="C98" s="117" t="s">
        <v>4</v>
      </c>
      <c r="D98" s="117" t="s">
        <v>279</v>
      </c>
    </row>
    <row r="99" spans="1:7">
      <c r="A99" s="82" t="s">
        <v>257</v>
      </c>
      <c r="B99" s="133" t="s">
        <v>328</v>
      </c>
      <c r="C99" s="135">
        <f>((1/12)*0.05)</f>
        <v>4.1666666666666666E-3</v>
      </c>
      <c r="D99" s="104">
        <f>ROUND($D$43*C99,2)</f>
        <v>6.13</v>
      </c>
    </row>
    <row r="100" spans="1:7" ht="31.5">
      <c r="A100" s="191" t="s">
        <v>259</v>
      </c>
      <c r="B100" s="91" t="s">
        <v>329</v>
      </c>
      <c r="C100" s="136">
        <f>D100/D43</f>
        <v>3.3307276620331028E-4</v>
      </c>
      <c r="D100" s="137">
        <f>ROUND(D75*C99,2)</f>
        <v>0.49</v>
      </c>
    </row>
    <row r="101" spans="1:7">
      <c r="A101" s="191" t="s">
        <v>261</v>
      </c>
      <c r="B101" s="138" t="s">
        <v>330</v>
      </c>
      <c r="C101" s="139">
        <f>0.08*0.5*0.9*(1+(5/56)+(5/56)+(1/3)*(5/56))</f>
        <v>4.3499999999999997E-2</v>
      </c>
      <c r="D101" s="107">
        <f>ROUND($D$43*C101,2)</f>
        <v>64</v>
      </c>
    </row>
    <row r="102" spans="1:7">
      <c r="A102" s="191" t="s">
        <v>263</v>
      </c>
      <c r="B102" s="138" t="s">
        <v>331</v>
      </c>
      <c r="C102" s="140">
        <f>(((7/30)/12))</f>
        <v>1.9444444444444445E-2</v>
      </c>
      <c r="D102" s="107">
        <f>ROUND($D$43*C102,2)</f>
        <v>28.61</v>
      </c>
    </row>
    <row r="103" spans="1:7" ht="31.5">
      <c r="A103" s="191" t="s">
        <v>284</v>
      </c>
      <c r="B103" s="138" t="s">
        <v>332</v>
      </c>
      <c r="C103" s="141">
        <f>D103/D43</f>
        <v>7.1644631750671234E-3</v>
      </c>
      <c r="D103" s="107">
        <f>ROUND(D78*C102,2)</f>
        <v>10.54</v>
      </c>
    </row>
    <row r="104" spans="1:7" ht="16.5" thickBot="1">
      <c r="A104" s="109" t="s">
        <v>286</v>
      </c>
      <c r="B104" s="134" t="s">
        <v>333</v>
      </c>
      <c r="C104" s="142">
        <f>(40%+10%)*C75*C102</f>
        <v>7.7777777777777784E-4</v>
      </c>
      <c r="D104" s="107">
        <f>ROUND($D$43*C104,2)</f>
        <v>1.1399999999999999</v>
      </c>
    </row>
    <row r="105" spans="1:7" ht="16.5" thickBot="1">
      <c r="A105" s="525" t="s">
        <v>7</v>
      </c>
      <c r="B105" s="526"/>
      <c r="C105" s="127">
        <f>SUM(C99:C104)</f>
        <v>7.5386424830159324E-2</v>
      </c>
      <c r="D105" s="143">
        <f>SUM(D99:D104)</f>
        <v>110.91000000000001</v>
      </c>
    </row>
    <row r="106" spans="1:7">
      <c r="A106" s="71"/>
    </row>
    <row r="107" spans="1:7" ht="16.5" thickBot="1">
      <c r="A107" s="523" t="s">
        <v>334</v>
      </c>
      <c r="B107" s="523"/>
      <c r="C107" s="523"/>
      <c r="D107" s="523"/>
      <c r="E107" s="523"/>
      <c r="F107" s="523"/>
      <c r="G107" s="523"/>
    </row>
    <row r="108" spans="1:7" ht="32.25" thickBot="1">
      <c r="A108" s="117" t="s">
        <v>335</v>
      </c>
      <c r="B108" s="118" t="s">
        <v>336</v>
      </c>
      <c r="C108" s="117" t="s">
        <v>4</v>
      </c>
      <c r="D108" s="117" t="s">
        <v>279</v>
      </c>
    </row>
    <row r="109" spans="1:7">
      <c r="A109" s="82" t="s">
        <v>257</v>
      </c>
      <c r="B109" s="133" t="s">
        <v>13</v>
      </c>
      <c r="C109" s="144">
        <f>(5/56)</f>
        <v>8.9285714285714288E-2</v>
      </c>
      <c r="D109" s="107">
        <f t="shared" ref="D109:D114" si="1">ROUND($D$43*C109,2)</f>
        <v>131.35</v>
      </c>
    </row>
    <row r="110" spans="1:7">
      <c r="A110" s="191" t="s">
        <v>259</v>
      </c>
      <c r="B110" s="138" t="s">
        <v>379</v>
      </c>
      <c r="C110" s="122">
        <f>(10.96/30)/12</f>
        <v>3.0444444444444444E-2</v>
      </c>
      <c r="D110" s="107">
        <f t="shared" si="1"/>
        <v>44.79</v>
      </c>
      <c r="E110" s="184"/>
    </row>
    <row r="111" spans="1:7">
      <c r="A111" s="191" t="s">
        <v>261</v>
      </c>
      <c r="B111" s="138" t="s">
        <v>337</v>
      </c>
      <c r="C111" s="122">
        <f>((5/30)/12)*0.015</f>
        <v>2.0833333333333332E-4</v>
      </c>
      <c r="D111" s="107">
        <f t="shared" si="1"/>
        <v>0.31</v>
      </c>
    </row>
    <row r="112" spans="1:7">
      <c r="A112" s="191" t="s">
        <v>263</v>
      </c>
      <c r="B112" s="138" t="s">
        <v>338</v>
      </c>
      <c r="C112" s="122">
        <f>((1/30)/12)</f>
        <v>2.7777777777777779E-3</v>
      </c>
      <c r="D112" s="107">
        <f t="shared" si="1"/>
        <v>4.09</v>
      </c>
    </row>
    <row r="113" spans="1:7">
      <c r="A113" s="191" t="s">
        <v>284</v>
      </c>
      <c r="B113" s="138" t="s">
        <v>339</v>
      </c>
      <c r="C113" s="122">
        <f>((15/30)/12)*0.0078</f>
        <v>3.2499999999999999E-4</v>
      </c>
      <c r="D113" s="107">
        <f t="shared" si="1"/>
        <v>0.48</v>
      </c>
    </row>
    <row r="114" spans="1:7">
      <c r="A114" s="191" t="s">
        <v>286</v>
      </c>
      <c r="B114" s="138" t="s">
        <v>291</v>
      </c>
      <c r="C114" s="145"/>
      <c r="D114" s="107">
        <f t="shared" si="1"/>
        <v>0</v>
      </c>
    </row>
    <row r="115" spans="1:7">
      <c r="A115" s="532" t="s">
        <v>318</v>
      </c>
      <c r="B115" s="533"/>
      <c r="C115" s="122">
        <f>SUM(C109:C114)</f>
        <v>0.12304126984126985</v>
      </c>
      <c r="D115" s="107">
        <f>SUM(D109:D114)</f>
        <v>181.01999999999998</v>
      </c>
    </row>
    <row r="116" spans="1:7" ht="32.25" thickBot="1">
      <c r="A116" s="109" t="s">
        <v>288</v>
      </c>
      <c r="B116" s="134" t="s">
        <v>340</v>
      </c>
      <c r="C116" s="142">
        <f>D116/$D$43</f>
        <v>4.5338680624001627E-2</v>
      </c>
      <c r="D116" s="107">
        <f>ROUND(D78*C115,2)</f>
        <v>66.7</v>
      </c>
    </row>
    <row r="117" spans="1:7" ht="16.5" thickBot="1">
      <c r="A117" s="525" t="s">
        <v>7</v>
      </c>
      <c r="B117" s="526"/>
      <c r="C117" s="127">
        <f>C116+C115</f>
        <v>0.16837995046527149</v>
      </c>
      <c r="D117" s="146">
        <f>D116+D115</f>
        <v>247.71999999999997</v>
      </c>
    </row>
    <row r="118" spans="1:7">
      <c r="A118" s="190" t="s">
        <v>341</v>
      </c>
    </row>
    <row r="119" spans="1:7" ht="16.5" thickBot="1">
      <c r="A119" s="522" t="s">
        <v>342</v>
      </c>
      <c r="B119" s="522"/>
      <c r="C119" s="522"/>
      <c r="D119" s="522"/>
      <c r="E119" s="522"/>
      <c r="F119" s="522"/>
      <c r="G119" s="522"/>
    </row>
    <row r="120" spans="1:7" ht="32.25" customHeight="1" thickBot="1">
      <c r="A120" s="147">
        <v>4</v>
      </c>
      <c r="B120" s="148" t="s">
        <v>343</v>
      </c>
      <c r="C120" s="149" t="s">
        <v>4</v>
      </c>
      <c r="D120" s="150" t="s">
        <v>279</v>
      </c>
    </row>
    <row r="121" spans="1:7">
      <c r="A121" s="82" t="s">
        <v>307</v>
      </c>
      <c r="B121" s="133" t="s">
        <v>344</v>
      </c>
      <c r="C121" s="142">
        <f t="shared" ref="C121:C126" si="2">D121/$D$43</f>
        <v>0.16291336709377019</v>
      </c>
      <c r="D121" s="107">
        <f>D88</f>
        <v>239.67000000000002</v>
      </c>
    </row>
    <row r="122" spans="1:7">
      <c r="A122" s="191" t="s">
        <v>314</v>
      </c>
      <c r="B122" s="138" t="s">
        <v>308</v>
      </c>
      <c r="C122" s="142">
        <f t="shared" si="2"/>
        <v>0.36850083268191547</v>
      </c>
      <c r="D122" s="107">
        <f>D78</f>
        <v>542.12</v>
      </c>
    </row>
    <row r="123" spans="1:7">
      <c r="A123" s="191" t="s">
        <v>321</v>
      </c>
      <c r="B123" s="138" t="s">
        <v>323</v>
      </c>
      <c r="C123" s="142">
        <f t="shared" si="2"/>
        <v>1.0128131053937397E-3</v>
      </c>
      <c r="D123" s="107">
        <f>D94</f>
        <v>1.4900000000000002</v>
      </c>
    </row>
    <row r="124" spans="1:7">
      <c r="A124" s="151" t="s">
        <v>326</v>
      </c>
      <c r="B124" s="152" t="s">
        <v>345</v>
      </c>
      <c r="C124" s="142">
        <f t="shared" si="2"/>
        <v>7.5390001019610506E-2</v>
      </c>
      <c r="D124" s="107">
        <f>D105</f>
        <v>110.91000000000001</v>
      </c>
    </row>
    <row r="125" spans="1:7">
      <c r="A125" s="153" t="s">
        <v>335</v>
      </c>
      <c r="B125" s="154" t="s">
        <v>346</v>
      </c>
      <c r="C125" s="142">
        <f t="shared" si="2"/>
        <v>0.16838527682425311</v>
      </c>
      <c r="D125" s="107">
        <f>D117</f>
        <v>247.71999999999997</v>
      </c>
    </row>
    <row r="126" spans="1:7" ht="16.5" thickBot="1">
      <c r="A126" s="191" t="s">
        <v>347</v>
      </c>
      <c r="B126" s="138" t="s">
        <v>291</v>
      </c>
      <c r="C126" s="142">
        <f t="shared" si="2"/>
        <v>0</v>
      </c>
      <c r="D126" s="107">
        <v>0</v>
      </c>
    </row>
    <row r="127" spans="1:7" ht="37.5" customHeight="1" thickBot="1">
      <c r="A127" s="530" t="s">
        <v>348</v>
      </c>
      <c r="B127" s="531"/>
      <c r="C127" s="127">
        <f>SUM(C121:C126)</f>
        <v>0.77620229072494284</v>
      </c>
      <c r="D127" s="113">
        <f>SUM(D121:D126)</f>
        <v>1141.9099999999999</v>
      </c>
    </row>
    <row r="128" spans="1:7">
      <c r="A128" s="155"/>
      <c r="B128" s="155"/>
      <c r="C128" s="156"/>
      <c r="D128" s="157"/>
      <c r="E128" s="158"/>
      <c r="F128" s="159"/>
      <c r="G128" s="159"/>
    </row>
    <row r="129" spans="1:8" ht="16.5" thickBot="1">
      <c r="A129" s="522" t="s">
        <v>349</v>
      </c>
      <c r="B129" s="522"/>
      <c r="C129" s="522"/>
      <c r="D129" s="522"/>
      <c r="E129" s="522"/>
      <c r="F129" s="522"/>
      <c r="G129" s="522"/>
      <c r="H129" s="160"/>
    </row>
    <row r="130" spans="1:8" ht="16.5" thickBot="1">
      <c r="A130" s="147" t="s">
        <v>350</v>
      </c>
      <c r="B130" s="148" t="s">
        <v>351</v>
      </c>
      <c r="C130" s="149" t="s">
        <v>4</v>
      </c>
      <c r="D130" s="114" t="s">
        <v>279</v>
      </c>
      <c r="E130" s="161">
        <f>D43+D54+D64+D78+D88+D94+D105+D117</f>
        <v>3304.7623725490189</v>
      </c>
      <c r="G130" s="160"/>
    </row>
    <row r="131" spans="1:8">
      <c r="A131" s="82" t="s">
        <v>257</v>
      </c>
      <c r="B131" s="133" t="s">
        <v>352</v>
      </c>
      <c r="C131" s="162">
        <v>6.9758000000000001E-2</v>
      </c>
      <c r="D131" s="163">
        <f>E130*C131</f>
        <v>230.53361358427446</v>
      </c>
      <c r="G131" s="160"/>
    </row>
    <row r="132" spans="1:8">
      <c r="A132" s="191" t="s">
        <v>259</v>
      </c>
      <c r="B132" s="138" t="s">
        <v>353</v>
      </c>
      <c r="C132" s="142"/>
      <c r="D132" s="164"/>
      <c r="F132" s="165"/>
    </row>
    <row r="133" spans="1:8">
      <c r="A133" s="191"/>
      <c r="B133" s="138" t="s">
        <v>354</v>
      </c>
      <c r="C133" s="142"/>
      <c r="D133" s="129"/>
      <c r="F133" s="182"/>
      <c r="G133" s="160"/>
    </row>
    <row r="134" spans="1:8">
      <c r="A134" s="191"/>
      <c r="B134" s="138" t="s">
        <v>355</v>
      </c>
      <c r="C134" s="142">
        <v>7.5999999999999998E-2</v>
      </c>
      <c r="D134" s="107">
        <f>$D$152*C134</f>
        <v>319.59936436866508</v>
      </c>
      <c r="E134" s="165">
        <f>D152</f>
        <v>4205.2547943245409</v>
      </c>
      <c r="G134" s="160"/>
    </row>
    <row r="135" spans="1:8">
      <c r="A135" s="191"/>
      <c r="B135" s="138" t="s">
        <v>356</v>
      </c>
      <c r="C135" s="142">
        <v>1.6500000000000001E-2</v>
      </c>
      <c r="D135" s="107">
        <f>$D$152*C135</f>
        <v>69.386704106354927</v>
      </c>
      <c r="E135" s="246"/>
      <c r="G135" s="160"/>
    </row>
    <row r="136" spans="1:8">
      <c r="A136" s="191"/>
      <c r="B136" s="138" t="s">
        <v>357</v>
      </c>
      <c r="C136" s="142"/>
      <c r="D136" s="107"/>
    </row>
    <row r="137" spans="1:8">
      <c r="A137" s="191"/>
      <c r="B137" s="138" t="s">
        <v>358</v>
      </c>
      <c r="C137" s="142">
        <v>0.05</v>
      </c>
      <c r="D137" s="107">
        <f>$D$152*C137</f>
        <v>210.26273971622706</v>
      </c>
      <c r="G137" s="160"/>
    </row>
    <row r="138" spans="1:8">
      <c r="A138" s="191"/>
      <c r="B138" s="138" t="s">
        <v>359</v>
      </c>
      <c r="C138" s="142"/>
      <c r="D138" s="107"/>
    </row>
    <row r="139" spans="1:8" ht="16.5" thickBot="1">
      <c r="A139" s="191" t="s">
        <v>261</v>
      </c>
      <c r="B139" s="138" t="s">
        <v>360</v>
      </c>
      <c r="C139" s="142">
        <v>0.02</v>
      </c>
      <c r="D139" s="107">
        <f>ROUND(E139*C139,2)</f>
        <v>70.709999999999994</v>
      </c>
      <c r="E139" s="132">
        <f>E130+D131</f>
        <v>3535.2959861332934</v>
      </c>
    </row>
    <row r="140" spans="1:8" ht="33" customHeight="1" thickBot="1">
      <c r="A140" s="527" t="s">
        <v>361</v>
      </c>
      <c r="B140" s="528"/>
      <c r="C140" s="529"/>
      <c r="D140" s="166">
        <f>D131+D134+D135+D137+D139</f>
        <v>900.49242177552162</v>
      </c>
    </row>
    <row r="141" spans="1:8">
      <c r="A141" s="522" t="s">
        <v>362</v>
      </c>
      <c r="B141" s="522"/>
      <c r="C141" s="522"/>
      <c r="D141" s="522"/>
      <c r="E141" s="522"/>
      <c r="F141" s="522"/>
      <c r="G141" s="522"/>
    </row>
    <row r="142" spans="1:8">
      <c r="A142" s="522" t="s">
        <v>363</v>
      </c>
      <c r="B142" s="522"/>
      <c r="C142" s="522"/>
      <c r="D142" s="522"/>
      <c r="E142" s="522"/>
      <c r="F142" s="522"/>
      <c r="G142" s="522"/>
    </row>
    <row r="143" spans="1:8">
      <c r="A143" s="190"/>
    </row>
    <row r="144" spans="1:8" ht="16.5" thickBot="1">
      <c r="A144" s="523" t="s">
        <v>364</v>
      </c>
      <c r="B144" s="523"/>
      <c r="C144" s="523"/>
      <c r="D144" s="523"/>
      <c r="E144" s="523"/>
      <c r="F144" s="523"/>
      <c r="G144" s="523"/>
    </row>
    <row r="145" spans="1:8" ht="32.25" customHeight="1" thickBot="1">
      <c r="A145" s="147"/>
      <c r="B145" s="524" t="s">
        <v>365</v>
      </c>
      <c r="C145" s="524"/>
      <c r="D145" s="167" t="s">
        <v>366</v>
      </c>
    </row>
    <row r="146" spans="1:8">
      <c r="A146" s="191" t="s">
        <v>257</v>
      </c>
      <c r="B146" s="138" t="s">
        <v>367</v>
      </c>
      <c r="C146" s="122">
        <f t="shared" ref="C146:C151" si="3">D146/$D$152</f>
        <v>0.34983611504004009</v>
      </c>
      <c r="D146" s="129">
        <f>D43</f>
        <v>1471.15</v>
      </c>
    </row>
    <row r="147" spans="1:8">
      <c r="A147" s="191" t="s">
        <v>259</v>
      </c>
      <c r="B147" s="138" t="s">
        <v>368</v>
      </c>
      <c r="C147" s="122">
        <f t="shared" si="3"/>
        <v>0.14230631973619937</v>
      </c>
      <c r="D147" s="129">
        <f>D54</f>
        <v>598.43433333333337</v>
      </c>
    </row>
    <row r="148" spans="1:8" ht="31.5">
      <c r="A148" s="191" t="s">
        <v>261</v>
      </c>
      <c r="B148" s="138" t="s">
        <v>369</v>
      </c>
      <c r="C148" s="122">
        <f t="shared" si="3"/>
        <v>2.2178927027575561E-2</v>
      </c>
      <c r="D148" s="129">
        <f>D64</f>
        <v>93.268039215686272</v>
      </c>
      <c r="E148" s="165">
        <f>D150+D131+D139</f>
        <v>3606.0059861332938</v>
      </c>
    </row>
    <row r="149" spans="1:8" ht="31.5">
      <c r="A149" s="191" t="s">
        <v>263</v>
      </c>
      <c r="B149" s="138" t="s">
        <v>370</v>
      </c>
      <c r="C149" s="122">
        <f t="shared" si="3"/>
        <v>0.27154359387239374</v>
      </c>
      <c r="D149" s="129">
        <f>D127</f>
        <v>1141.9099999999999</v>
      </c>
      <c r="E149" s="174">
        <f>C137+C135+C134</f>
        <v>0.14250000000000002</v>
      </c>
    </row>
    <row r="150" spans="1:8" ht="16.5" customHeight="1">
      <c r="A150" s="168" t="s">
        <v>371</v>
      </c>
      <c r="B150" s="169"/>
      <c r="C150" s="131">
        <f t="shared" si="3"/>
        <v>0.78586495567620873</v>
      </c>
      <c r="D150" s="170">
        <f>SUM(D146:D149)</f>
        <v>3304.7623725490193</v>
      </c>
      <c r="E150" s="174">
        <f>100%-E149</f>
        <v>0.85749999999999993</v>
      </c>
    </row>
    <row r="151" spans="1:8" ht="32.25" thickBot="1">
      <c r="A151" s="191" t="s">
        <v>284</v>
      </c>
      <c r="B151" s="138" t="s">
        <v>372</v>
      </c>
      <c r="C151" s="122">
        <f t="shared" si="3"/>
        <v>0.21413504432379135</v>
      </c>
      <c r="D151" s="129">
        <f>D140</f>
        <v>900.49242177552162</v>
      </c>
      <c r="G151" s="171"/>
    </row>
    <row r="152" spans="1:8" ht="16.5" customHeight="1" thickBot="1">
      <c r="A152" s="525" t="s">
        <v>373</v>
      </c>
      <c r="B152" s="526"/>
      <c r="C152" s="127">
        <f>C151+C150</f>
        <v>1</v>
      </c>
      <c r="D152" s="166">
        <f>(D150+D139+D131)/0.8575</f>
        <v>4205.2547943245409</v>
      </c>
      <c r="E152" s="171"/>
      <c r="F152" s="165">
        <f>D150+D151</f>
        <v>4205.2547943245409</v>
      </c>
      <c r="H152" s="172"/>
    </row>
    <row r="153" spans="1:8">
      <c r="E153" s="171"/>
    </row>
    <row r="154" spans="1:8">
      <c r="A154" s="186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1.299212598425197" right="0.51181102362204722" top="2.1653543307086616" bottom="0.98425196850393704" header="0.31496062992125984" footer="0.31496062992125984"/>
  <pageSetup paperSize="9" scale="79" fitToHeight="4" orientation="portrait" r:id="rId1"/>
  <headerFooter alignWithMargins="0"/>
  <rowBreaks count="3" manualBreakCount="3">
    <brk id="43" max="3" man="1"/>
    <brk id="88" max="3" man="1"/>
    <brk id="128" max="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154"/>
  <sheetViews>
    <sheetView showGridLines="0" view="pageBreakPreview" topLeftCell="A143" zoomScale="90" zoomScaleSheetLayoutView="90" workbookViewId="0">
      <selection activeCell="E135" sqref="E135"/>
    </sheetView>
  </sheetViews>
  <sheetFormatPr defaultRowHeight="15.75"/>
  <cols>
    <col min="1" max="1" width="9.28515625" style="53" customWidth="1"/>
    <col min="2" max="2" width="39.85546875" style="53" customWidth="1"/>
    <col min="3" max="3" width="18.28515625" style="53" customWidth="1"/>
    <col min="4" max="4" width="23.85546875" style="53" customWidth="1"/>
    <col min="5" max="5" width="16" style="53" bestFit="1" customWidth="1"/>
    <col min="6" max="6" width="13.7109375" style="53" bestFit="1" customWidth="1"/>
    <col min="7" max="7" width="15.7109375" style="53" bestFit="1" customWidth="1"/>
    <col min="8" max="8" width="13.140625" style="53" bestFit="1" customWidth="1"/>
    <col min="9" max="9" width="11.85546875" style="53" bestFit="1" customWidth="1"/>
    <col min="10" max="10" width="12.85546875" style="53" bestFit="1" customWidth="1"/>
    <col min="11" max="256" width="9.140625" style="53"/>
    <col min="257" max="257" width="9.28515625" style="53" customWidth="1"/>
    <col min="258" max="258" width="39.85546875" style="53" customWidth="1"/>
    <col min="259" max="259" width="18.28515625" style="53" customWidth="1"/>
    <col min="260" max="260" width="23.85546875" style="53" customWidth="1"/>
    <col min="261" max="261" width="16" style="53" bestFit="1" customWidth="1"/>
    <col min="262" max="262" width="13.7109375" style="53" bestFit="1" customWidth="1"/>
    <col min="263" max="263" width="15.7109375" style="53" bestFit="1" customWidth="1"/>
    <col min="264" max="264" width="13.140625" style="53" bestFit="1" customWidth="1"/>
    <col min="265" max="265" width="11.85546875" style="53" bestFit="1" customWidth="1"/>
    <col min="266" max="266" width="12.85546875" style="53" bestFit="1" customWidth="1"/>
    <col min="267" max="512" width="9.140625" style="53"/>
    <col min="513" max="513" width="9.28515625" style="53" customWidth="1"/>
    <col min="514" max="514" width="39.85546875" style="53" customWidth="1"/>
    <col min="515" max="515" width="18.28515625" style="53" customWidth="1"/>
    <col min="516" max="516" width="23.85546875" style="53" customWidth="1"/>
    <col min="517" max="517" width="16" style="53" bestFit="1" customWidth="1"/>
    <col min="518" max="518" width="13.7109375" style="53" bestFit="1" customWidth="1"/>
    <col min="519" max="519" width="15.7109375" style="53" bestFit="1" customWidth="1"/>
    <col min="520" max="520" width="13.140625" style="53" bestFit="1" customWidth="1"/>
    <col min="521" max="521" width="11.85546875" style="53" bestFit="1" customWidth="1"/>
    <col min="522" max="522" width="12.85546875" style="53" bestFit="1" customWidth="1"/>
    <col min="523" max="768" width="9.140625" style="53"/>
    <col min="769" max="769" width="9.28515625" style="53" customWidth="1"/>
    <col min="770" max="770" width="39.85546875" style="53" customWidth="1"/>
    <col min="771" max="771" width="18.28515625" style="53" customWidth="1"/>
    <col min="772" max="772" width="23.85546875" style="53" customWidth="1"/>
    <col min="773" max="773" width="16" style="53" bestFit="1" customWidth="1"/>
    <col min="774" max="774" width="13.7109375" style="53" bestFit="1" customWidth="1"/>
    <col min="775" max="775" width="15.7109375" style="53" bestFit="1" customWidth="1"/>
    <col min="776" max="776" width="13.140625" style="53" bestFit="1" customWidth="1"/>
    <col min="777" max="777" width="11.85546875" style="53" bestFit="1" customWidth="1"/>
    <col min="778" max="778" width="12.85546875" style="53" bestFit="1" customWidth="1"/>
    <col min="779" max="1024" width="9.140625" style="53"/>
    <col min="1025" max="1025" width="9.28515625" style="53" customWidth="1"/>
    <col min="1026" max="1026" width="39.85546875" style="53" customWidth="1"/>
    <col min="1027" max="1027" width="18.28515625" style="53" customWidth="1"/>
    <col min="1028" max="1028" width="23.85546875" style="53" customWidth="1"/>
    <col min="1029" max="1029" width="16" style="53" bestFit="1" customWidth="1"/>
    <col min="1030" max="1030" width="13.7109375" style="53" bestFit="1" customWidth="1"/>
    <col min="1031" max="1031" width="15.7109375" style="53" bestFit="1" customWidth="1"/>
    <col min="1032" max="1032" width="13.140625" style="53" bestFit="1" customWidth="1"/>
    <col min="1033" max="1033" width="11.85546875" style="53" bestFit="1" customWidth="1"/>
    <col min="1034" max="1034" width="12.85546875" style="53" bestFit="1" customWidth="1"/>
    <col min="1035" max="1280" width="9.140625" style="53"/>
    <col min="1281" max="1281" width="9.28515625" style="53" customWidth="1"/>
    <col min="1282" max="1282" width="39.85546875" style="53" customWidth="1"/>
    <col min="1283" max="1283" width="18.28515625" style="53" customWidth="1"/>
    <col min="1284" max="1284" width="23.85546875" style="53" customWidth="1"/>
    <col min="1285" max="1285" width="16" style="53" bestFit="1" customWidth="1"/>
    <col min="1286" max="1286" width="13.7109375" style="53" bestFit="1" customWidth="1"/>
    <col min="1287" max="1287" width="15.7109375" style="53" bestFit="1" customWidth="1"/>
    <col min="1288" max="1288" width="13.140625" style="53" bestFit="1" customWidth="1"/>
    <col min="1289" max="1289" width="11.85546875" style="53" bestFit="1" customWidth="1"/>
    <col min="1290" max="1290" width="12.85546875" style="53" bestFit="1" customWidth="1"/>
    <col min="1291" max="1536" width="9.140625" style="53"/>
    <col min="1537" max="1537" width="9.28515625" style="53" customWidth="1"/>
    <col min="1538" max="1538" width="39.85546875" style="53" customWidth="1"/>
    <col min="1539" max="1539" width="18.28515625" style="53" customWidth="1"/>
    <col min="1540" max="1540" width="23.85546875" style="53" customWidth="1"/>
    <col min="1541" max="1541" width="16" style="53" bestFit="1" customWidth="1"/>
    <col min="1542" max="1542" width="13.7109375" style="53" bestFit="1" customWidth="1"/>
    <col min="1543" max="1543" width="15.7109375" style="53" bestFit="1" customWidth="1"/>
    <col min="1544" max="1544" width="13.140625" style="53" bestFit="1" customWidth="1"/>
    <col min="1545" max="1545" width="11.85546875" style="53" bestFit="1" customWidth="1"/>
    <col min="1546" max="1546" width="12.85546875" style="53" bestFit="1" customWidth="1"/>
    <col min="1547" max="1792" width="9.140625" style="53"/>
    <col min="1793" max="1793" width="9.28515625" style="53" customWidth="1"/>
    <col min="1794" max="1794" width="39.85546875" style="53" customWidth="1"/>
    <col min="1795" max="1795" width="18.28515625" style="53" customWidth="1"/>
    <col min="1796" max="1796" width="23.85546875" style="53" customWidth="1"/>
    <col min="1797" max="1797" width="16" style="53" bestFit="1" customWidth="1"/>
    <col min="1798" max="1798" width="13.7109375" style="53" bestFit="1" customWidth="1"/>
    <col min="1799" max="1799" width="15.7109375" style="53" bestFit="1" customWidth="1"/>
    <col min="1800" max="1800" width="13.140625" style="53" bestFit="1" customWidth="1"/>
    <col min="1801" max="1801" width="11.85546875" style="53" bestFit="1" customWidth="1"/>
    <col min="1802" max="1802" width="12.85546875" style="53" bestFit="1" customWidth="1"/>
    <col min="1803" max="2048" width="9.140625" style="53"/>
    <col min="2049" max="2049" width="9.28515625" style="53" customWidth="1"/>
    <col min="2050" max="2050" width="39.85546875" style="53" customWidth="1"/>
    <col min="2051" max="2051" width="18.28515625" style="53" customWidth="1"/>
    <col min="2052" max="2052" width="23.85546875" style="53" customWidth="1"/>
    <col min="2053" max="2053" width="16" style="53" bestFit="1" customWidth="1"/>
    <col min="2054" max="2054" width="13.7109375" style="53" bestFit="1" customWidth="1"/>
    <col min="2055" max="2055" width="15.7109375" style="53" bestFit="1" customWidth="1"/>
    <col min="2056" max="2056" width="13.140625" style="53" bestFit="1" customWidth="1"/>
    <col min="2057" max="2057" width="11.85546875" style="53" bestFit="1" customWidth="1"/>
    <col min="2058" max="2058" width="12.85546875" style="53" bestFit="1" customWidth="1"/>
    <col min="2059" max="2304" width="9.140625" style="53"/>
    <col min="2305" max="2305" width="9.28515625" style="53" customWidth="1"/>
    <col min="2306" max="2306" width="39.85546875" style="53" customWidth="1"/>
    <col min="2307" max="2307" width="18.28515625" style="53" customWidth="1"/>
    <col min="2308" max="2308" width="23.85546875" style="53" customWidth="1"/>
    <col min="2309" max="2309" width="16" style="53" bestFit="1" customWidth="1"/>
    <col min="2310" max="2310" width="13.7109375" style="53" bestFit="1" customWidth="1"/>
    <col min="2311" max="2311" width="15.7109375" style="53" bestFit="1" customWidth="1"/>
    <col min="2312" max="2312" width="13.140625" style="53" bestFit="1" customWidth="1"/>
    <col min="2313" max="2313" width="11.85546875" style="53" bestFit="1" customWidth="1"/>
    <col min="2314" max="2314" width="12.85546875" style="53" bestFit="1" customWidth="1"/>
    <col min="2315" max="2560" width="9.140625" style="53"/>
    <col min="2561" max="2561" width="9.28515625" style="53" customWidth="1"/>
    <col min="2562" max="2562" width="39.85546875" style="53" customWidth="1"/>
    <col min="2563" max="2563" width="18.28515625" style="53" customWidth="1"/>
    <col min="2564" max="2564" width="23.85546875" style="53" customWidth="1"/>
    <col min="2565" max="2565" width="16" style="53" bestFit="1" customWidth="1"/>
    <col min="2566" max="2566" width="13.7109375" style="53" bestFit="1" customWidth="1"/>
    <col min="2567" max="2567" width="15.7109375" style="53" bestFit="1" customWidth="1"/>
    <col min="2568" max="2568" width="13.140625" style="53" bestFit="1" customWidth="1"/>
    <col min="2569" max="2569" width="11.85546875" style="53" bestFit="1" customWidth="1"/>
    <col min="2570" max="2570" width="12.85546875" style="53" bestFit="1" customWidth="1"/>
    <col min="2571" max="2816" width="9.140625" style="53"/>
    <col min="2817" max="2817" width="9.28515625" style="53" customWidth="1"/>
    <col min="2818" max="2818" width="39.85546875" style="53" customWidth="1"/>
    <col min="2819" max="2819" width="18.28515625" style="53" customWidth="1"/>
    <col min="2820" max="2820" width="23.85546875" style="53" customWidth="1"/>
    <col min="2821" max="2821" width="16" style="53" bestFit="1" customWidth="1"/>
    <col min="2822" max="2822" width="13.7109375" style="53" bestFit="1" customWidth="1"/>
    <col min="2823" max="2823" width="15.7109375" style="53" bestFit="1" customWidth="1"/>
    <col min="2824" max="2824" width="13.140625" style="53" bestFit="1" customWidth="1"/>
    <col min="2825" max="2825" width="11.85546875" style="53" bestFit="1" customWidth="1"/>
    <col min="2826" max="2826" width="12.85546875" style="53" bestFit="1" customWidth="1"/>
    <col min="2827" max="3072" width="9.140625" style="53"/>
    <col min="3073" max="3073" width="9.28515625" style="53" customWidth="1"/>
    <col min="3074" max="3074" width="39.85546875" style="53" customWidth="1"/>
    <col min="3075" max="3075" width="18.28515625" style="53" customWidth="1"/>
    <col min="3076" max="3076" width="23.85546875" style="53" customWidth="1"/>
    <col min="3077" max="3077" width="16" style="53" bestFit="1" customWidth="1"/>
    <col min="3078" max="3078" width="13.7109375" style="53" bestFit="1" customWidth="1"/>
    <col min="3079" max="3079" width="15.7109375" style="53" bestFit="1" customWidth="1"/>
    <col min="3080" max="3080" width="13.140625" style="53" bestFit="1" customWidth="1"/>
    <col min="3081" max="3081" width="11.85546875" style="53" bestFit="1" customWidth="1"/>
    <col min="3082" max="3082" width="12.85546875" style="53" bestFit="1" customWidth="1"/>
    <col min="3083" max="3328" width="9.140625" style="53"/>
    <col min="3329" max="3329" width="9.28515625" style="53" customWidth="1"/>
    <col min="3330" max="3330" width="39.85546875" style="53" customWidth="1"/>
    <col min="3331" max="3331" width="18.28515625" style="53" customWidth="1"/>
    <col min="3332" max="3332" width="23.85546875" style="53" customWidth="1"/>
    <col min="3333" max="3333" width="16" style="53" bestFit="1" customWidth="1"/>
    <col min="3334" max="3334" width="13.7109375" style="53" bestFit="1" customWidth="1"/>
    <col min="3335" max="3335" width="15.7109375" style="53" bestFit="1" customWidth="1"/>
    <col min="3336" max="3336" width="13.140625" style="53" bestFit="1" customWidth="1"/>
    <col min="3337" max="3337" width="11.85546875" style="53" bestFit="1" customWidth="1"/>
    <col min="3338" max="3338" width="12.85546875" style="53" bestFit="1" customWidth="1"/>
    <col min="3339" max="3584" width="9.140625" style="53"/>
    <col min="3585" max="3585" width="9.28515625" style="53" customWidth="1"/>
    <col min="3586" max="3586" width="39.85546875" style="53" customWidth="1"/>
    <col min="3587" max="3587" width="18.28515625" style="53" customWidth="1"/>
    <col min="3588" max="3588" width="23.85546875" style="53" customWidth="1"/>
    <col min="3589" max="3589" width="16" style="53" bestFit="1" customWidth="1"/>
    <col min="3590" max="3590" width="13.7109375" style="53" bestFit="1" customWidth="1"/>
    <col min="3591" max="3591" width="15.7109375" style="53" bestFit="1" customWidth="1"/>
    <col min="3592" max="3592" width="13.140625" style="53" bestFit="1" customWidth="1"/>
    <col min="3593" max="3593" width="11.85546875" style="53" bestFit="1" customWidth="1"/>
    <col min="3594" max="3594" width="12.85546875" style="53" bestFit="1" customWidth="1"/>
    <col min="3595" max="3840" width="9.140625" style="53"/>
    <col min="3841" max="3841" width="9.28515625" style="53" customWidth="1"/>
    <col min="3842" max="3842" width="39.85546875" style="53" customWidth="1"/>
    <col min="3843" max="3843" width="18.28515625" style="53" customWidth="1"/>
    <col min="3844" max="3844" width="23.85546875" style="53" customWidth="1"/>
    <col min="3845" max="3845" width="16" style="53" bestFit="1" customWidth="1"/>
    <col min="3846" max="3846" width="13.7109375" style="53" bestFit="1" customWidth="1"/>
    <col min="3847" max="3847" width="15.7109375" style="53" bestFit="1" customWidth="1"/>
    <col min="3848" max="3848" width="13.140625" style="53" bestFit="1" customWidth="1"/>
    <col min="3849" max="3849" width="11.85546875" style="53" bestFit="1" customWidth="1"/>
    <col min="3850" max="3850" width="12.85546875" style="53" bestFit="1" customWidth="1"/>
    <col min="3851" max="4096" width="9.140625" style="53"/>
    <col min="4097" max="4097" width="9.28515625" style="53" customWidth="1"/>
    <col min="4098" max="4098" width="39.85546875" style="53" customWidth="1"/>
    <col min="4099" max="4099" width="18.28515625" style="53" customWidth="1"/>
    <col min="4100" max="4100" width="23.85546875" style="53" customWidth="1"/>
    <col min="4101" max="4101" width="16" style="53" bestFit="1" customWidth="1"/>
    <col min="4102" max="4102" width="13.7109375" style="53" bestFit="1" customWidth="1"/>
    <col min="4103" max="4103" width="15.7109375" style="53" bestFit="1" customWidth="1"/>
    <col min="4104" max="4104" width="13.140625" style="53" bestFit="1" customWidth="1"/>
    <col min="4105" max="4105" width="11.85546875" style="53" bestFit="1" customWidth="1"/>
    <col min="4106" max="4106" width="12.85546875" style="53" bestFit="1" customWidth="1"/>
    <col min="4107" max="4352" width="9.140625" style="53"/>
    <col min="4353" max="4353" width="9.28515625" style="53" customWidth="1"/>
    <col min="4354" max="4354" width="39.85546875" style="53" customWidth="1"/>
    <col min="4355" max="4355" width="18.28515625" style="53" customWidth="1"/>
    <col min="4356" max="4356" width="23.85546875" style="53" customWidth="1"/>
    <col min="4357" max="4357" width="16" style="53" bestFit="1" customWidth="1"/>
    <col min="4358" max="4358" width="13.7109375" style="53" bestFit="1" customWidth="1"/>
    <col min="4359" max="4359" width="15.7109375" style="53" bestFit="1" customWidth="1"/>
    <col min="4360" max="4360" width="13.140625" style="53" bestFit="1" customWidth="1"/>
    <col min="4361" max="4361" width="11.85546875" style="53" bestFit="1" customWidth="1"/>
    <col min="4362" max="4362" width="12.85546875" style="53" bestFit="1" customWidth="1"/>
    <col min="4363" max="4608" width="9.140625" style="53"/>
    <col min="4609" max="4609" width="9.28515625" style="53" customWidth="1"/>
    <col min="4610" max="4610" width="39.85546875" style="53" customWidth="1"/>
    <col min="4611" max="4611" width="18.28515625" style="53" customWidth="1"/>
    <col min="4612" max="4612" width="23.85546875" style="53" customWidth="1"/>
    <col min="4613" max="4613" width="16" style="53" bestFit="1" customWidth="1"/>
    <col min="4614" max="4614" width="13.7109375" style="53" bestFit="1" customWidth="1"/>
    <col min="4615" max="4615" width="15.7109375" style="53" bestFit="1" customWidth="1"/>
    <col min="4616" max="4616" width="13.140625" style="53" bestFit="1" customWidth="1"/>
    <col min="4617" max="4617" width="11.85546875" style="53" bestFit="1" customWidth="1"/>
    <col min="4618" max="4618" width="12.85546875" style="53" bestFit="1" customWidth="1"/>
    <col min="4619" max="4864" width="9.140625" style="53"/>
    <col min="4865" max="4865" width="9.28515625" style="53" customWidth="1"/>
    <col min="4866" max="4866" width="39.85546875" style="53" customWidth="1"/>
    <col min="4867" max="4867" width="18.28515625" style="53" customWidth="1"/>
    <col min="4868" max="4868" width="23.85546875" style="53" customWidth="1"/>
    <col min="4869" max="4869" width="16" style="53" bestFit="1" customWidth="1"/>
    <col min="4870" max="4870" width="13.7109375" style="53" bestFit="1" customWidth="1"/>
    <col min="4871" max="4871" width="15.7109375" style="53" bestFit="1" customWidth="1"/>
    <col min="4872" max="4872" width="13.140625" style="53" bestFit="1" customWidth="1"/>
    <col min="4873" max="4873" width="11.85546875" style="53" bestFit="1" customWidth="1"/>
    <col min="4874" max="4874" width="12.85546875" style="53" bestFit="1" customWidth="1"/>
    <col min="4875" max="5120" width="9.140625" style="53"/>
    <col min="5121" max="5121" width="9.28515625" style="53" customWidth="1"/>
    <col min="5122" max="5122" width="39.85546875" style="53" customWidth="1"/>
    <col min="5123" max="5123" width="18.28515625" style="53" customWidth="1"/>
    <col min="5124" max="5124" width="23.85546875" style="53" customWidth="1"/>
    <col min="5125" max="5125" width="16" style="53" bestFit="1" customWidth="1"/>
    <col min="5126" max="5126" width="13.7109375" style="53" bestFit="1" customWidth="1"/>
    <col min="5127" max="5127" width="15.7109375" style="53" bestFit="1" customWidth="1"/>
    <col min="5128" max="5128" width="13.140625" style="53" bestFit="1" customWidth="1"/>
    <col min="5129" max="5129" width="11.85546875" style="53" bestFit="1" customWidth="1"/>
    <col min="5130" max="5130" width="12.85546875" style="53" bestFit="1" customWidth="1"/>
    <col min="5131" max="5376" width="9.140625" style="53"/>
    <col min="5377" max="5377" width="9.28515625" style="53" customWidth="1"/>
    <col min="5378" max="5378" width="39.85546875" style="53" customWidth="1"/>
    <col min="5379" max="5379" width="18.28515625" style="53" customWidth="1"/>
    <col min="5380" max="5380" width="23.85546875" style="53" customWidth="1"/>
    <col min="5381" max="5381" width="16" style="53" bestFit="1" customWidth="1"/>
    <col min="5382" max="5382" width="13.7109375" style="53" bestFit="1" customWidth="1"/>
    <col min="5383" max="5383" width="15.7109375" style="53" bestFit="1" customWidth="1"/>
    <col min="5384" max="5384" width="13.140625" style="53" bestFit="1" customWidth="1"/>
    <col min="5385" max="5385" width="11.85546875" style="53" bestFit="1" customWidth="1"/>
    <col min="5386" max="5386" width="12.85546875" style="53" bestFit="1" customWidth="1"/>
    <col min="5387" max="5632" width="9.140625" style="53"/>
    <col min="5633" max="5633" width="9.28515625" style="53" customWidth="1"/>
    <col min="5634" max="5634" width="39.85546875" style="53" customWidth="1"/>
    <col min="5635" max="5635" width="18.28515625" style="53" customWidth="1"/>
    <col min="5636" max="5636" width="23.85546875" style="53" customWidth="1"/>
    <col min="5637" max="5637" width="16" style="53" bestFit="1" customWidth="1"/>
    <col min="5638" max="5638" width="13.7109375" style="53" bestFit="1" customWidth="1"/>
    <col min="5639" max="5639" width="15.7109375" style="53" bestFit="1" customWidth="1"/>
    <col min="5640" max="5640" width="13.140625" style="53" bestFit="1" customWidth="1"/>
    <col min="5641" max="5641" width="11.85546875" style="53" bestFit="1" customWidth="1"/>
    <col min="5642" max="5642" width="12.85546875" style="53" bestFit="1" customWidth="1"/>
    <col min="5643" max="5888" width="9.140625" style="53"/>
    <col min="5889" max="5889" width="9.28515625" style="53" customWidth="1"/>
    <col min="5890" max="5890" width="39.85546875" style="53" customWidth="1"/>
    <col min="5891" max="5891" width="18.28515625" style="53" customWidth="1"/>
    <col min="5892" max="5892" width="23.85546875" style="53" customWidth="1"/>
    <col min="5893" max="5893" width="16" style="53" bestFit="1" customWidth="1"/>
    <col min="5894" max="5894" width="13.7109375" style="53" bestFit="1" customWidth="1"/>
    <col min="5895" max="5895" width="15.7109375" style="53" bestFit="1" customWidth="1"/>
    <col min="5896" max="5896" width="13.140625" style="53" bestFit="1" customWidth="1"/>
    <col min="5897" max="5897" width="11.85546875" style="53" bestFit="1" customWidth="1"/>
    <col min="5898" max="5898" width="12.85546875" style="53" bestFit="1" customWidth="1"/>
    <col min="5899" max="6144" width="9.140625" style="53"/>
    <col min="6145" max="6145" width="9.28515625" style="53" customWidth="1"/>
    <col min="6146" max="6146" width="39.85546875" style="53" customWidth="1"/>
    <col min="6147" max="6147" width="18.28515625" style="53" customWidth="1"/>
    <col min="6148" max="6148" width="23.85546875" style="53" customWidth="1"/>
    <col min="6149" max="6149" width="16" style="53" bestFit="1" customWidth="1"/>
    <col min="6150" max="6150" width="13.7109375" style="53" bestFit="1" customWidth="1"/>
    <col min="6151" max="6151" width="15.7109375" style="53" bestFit="1" customWidth="1"/>
    <col min="6152" max="6152" width="13.140625" style="53" bestFit="1" customWidth="1"/>
    <col min="6153" max="6153" width="11.85546875" style="53" bestFit="1" customWidth="1"/>
    <col min="6154" max="6154" width="12.85546875" style="53" bestFit="1" customWidth="1"/>
    <col min="6155" max="6400" width="9.140625" style="53"/>
    <col min="6401" max="6401" width="9.28515625" style="53" customWidth="1"/>
    <col min="6402" max="6402" width="39.85546875" style="53" customWidth="1"/>
    <col min="6403" max="6403" width="18.28515625" style="53" customWidth="1"/>
    <col min="6404" max="6404" width="23.85546875" style="53" customWidth="1"/>
    <col min="6405" max="6405" width="16" style="53" bestFit="1" customWidth="1"/>
    <col min="6406" max="6406" width="13.7109375" style="53" bestFit="1" customWidth="1"/>
    <col min="6407" max="6407" width="15.7109375" style="53" bestFit="1" customWidth="1"/>
    <col min="6408" max="6408" width="13.140625" style="53" bestFit="1" customWidth="1"/>
    <col min="6409" max="6409" width="11.85546875" style="53" bestFit="1" customWidth="1"/>
    <col min="6410" max="6410" width="12.85546875" style="53" bestFit="1" customWidth="1"/>
    <col min="6411" max="6656" width="9.140625" style="53"/>
    <col min="6657" max="6657" width="9.28515625" style="53" customWidth="1"/>
    <col min="6658" max="6658" width="39.85546875" style="53" customWidth="1"/>
    <col min="6659" max="6659" width="18.28515625" style="53" customWidth="1"/>
    <col min="6660" max="6660" width="23.85546875" style="53" customWidth="1"/>
    <col min="6661" max="6661" width="16" style="53" bestFit="1" customWidth="1"/>
    <col min="6662" max="6662" width="13.7109375" style="53" bestFit="1" customWidth="1"/>
    <col min="6663" max="6663" width="15.7109375" style="53" bestFit="1" customWidth="1"/>
    <col min="6664" max="6664" width="13.140625" style="53" bestFit="1" customWidth="1"/>
    <col min="6665" max="6665" width="11.85546875" style="53" bestFit="1" customWidth="1"/>
    <col min="6666" max="6666" width="12.85546875" style="53" bestFit="1" customWidth="1"/>
    <col min="6667" max="6912" width="9.140625" style="53"/>
    <col min="6913" max="6913" width="9.28515625" style="53" customWidth="1"/>
    <col min="6914" max="6914" width="39.85546875" style="53" customWidth="1"/>
    <col min="6915" max="6915" width="18.28515625" style="53" customWidth="1"/>
    <col min="6916" max="6916" width="23.85546875" style="53" customWidth="1"/>
    <col min="6917" max="6917" width="16" style="53" bestFit="1" customWidth="1"/>
    <col min="6918" max="6918" width="13.7109375" style="53" bestFit="1" customWidth="1"/>
    <col min="6919" max="6919" width="15.7109375" style="53" bestFit="1" customWidth="1"/>
    <col min="6920" max="6920" width="13.140625" style="53" bestFit="1" customWidth="1"/>
    <col min="6921" max="6921" width="11.85546875" style="53" bestFit="1" customWidth="1"/>
    <col min="6922" max="6922" width="12.85546875" style="53" bestFit="1" customWidth="1"/>
    <col min="6923" max="7168" width="9.140625" style="53"/>
    <col min="7169" max="7169" width="9.28515625" style="53" customWidth="1"/>
    <col min="7170" max="7170" width="39.85546875" style="53" customWidth="1"/>
    <col min="7171" max="7171" width="18.28515625" style="53" customWidth="1"/>
    <col min="7172" max="7172" width="23.85546875" style="53" customWidth="1"/>
    <col min="7173" max="7173" width="16" style="53" bestFit="1" customWidth="1"/>
    <col min="7174" max="7174" width="13.7109375" style="53" bestFit="1" customWidth="1"/>
    <col min="7175" max="7175" width="15.7109375" style="53" bestFit="1" customWidth="1"/>
    <col min="7176" max="7176" width="13.140625" style="53" bestFit="1" customWidth="1"/>
    <col min="7177" max="7177" width="11.85546875" style="53" bestFit="1" customWidth="1"/>
    <col min="7178" max="7178" width="12.85546875" style="53" bestFit="1" customWidth="1"/>
    <col min="7179" max="7424" width="9.140625" style="53"/>
    <col min="7425" max="7425" width="9.28515625" style="53" customWidth="1"/>
    <col min="7426" max="7426" width="39.85546875" style="53" customWidth="1"/>
    <col min="7427" max="7427" width="18.28515625" style="53" customWidth="1"/>
    <col min="7428" max="7428" width="23.85546875" style="53" customWidth="1"/>
    <col min="7429" max="7429" width="16" style="53" bestFit="1" customWidth="1"/>
    <col min="7430" max="7430" width="13.7109375" style="53" bestFit="1" customWidth="1"/>
    <col min="7431" max="7431" width="15.7109375" style="53" bestFit="1" customWidth="1"/>
    <col min="7432" max="7432" width="13.140625" style="53" bestFit="1" customWidth="1"/>
    <col min="7433" max="7433" width="11.85546875" style="53" bestFit="1" customWidth="1"/>
    <col min="7434" max="7434" width="12.85546875" style="53" bestFit="1" customWidth="1"/>
    <col min="7435" max="7680" width="9.140625" style="53"/>
    <col min="7681" max="7681" width="9.28515625" style="53" customWidth="1"/>
    <col min="7682" max="7682" width="39.85546875" style="53" customWidth="1"/>
    <col min="7683" max="7683" width="18.28515625" style="53" customWidth="1"/>
    <col min="7684" max="7684" width="23.85546875" style="53" customWidth="1"/>
    <col min="7685" max="7685" width="16" style="53" bestFit="1" customWidth="1"/>
    <col min="7686" max="7686" width="13.7109375" style="53" bestFit="1" customWidth="1"/>
    <col min="7687" max="7687" width="15.7109375" style="53" bestFit="1" customWidth="1"/>
    <col min="7688" max="7688" width="13.140625" style="53" bestFit="1" customWidth="1"/>
    <col min="7689" max="7689" width="11.85546875" style="53" bestFit="1" customWidth="1"/>
    <col min="7690" max="7690" width="12.85546875" style="53" bestFit="1" customWidth="1"/>
    <col min="7691" max="7936" width="9.140625" style="53"/>
    <col min="7937" max="7937" width="9.28515625" style="53" customWidth="1"/>
    <col min="7938" max="7938" width="39.85546875" style="53" customWidth="1"/>
    <col min="7939" max="7939" width="18.28515625" style="53" customWidth="1"/>
    <col min="7940" max="7940" width="23.85546875" style="53" customWidth="1"/>
    <col min="7941" max="7941" width="16" style="53" bestFit="1" customWidth="1"/>
    <col min="7942" max="7942" width="13.7109375" style="53" bestFit="1" customWidth="1"/>
    <col min="7943" max="7943" width="15.7109375" style="53" bestFit="1" customWidth="1"/>
    <col min="7944" max="7944" width="13.140625" style="53" bestFit="1" customWidth="1"/>
    <col min="7945" max="7945" width="11.85546875" style="53" bestFit="1" customWidth="1"/>
    <col min="7946" max="7946" width="12.85546875" style="53" bestFit="1" customWidth="1"/>
    <col min="7947" max="8192" width="9.140625" style="53"/>
    <col min="8193" max="8193" width="9.28515625" style="53" customWidth="1"/>
    <col min="8194" max="8194" width="39.85546875" style="53" customWidth="1"/>
    <col min="8195" max="8195" width="18.28515625" style="53" customWidth="1"/>
    <col min="8196" max="8196" width="23.85546875" style="53" customWidth="1"/>
    <col min="8197" max="8197" width="16" style="53" bestFit="1" customWidth="1"/>
    <col min="8198" max="8198" width="13.7109375" style="53" bestFit="1" customWidth="1"/>
    <col min="8199" max="8199" width="15.7109375" style="53" bestFit="1" customWidth="1"/>
    <col min="8200" max="8200" width="13.140625" style="53" bestFit="1" customWidth="1"/>
    <col min="8201" max="8201" width="11.85546875" style="53" bestFit="1" customWidth="1"/>
    <col min="8202" max="8202" width="12.85546875" style="53" bestFit="1" customWidth="1"/>
    <col min="8203" max="8448" width="9.140625" style="53"/>
    <col min="8449" max="8449" width="9.28515625" style="53" customWidth="1"/>
    <col min="8450" max="8450" width="39.85546875" style="53" customWidth="1"/>
    <col min="8451" max="8451" width="18.28515625" style="53" customWidth="1"/>
    <col min="8452" max="8452" width="23.85546875" style="53" customWidth="1"/>
    <col min="8453" max="8453" width="16" style="53" bestFit="1" customWidth="1"/>
    <col min="8454" max="8454" width="13.7109375" style="53" bestFit="1" customWidth="1"/>
    <col min="8455" max="8455" width="15.7109375" style="53" bestFit="1" customWidth="1"/>
    <col min="8456" max="8456" width="13.140625" style="53" bestFit="1" customWidth="1"/>
    <col min="8457" max="8457" width="11.85546875" style="53" bestFit="1" customWidth="1"/>
    <col min="8458" max="8458" width="12.85546875" style="53" bestFit="1" customWidth="1"/>
    <col min="8459" max="8704" width="9.140625" style="53"/>
    <col min="8705" max="8705" width="9.28515625" style="53" customWidth="1"/>
    <col min="8706" max="8706" width="39.85546875" style="53" customWidth="1"/>
    <col min="8707" max="8707" width="18.28515625" style="53" customWidth="1"/>
    <col min="8708" max="8708" width="23.85546875" style="53" customWidth="1"/>
    <col min="8709" max="8709" width="16" style="53" bestFit="1" customWidth="1"/>
    <col min="8710" max="8710" width="13.7109375" style="53" bestFit="1" customWidth="1"/>
    <col min="8711" max="8711" width="15.7109375" style="53" bestFit="1" customWidth="1"/>
    <col min="8712" max="8712" width="13.140625" style="53" bestFit="1" customWidth="1"/>
    <col min="8713" max="8713" width="11.85546875" style="53" bestFit="1" customWidth="1"/>
    <col min="8714" max="8714" width="12.85546875" style="53" bestFit="1" customWidth="1"/>
    <col min="8715" max="8960" width="9.140625" style="53"/>
    <col min="8961" max="8961" width="9.28515625" style="53" customWidth="1"/>
    <col min="8962" max="8962" width="39.85546875" style="53" customWidth="1"/>
    <col min="8963" max="8963" width="18.28515625" style="53" customWidth="1"/>
    <col min="8964" max="8964" width="23.85546875" style="53" customWidth="1"/>
    <col min="8965" max="8965" width="16" style="53" bestFit="1" customWidth="1"/>
    <col min="8966" max="8966" width="13.7109375" style="53" bestFit="1" customWidth="1"/>
    <col min="8967" max="8967" width="15.7109375" style="53" bestFit="1" customWidth="1"/>
    <col min="8968" max="8968" width="13.140625" style="53" bestFit="1" customWidth="1"/>
    <col min="8969" max="8969" width="11.85546875" style="53" bestFit="1" customWidth="1"/>
    <col min="8970" max="8970" width="12.85546875" style="53" bestFit="1" customWidth="1"/>
    <col min="8971" max="9216" width="9.140625" style="53"/>
    <col min="9217" max="9217" width="9.28515625" style="53" customWidth="1"/>
    <col min="9218" max="9218" width="39.85546875" style="53" customWidth="1"/>
    <col min="9219" max="9219" width="18.28515625" style="53" customWidth="1"/>
    <col min="9220" max="9220" width="23.85546875" style="53" customWidth="1"/>
    <col min="9221" max="9221" width="16" style="53" bestFit="1" customWidth="1"/>
    <col min="9222" max="9222" width="13.7109375" style="53" bestFit="1" customWidth="1"/>
    <col min="9223" max="9223" width="15.7109375" style="53" bestFit="1" customWidth="1"/>
    <col min="9224" max="9224" width="13.140625" style="53" bestFit="1" customWidth="1"/>
    <col min="9225" max="9225" width="11.85546875" style="53" bestFit="1" customWidth="1"/>
    <col min="9226" max="9226" width="12.85546875" style="53" bestFit="1" customWidth="1"/>
    <col min="9227" max="9472" width="9.140625" style="53"/>
    <col min="9473" max="9473" width="9.28515625" style="53" customWidth="1"/>
    <col min="9474" max="9474" width="39.85546875" style="53" customWidth="1"/>
    <col min="9475" max="9475" width="18.28515625" style="53" customWidth="1"/>
    <col min="9476" max="9476" width="23.85546875" style="53" customWidth="1"/>
    <col min="9477" max="9477" width="16" style="53" bestFit="1" customWidth="1"/>
    <col min="9478" max="9478" width="13.7109375" style="53" bestFit="1" customWidth="1"/>
    <col min="9479" max="9479" width="15.7109375" style="53" bestFit="1" customWidth="1"/>
    <col min="9480" max="9480" width="13.140625" style="53" bestFit="1" customWidth="1"/>
    <col min="9481" max="9481" width="11.85546875" style="53" bestFit="1" customWidth="1"/>
    <col min="9482" max="9482" width="12.85546875" style="53" bestFit="1" customWidth="1"/>
    <col min="9483" max="9728" width="9.140625" style="53"/>
    <col min="9729" max="9729" width="9.28515625" style="53" customWidth="1"/>
    <col min="9730" max="9730" width="39.85546875" style="53" customWidth="1"/>
    <col min="9731" max="9731" width="18.28515625" style="53" customWidth="1"/>
    <col min="9732" max="9732" width="23.85546875" style="53" customWidth="1"/>
    <col min="9733" max="9733" width="16" style="53" bestFit="1" customWidth="1"/>
    <col min="9734" max="9734" width="13.7109375" style="53" bestFit="1" customWidth="1"/>
    <col min="9735" max="9735" width="15.7109375" style="53" bestFit="1" customWidth="1"/>
    <col min="9736" max="9736" width="13.140625" style="53" bestFit="1" customWidth="1"/>
    <col min="9737" max="9737" width="11.85546875" style="53" bestFit="1" customWidth="1"/>
    <col min="9738" max="9738" width="12.85546875" style="53" bestFit="1" customWidth="1"/>
    <col min="9739" max="9984" width="9.140625" style="53"/>
    <col min="9985" max="9985" width="9.28515625" style="53" customWidth="1"/>
    <col min="9986" max="9986" width="39.85546875" style="53" customWidth="1"/>
    <col min="9987" max="9987" width="18.28515625" style="53" customWidth="1"/>
    <col min="9988" max="9988" width="23.85546875" style="53" customWidth="1"/>
    <col min="9989" max="9989" width="16" style="53" bestFit="1" customWidth="1"/>
    <col min="9990" max="9990" width="13.7109375" style="53" bestFit="1" customWidth="1"/>
    <col min="9991" max="9991" width="15.7109375" style="53" bestFit="1" customWidth="1"/>
    <col min="9992" max="9992" width="13.140625" style="53" bestFit="1" customWidth="1"/>
    <col min="9993" max="9993" width="11.85546875" style="53" bestFit="1" customWidth="1"/>
    <col min="9994" max="9994" width="12.85546875" style="53" bestFit="1" customWidth="1"/>
    <col min="9995" max="10240" width="9.140625" style="53"/>
    <col min="10241" max="10241" width="9.28515625" style="53" customWidth="1"/>
    <col min="10242" max="10242" width="39.85546875" style="53" customWidth="1"/>
    <col min="10243" max="10243" width="18.28515625" style="53" customWidth="1"/>
    <col min="10244" max="10244" width="23.85546875" style="53" customWidth="1"/>
    <col min="10245" max="10245" width="16" style="53" bestFit="1" customWidth="1"/>
    <col min="10246" max="10246" width="13.7109375" style="53" bestFit="1" customWidth="1"/>
    <col min="10247" max="10247" width="15.7109375" style="53" bestFit="1" customWidth="1"/>
    <col min="10248" max="10248" width="13.140625" style="53" bestFit="1" customWidth="1"/>
    <col min="10249" max="10249" width="11.85546875" style="53" bestFit="1" customWidth="1"/>
    <col min="10250" max="10250" width="12.85546875" style="53" bestFit="1" customWidth="1"/>
    <col min="10251" max="10496" width="9.140625" style="53"/>
    <col min="10497" max="10497" width="9.28515625" style="53" customWidth="1"/>
    <col min="10498" max="10498" width="39.85546875" style="53" customWidth="1"/>
    <col min="10499" max="10499" width="18.28515625" style="53" customWidth="1"/>
    <col min="10500" max="10500" width="23.85546875" style="53" customWidth="1"/>
    <col min="10501" max="10501" width="16" style="53" bestFit="1" customWidth="1"/>
    <col min="10502" max="10502" width="13.7109375" style="53" bestFit="1" customWidth="1"/>
    <col min="10503" max="10503" width="15.7109375" style="53" bestFit="1" customWidth="1"/>
    <col min="10504" max="10504" width="13.140625" style="53" bestFit="1" customWidth="1"/>
    <col min="10505" max="10505" width="11.85546875" style="53" bestFit="1" customWidth="1"/>
    <col min="10506" max="10506" width="12.85546875" style="53" bestFit="1" customWidth="1"/>
    <col min="10507" max="10752" width="9.140625" style="53"/>
    <col min="10753" max="10753" width="9.28515625" style="53" customWidth="1"/>
    <col min="10754" max="10754" width="39.85546875" style="53" customWidth="1"/>
    <col min="10755" max="10755" width="18.28515625" style="53" customWidth="1"/>
    <col min="10756" max="10756" width="23.85546875" style="53" customWidth="1"/>
    <col min="10757" max="10757" width="16" style="53" bestFit="1" customWidth="1"/>
    <col min="10758" max="10758" width="13.7109375" style="53" bestFit="1" customWidth="1"/>
    <col min="10759" max="10759" width="15.7109375" style="53" bestFit="1" customWidth="1"/>
    <col min="10760" max="10760" width="13.140625" style="53" bestFit="1" customWidth="1"/>
    <col min="10761" max="10761" width="11.85546875" style="53" bestFit="1" customWidth="1"/>
    <col min="10762" max="10762" width="12.85546875" style="53" bestFit="1" customWidth="1"/>
    <col min="10763" max="11008" width="9.140625" style="53"/>
    <col min="11009" max="11009" width="9.28515625" style="53" customWidth="1"/>
    <col min="11010" max="11010" width="39.85546875" style="53" customWidth="1"/>
    <col min="11011" max="11011" width="18.28515625" style="53" customWidth="1"/>
    <col min="11012" max="11012" width="23.85546875" style="53" customWidth="1"/>
    <col min="11013" max="11013" width="16" style="53" bestFit="1" customWidth="1"/>
    <col min="11014" max="11014" width="13.7109375" style="53" bestFit="1" customWidth="1"/>
    <col min="11015" max="11015" width="15.7109375" style="53" bestFit="1" customWidth="1"/>
    <col min="11016" max="11016" width="13.140625" style="53" bestFit="1" customWidth="1"/>
    <col min="11017" max="11017" width="11.85546875" style="53" bestFit="1" customWidth="1"/>
    <col min="11018" max="11018" width="12.85546875" style="53" bestFit="1" customWidth="1"/>
    <col min="11019" max="11264" width="9.140625" style="53"/>
    <col min="11265" max="11265" width="9.28515625" style="53" customWidth="1"/>
    <col min="11266" max="11266" width="39.85546875" style="53" customWidth="1"/>
    <col min="11267" max="11267" width="18.28515625" style="53" customWidth="1"/>
    <col min="11268" max="11268" width="23.85546875" style="53" customWidth="1"/>
    <col min="11269" max="11269" width="16" style="53" bestFit="1" customWidth="1"/>
    <col min="11270" max="11270" width="13.7109375" style="53" bestFit="1" customWidth="1"/>
    <col min="11271" max="11271" width="15.7109375" style="53" bestFit="1" customWidth="1"/>
    <col min="11272" max="11272" width="13.140625" style="53" bestFit="1" customWidth="1"/>
    <col min="11273" max="11273" width="11.85546875" style="53" bestFit="1" customWidth="1"/>
    <col min="11274" max="11274" width="12.85546875" style="53" bestFit="1" customWidth="1"/>
    <col min="11275" max="11520" width="9.140625" style="53"/>
    <col min="11521" max="11521" width="9.28515625" style="53" customWidth="1"/>
    <col min="11522" max="11522" width="39.85546875" style="53" customWidth="1"/>
    <col min="11523" max="11523" width="18.28515625" style="53" customWidth="1"/>
    <col min="11524" max="11524" width="23.85546875" style="53" customWidth="1"/>
    <col min="11525" max="11525" width="16" style="53" bestFit="1" customWidth="1"/>
    <col min="11526" max="11526" width="13.7109375" style="53" bestFit="1" customWidth="1"/>
    <col min="11527" max="11527" width="15.7109375" style="53" bestFit="1" customWidth="1"/>
    <col min="11528" max="11528" width="13.140625" style="53" bestFit="1" customWidth="1"/>
    <col min="11529" max="11529" width="11.85546875" style="53" bestFit="1" customWidth="1"/>
    <col min="11530" max="11530" width="12.85546875" style="53" bestFit="1" customWidth="1"/>
    <col min="11531" max="11776" width="9.140625" style="53"/>
    <col min="11777" max="11777" width="9.28515625" style="53" customWidth="1"/>
    <col min="11778" max="11778" width="39.85546875" style="53" customWidth="1"/>
    <col min="11779" max="11779" width="18.28515625" style="53" customWidth="1"/>
    <col min="11780" max="11780" width="23.85546875" style="53" customWidth="1"/>
    <col min="11781" max="11781" width="16" style="53" bestFit="1" customWidth="1"/>
    <col min="11782" max="11782" width="13.7109375" style="53" bestFit="1" customWidth="1"/>
    <col min="11783" max="11783" width="15.7109375" style="53" bestFit="1" customWidth="1"/>
    <col min="11784" max="11784" width="13.140625" style="53" bestFit="1" customWidth="1"/>
    <col min="11785" max="11785" width="11.85546875" style="53" bestFit="1" customWidth="1"/>
    <col min="11786" max="11786" width="12.85546875" style="53" bestFit="1" customWidth="1"/>
    <col min="11787" max="12032" width="9.140625" style="53"/>
    <col min="12033" max="12033" width="9.28515625" style="53" customWidth="1"/>
    <col min="12034" max="12034" width="39.85546875" style="53" customWidth="1"/>
    <col min="12035" max="12035" width="18.28515625" style="53" customWidth="1"/>
    <col min="12036" max="12036" width="23.85546875" style="53" customWidth="1"/>
    <col min="12037" max="12037" width="16" style="53" bestFit="1" customWidth="1"/>
    <col min="12038" max="12038" width="13.7109375" style="53" bestFit="1" customWidth="1"/>
    <col min="12039" max="12039" width="15.7109375" style="53" bestFit="1" customWidth="1"/>
    <col min="12040" max="12040" width="13.140625" style="53" bestFit="1" customWidth="1"/>
    <col min="12041" max="12041" width="11.85546875" style="53" bestFit="1" customWidth="1"/>
    <col min="12042" max="12042" width="12.85546875" style="53" bestFit="1" customWidth="1"/>
    <col min="12043" max="12288" width="9.140625" style="53"/>
    <col min="12289" max="12289" width="9.28515625" style="53" customWidth="1"/>
    <col min="12290" max="12290" width="39.85546875" style="53" customWidth="1"/>
    <col min="12291" max="12291" width="18.28515625" style="53" customWidth="1"/>
    <col min="12292" max="12292" width="23.85546875" style="53" customWidth="1"/>
    <col min="12293" max="12293" width="16" style="53" bestFit="1" customWidth="1"/>
    <col min="12294" max="12294" width="13.7109375" style="53" bestFit="1" customWidth="1"/>
    <col min="12295" max="12295" width="15.7109375" style="53" bestFit="1" customWidth="1"/>
    <col min="12296" max="12296" width="13.140625" style="53" bestFit="1" customWidth="1"/>
    <col min="12297" max="12297" width="11.85546875" style="53" bestFit="1" customWidth="1"/>
    <col min="12298" max="12298" width="12.85546875" style="53" bestFit="1" customWidth="1"/>
    <col min="12299" max="12544" width="9.140625" style="53"/>
    <col min="12545" max="12545" width="9.28515625" style="53" customWidth="1"/>
    <col min="12546" max="12546" width="39.85546875" style="53" customWidth="1"/>
    <col min="12547" max="12547" width="18.28515625" style="53" customWidth="1"/>
    <col min="12548" max="12548" width="23.85546875" style="53" customWidth="1"/>
    <col min="12549" max="12549" width="16" style="53" bestFit="1" customWidth="1"/>
    <col min="12550" max="12550" width="13.7109375" style="53" bestFit="1" customWidth="1"/>
    <col min="12551" max="12551" width="15.7109375" style="53" bestFit="1" customWidth="1"/>
    <col min="12552" max="12552" width="13.140625" style="53" bestFit="1" customWidth="1"/>
    <col min="12553" max="12553" width="11.85546875" style="53" bestFit="1" customWidth="1"/>
    <col min="12554" max="12554" width="12.85546875" style="53" bestFit="1" customWidth="1"/>
    <col min="12555" max="12800" width="9.140625" style="53"/>
    <col min="12801" max="12801" width="9.28515625" style="53" customWidth="1"/>
    <col min="12802" max="12802" width="39.85546875" style="53" customWidth="1"/>
    <col min="12803" max="12803" width="18.28515625" style="53" customWidth="1"/>
    <col min="12804" max="12804" width="23.85546875" style="53" customWidth="1"/>
    <col min="12805" max="12805" width="16" style="53" bestFit="1" customWidth="1"/>
    <col min="12806" max="12806" width="13.7109375" style="53" bestFit="1" customWidth="1"/>
    <col min="12807" max="12807" width="15.7109375" style="53" bestFit="1" customWidth="1"/>
    <col min="12808" max="12808" width="13.140625" style="53" bestFit="1" customWidth="1"/>
    <col min="12809" max="12809" width="11.85546875" style="53" bestFit="1" customWidth="1"/>
    <col min="12810" max="12810" width="12.85546875" style="53" bestFit="1" customWidth="1"/>
    <col min="12811" max="13056" width="9.140625" style="53"/>
    <col min="13057" max="13057" width="9.28515625" style="53" customWidth="1"/>
    <col min="13058" max="13058" width="39.85546875" style="53" customWidth="1"/>
    <col min="13059" max="13059" width="18.28515625" style="53" customWidth="1"/>
    <col min="13060" max="13060" width="23.85546875" style="53" customWidth="1"/>
    <col min="13061" max="13061" width="16" style="53" bestFit="1" customWidth="1"/>
    <col min="13062" max="13062" width="13.7109375" style="53" bestFit="1" customWidth="1"/>
    <col min="13063" max="13063" width="15.7109375" style="53" bestFit="1" customWidth="1"/>
    <col min="13064" max="13064" width="13.140625" style="53" bestFit="1" customWidth="1"/>
    <col min="13065" max="13065" width="11.85546875" style="53" bestFit="1" customWidth="1"/>
    <col min="13066" max="13066" width="12.85546875" style="53" bestFit="1" customWidth="1"/>
    <col min="13067" max="13312" width="9.140625" style="53"/>
    <col min="13313" max="13313" width="9.28515625" style="53" customWidth="1"/>
    <col min="13314" max="13314" width="39.85546875" style="53" customWidth="1"/>
    <col min="13315" max="13315" width="18.28515625" style="53" customWidth="1"/>
    <col min="13316" max="13316" width="23.85546875" style="53" customWidth="1"/>
    <col min="13317" max="13317" width="16" style="53" bestFit="1" customWidth="1"/>
    <col min="13318" max="13318" width="13.7109375" style="53" bestFit="1" customWidth="1"/>
    <col min="13319" max="13319" width="15.7109375" style="53" bestFit="1" customWidth="1"/>
    <col min="13320" max="13320" width="13.140625" style="53" bestFit="1" customWidth="1"/>
    <col min="13321" max="13321" width="11.85546875" style="53" bestFit="1" customWidth="1"/>
    <col min="13322" max="13322" width="12.85546875" style="53" bestFit="1" customWidth="1"/>
    <col min="13323" max="13568" width="9.140625" style="53"/>
    <col min="13569" max="13569" width="9.28515625" style="53" customWidth="1"/>
    <col min="13570" max="13570" width="39.85546875" style="53" customWidth="1"/>
    <col min="13571" max="13571" width="18.28515625" style="53" customWidth="1"/>
    <col min="13572" max="13572" width="23.85546875" style="53" customWidth="1"/>
    <col min="13573" max="13573" width="16" style="53" bestFit="1" customWidth="1"/>
    <col min="13574" max="13574" width="13.7109375" style="53" bestFit="1" customWidth="1"/>
    <col min="13575" max="13575" width="15.7109375" style="53" bestFit="1" customWidth="1"/>
    <col min="13576" max="13576" width="13.140625" style="53" bestFit="1" customWidth="1"/>
    <col min="13577" max="13577" width="11.85546875" style="53" bestFit="1" customWidth="1"/>
    <col min="13578" max="13578" width="12.85546875" style="53" bestFit="1" customWidth="1"/>
    <col min="13579" max="13824" width="9.140625" style="53"/>
    <col min="13825" max="13825" width="9.28515625" style="53" customWidth="1"/>
    <col min="13826" max="13826" width="39.85546875" style="53" customWidth="1"/>
    <col min="13827" max="13827" width="18.28515625" style="53" customWidth="1"/>
    <col min="13828" max="13828" width="23.85546875" style="53" customWidth="1"/>
    <col min="13829" max="13829" width="16" style="53" bestFit="1" customWidth="1"/>
    <col min="13830" max="13830" width="13.7109375" style="53" bestFit="1" customWidth="1"/>
    <col min="13831" max="13831" width="15.7109375" style="53" bestFit="1" customWidth="1"/>
    <col min="13832" max="13832" width="13.140625" style="53" bestFit="1" customWidth="1"/>
    <col min="13833" max="13833" width="11.85546875" style="53" bestFit="1" customWidth="1"/>
    <col min="13834" max="13834" width="12.85546875" style="53" bestFit="1" customWidth="1"/>
    <col min="13835" max="14080" width="9.140625" style="53"/>
    <col min="14081" max="14081" width="9.28515625" style="53" customWidth="1"/>
    <col min="14082" max="14082" width="39.85546875" style="53" customWidth="1"/>
    <col min="14083" max="14083" width="18.28515625" style="53" customWidth="1"/>
    <col min="14084" max="14084" width="23.85546875" style="53" customWidth="1"/>
    <col min="14085" max="14085" width="16" style="53" bestFit="1" customWidth="1"/>
    <col min="14086" max="14086" width="13.7109375" style="53" bestFit="1" customWidth="1"/>
    <col min="14087" max="14087" width="15.7109375" style="53" bestFit="1" customWidth="1"/>
    <col min="14088" max="14088" width="13.140625" style="53" bestFit="1" customWidth="1"/>
    <col min="14089" max="14089" width="11.85546875" style="53" bestFit="1" customWidth="1"/>
    <col min="14090" max="14090" width="12.85546875" style="53" bestFit="1" customWidth="1"/>
    <col min="14091" max="14336" width="9.140625" style="53"/>
    <col min="14337" max="14337" width="9.28515625" style="53" customWidth="1"/>
    <col min="14338" max="14338" width="39.85546875" style="53" customWidth="1"/>
    <col min="14339" max="14339" width="18.28515625" style="53" customWidth="1"/>
    <col min="14340" max="14340" width="23.85546875" style="53" customWidth="1"/>
    <col min="14341" max="14341" width="16" style="53" bestFit="1" customWidth="1"/>
    <col min="14342" max="14342" width="13.7109375" style="53" bestFit="1" customWidth="1"/>
    <col min="14343" max="14343" width="15.7109375" style="53" bestFit="1" customWidth="1"/>
    <col min="14344" max="14344" width="13.140625" style="53" bestFit="1" customWidth="1"/>
    <col min="14345" max="14345" width="11.85546875" style="53" bestFit="1" customWidth="1"/>
    <col min="14346" max="14346" width="12.85546875" style="53" bestFit="1" customWidth="1"/>
    <col min="14347" max="14592" width="9.140625" style="53"/>
    <col min="14593" max="14593" width="9.28515625" style="53" customWidth="1"/>
    <col min="14594" max="14594" width="39.85546875" style="53" customWidth="1"/>
    <col min="14595" max="14595" width="18.28515625" style="53" customWidth="1"/>
    <col min="14596" max="14596" width="23.85546875" style="53" customWidth="1"/>
    <col min="14597" max="14597" width="16" style="53" bestFit="1" customWidth="1"/>
    <col min="14598" max="14598" width="13.7109375" style="53" bestFit="1" customWidth="1"/>
    <col min="14599" max="14599" width="15.7109375" style="53" bestFit="1" customWidth="1"/>
    <col min="14600" max="14600" width="13.140625" style="53" bestFit="1" customWidth="1"/>
    <col min="14601" max="14601" width="11.85546875" style="53" bestFit="1" customWidth="1"/>
    <col min="14602" max="14602" width="12.85546875" style="53" bestFit="1" customWidth="1"/>
    <col min="14603" max="14848" width="9.140625" style="53"/>
    <col min="14849" max="14849" width="9.28515625" style="53" customWidth="1"/>
    <col min="14850" max="14850" width="39.85546875" style="53" customWidth="1"/>
    <col min="14851" max="14851" width="18.28515625" style="53" customWidth="1"/>
    <col min="14852" max="14852" width="23.85546875" style="53" customWidth="1"/>
    <col min="14853" max="14853" width="16" style="53" bestFit="1" customWidth="1"/>
    <col min="14854" max="14854" width="13.7109375" style="53" bestFit="1" customWidth="1"/>
    <col min="14855" max="14855" width="15.7109375" style="53" bestFit="1" customWidth="1"/>
    <col min="14856" max="14856" width="13.140625" style="53" bestFit="1" customWidth="1"/>
    <col min="14857" max="14857" width="11.85546875" style="53" bestFit="1" customWidth="1"/>
    <col min="14858" max="14858" width="12.85546875" style="53" bestFit="1" customWidth="1"/>
    <col min="14859" max="15104" width="9.140625" style="53"/>
    <col min="15105" max="15105" width="9.28515625" style="53" customWidth="1"/>
    <col min="15106" max="15106" width="39.85546875" style="53" customWidth="1"/>
    <col min="15107" max="15107" width="18.28515625" style="53" customWidth="1"/>
    <col min="15108" max="15108" width="23.85546875" style="53" customWidth="1"/>
    <col min="15109" max="15109" width="16" style="53" bestFit="1" customWidth="1"/>
    <col min="15110" max="15110" width="13.7109375" style="53" bestFit="1" customWidth="1"/>
    <col min="15111" max="15111" width="15.7109375" style="53" bestFit="1" customWidth="1"/>
    <col min="15112" max="15112" width="13.140625" style="53" bestFit="1" customWidth="1"/>
    <col min="15113" max="15113" width="11.85546875" style="53" bestFit="1" customWidth="1"/>
    <col min="15114" max="15114" width="12.85546875" style="53" bestFit="1" customWidth="1"/>
    <col min="15115" max="15360" width="9.140625" style="53"/>
    <col min="15361" max="15361" width="9.28515625" style="53" customWidth="1"/>
    <col min="15362" max="15362" width="39.85546875" style="53" customWidth="1"/>
    <col min="15363" max="15363" width="18.28515625" style="53" customWidth="1"/>
    <col min="15364" max="15364" width="23.85546875" style="53" customWidth="1"/>
    <col min="15365" max="15365" width="16" style="53" bestFit="1" customWidth="1"/>
    <col min="15366" max="15366" width="13.7109375" style="53" bestFit="1" customWidth="1"/>
    <col min="15367" max="15367" width="15.7109375" style="53" bestFit="1" customWidth="1"/>
    <col min="15368" max="15368" width="13.140625" style="53" bestFit="1" customWidth="1"/>
    <col min="15369" max="15369" width="11.85546875" style="53" bestFit="1" customWidth="1"/>
    <col min="15370" max="15370" width="12.85546875" style="53" bestFit="1" customWidth="1"/>
    <col min="15371" max="15616" width="9.140625" style="53"/>
    <col min="15617" max="15617" width="9.28515625" style="53" customWidth="1"/>
    <col min="15618" max="15618" width="39.85546875" style="53" customWidth="1"/>
    <col min="15619" max="15619" width="18.28515625" style="53" customWidth="1"/>
    <col min="15620" max="15620" width="23.85546875" style="53" customWidth="1"/>
    <col min="15621" max="15621" width="16" style="53" bestFit="1" customWidth="1"/>
    <col min="15622" max="15622" width="13.7109375" style="53" bestFit="1" customWidth="1"/>
    <col min="15623" max="15623" width="15.7109375" style="53" bestFit="1" customWidth="1"/>
    <col min="15624" max="15624" width="13.140625" style="53" bestFit="1" customWidth="1"/>
    <col min="15625" max="15625" width="11.85546875" style="53" bestFit="1" customWidth="1"/>
    <col min="15626" max="15626" width="12.85546875" style="53" bestFit="1" customWidth="1"/>
    <col min="15627" max="15872" width="9.140625" style="53"/>
    <col min="15873" max="15873" width="9.28515625" style="53" customWidth="1"/>
    <col min="15874" max="15874" width="39.85546875" style="53" customWidth="1"/>
    <col min="15875" max="15875" width="18.28515625" style="53" customWidth="1"/>
    <col min="15876" max="15876" width="23.85546875" style="53" customWidth="1"/>
    <col min="15877" max="15877" width="16" style="53" bestFit="1" customWidth="1"/>
    <col min="15878" max="15878" width="13.7109375" style="53" bestFit="1" customWidth="1"/>
    <col min="15879" max="15879" width="15.7109375" style="53" bestFit="1" customWidth="1"/>
    <col min="15880" max="15880" width="13.140625" style="53" bestFit="1" customWidth="1"/>
    <col min="15881" max="15881" width="11.85546875" style="53" bestFit="1" customWidth="1"/>
    <col min="15882" max="15882" width="12.85546875" style="53" bestFit="1" customWidth="1"/>
    <col min="15883" max="16128" width="9.140625" style="53"/>
    <col min="16129" max="16129" width="9.28515625" style="53" customWidth="1"/>
    <col min="16130" max="16130" width="39.85546875" style="53" customWidth="1"/>
    <col min="16131" max="16131" width="18.28515625" style="53" customWidth="1"/>
    <col min="16132" max="16132" width="23.85546875" style="53" customWidth="1"/>
    <col min="16133" max="16133" width="16" style="53" bestFit="1" customWidth="1"/>
    <col min="16134" max="16134" width="13.7109375" style="53" bestFit="1" customWidth="1"/>
    <col min="16135" max="16135" width="15.7109375" style="53" bestFit="1" customWidth="1"/>
    <col min="16136" max="16136" width="13.140625" style="53" bestFit="1" customWidth="1"/>
    <col min="16137" max="16137" width="11.85546875" style="53" bestFit="1" customWidth="1"/>
    <col min="16138" max="16138" width="12.85546875" style="53" bestFit="1" customWidth="1"/>
    <col min="16139" max="16384" width="9.140625" style="53"/>
  </cols>
  <sheetData>
    <row r="3" spans="1:7" ht="15.75" customHeight="1">
      <c r="A3" s="543" t="s">
        <v>255</v>
      </c>
      <c r="B3" s="543"/>
      <c r="C3" s="543"/>
      <c r="D3" s="543"/>
      <c r="E3" s="52"/>
      <c r="F3" s="52"/>
      <c r="G3" s="52"/>
    </row>
    <row r="4" spans="1:7">
      <c r="A4" s="543"/>
      <c r="B4" s="543"/>
      <c r="C4" s="543"/>
      <c r="D4" s="543"/>
      <c r="E4" s="52"/>
      <c r="F4" s="52"/>
      <c r="G4" s="52"/>
    </row>
    <row r="5" spans="1:7">
      <c r="A5" s="54"/>
      <c r="B5" s="52"/>
      <c r="C5" s="52"/>
      <c r="D5" s="52"/>
      <c r="E5" s="52"/>
      <c r="F5" s="52"/>
      <c r="G5" s="52"/>
    </row>
    <row r="6" spans="1:7" ht="15.75" customHeight="1">
      <c r="A6" s="544" t="s">
        <v>550</v>
      </c>
      <c r="B6" s="544"/>
      <c r="C6" s="544"/>
      <c r="D6" s="544"/>
      <c r="E6" s="52"/>
      <c r="F6" s="52"/>
      <c r="G6" s="52"/>
    </row>
    <row r="7" spans="1:7">
      <c r="A7" s="522"/>
      <c r="B7" s="522"/>
      <c r="C7" s="522"/>
      <c r="D7" s="522"/>
    </row>
    <row r="8" spans="1:7">
      <c r="A8" s="237" t="s">
        <v>551</v>
      </c>
      <c r="B8" s="238"/>
      <c r="C8" s="187"/>
      <c r="D8" s="187"/>
    </row>
    <row r="9" spans="1:7">
      <c r="A9" s="522"/>
      <c r="B9" s="522"/>
      <c r="C9" s="522"/>
      <c r="D9" s="522"/>
    </row>
    <row r="10" spans="1:7">
      <c r="A10" s="57" t="s">
        <v>256</v>
      </c>
      <c r="B10" s="188"/>
      <c r="C10" s="187"/>
      <c r="D10" s="187"/>
    </row>
    <row r="11" spans="1:7">
      <c r="A11" s="59" t="s">
        <v>257</v>
      </c>
      <c r="B11" s="541" t="s">
        <v>258</v>
      </c>
      <c r="C11" s="542"/>
      <c r="D11" s="239">
        <v>42550</v>
      </c>
    </row>
    <row r="12" spans="1:7">
      <c r="A12" s="59" t="s">
        <v>259</v>
      </c>
      <c r="B12" s="62" t="s">
        <v>260</v>
      </c>
      <c r="C12" s="63"/>
      <c r="D12" s="240" t="s">
        <v>374</v>
      </c>
    </row>
    <row r="13" spans="1:7">
      <c r="A13" s="59" t="s">
        <v>261</v>
      </c>
      <c r="B13" s="541" t="s">
        <v>262</v>
      </c>
      <c r="C13" s="542"/>
      <c r="D13" s="240">
        <v>2016</v>
      </c>
    </row>
    <row r="14" spans="1:7">
      <c r="A14" s="64" t="s">
        <v>263</v>
      </c>
      <c r="B14" s="65" t="s">
        <v>555</v>
      </c>
      <c r="C14" s="66"/>
      <c r="D14" s="239">
        <v>42625</v>
      </c>
    </row>
    <row r="16" spans="1:7">
      <c r="A16" s="190"/>
    </row>
    <row r="17" spans="1:7">
      <c r="A17" s="523"/>
      <c r="B17" s="523"/>
      <c r="C17" s="523"/>
      <c r="D17" s="523"/>
      <c r="E17" s="523"/>
      <c r="F17" s="523"/>
      <c r="G17" s="523"/>
    </row>
    <row r="18" spans="1:7" ht="35.25" customHeight="1">
      <c r="A18" s="545" t="s">
        <v>264</v>
      </c>
      <c r="B18" s="545"/>
      <c r="C18" s="67" t="s">
        <v>265</v>
      </c>
      <c r="D18" s="67" t="s">
        <v>266</v>
      </c>
    </row>
    <row r="19" spans="1:7">
      <c r="A19" s="241">
        <v>1</v>
      </c>
      <c r="B19" s="242" t="s">
        <v>560</v>
      </c>
      <c r="C19" s="241" t="s">
        <v>267</v>
      </c>
      <c r="D19" s="243">
        <v>6</v>
      </c>
    </row>
    <row r="20" spans="1:7">
      <c r="A20" s="68"/>
      <c r="B20" s="69"/>
      <c r="C20" s="68"/>
      <c r="D20" s="70"/>
    </row>
    <row r="21" spans="1:7">
      <c r="A21" s="522" t="s">
        <v>268</v>
      </c>
      <c r="B21" s="522"/>
      <c r="C21" s="522"/>
      <c r="D21" s="522"/>
      <c r="E21" s="522"/>
      <c r="F21" s="522"/>
      <c r="G21" s="522"/>
    </row>
    <row r="22" spans="1:7">
      <c r="A22" s="71"/>
    </row>
    <row r="23" spans="1:7">
      <c r="A23" s="57" t="s">
        <v>269</v>
      </c>
    </row>
    <row r="24" spans="1:7">
      <c r="A24" s="57" t="s">
        <v>270</v>
      </c>
    </row>
    <row r="25" spans="1:7">
      <c r="A25" s="72" t="s">
        <v>271</v>
      </c>
      <c r="B25" s="60"/>
      <c r="C25" s="60"/>
      <c r="D25" s="61"/>
    </row>
    <row r="26" spans="1:7" ht="31.5">
      <c r="A26" s="73">
        <v>1</v>
      </c>
      <c r="B26" s="74" t="s">
        <v>272</v>
      </c>
      <c r="C26" s="74"/>
      <c r="D26" s="244" t="str">
        <f>B19</f>
        <v>OPERADOR DE MAQUINA</v>
      </c>
    </row>
    <row r="27" spans="1:7" ht="30.75" customHeight="1">
      <c r="A27" s="73">
        <v>2</v>
      </c>
      <c r="B27" s="539" t="s">
        <v>273</v>
      </c>
      <c r="C27" s="540"/>
      <c r="D27" s="175">
        <v>1393</v>
      </c>
    </row>
    <row r="28" spans="1:7" ht="31.5" customHeight="1">
      <c r="A28" s="73">
        <v>3</v>
      </c>
      <c r="B28" s="539" t="s">
        <v>274</v>
      </c>
      <c r="C28" s="540"/>
      <c r="D28" s="176" t="s">
        <v>375</v>
      </c>
    </row>
    <row r="29" spans="1:7">
      <c r="A29" s="75">
        <v>4</v>
      </c>
      <c r="B29" s="76" t="s">
        <v>275</v>
      </c>
      <c r="C29" s="76"/>
      <c r="D29" s="77">
        <v>42401</v>
      </c>
    </row>
    <row r="30" spans="1:7">
      <c r="A30" s="71"/>
    </row>
    <row r="31" spans="1:7">
      <c r="A31" s="71"/>
    </row>
    <row r="32" spans="1:7">
      <c r="A32" s="71"/>
    </row>
    <row r="33" spans="1:7" ht="16.5" customHeight="1" thickBot="1">
      <c r="A33" s="523" t="s">
        <v>276</v>
      </c>
      <c r="B33" s="523"/>
      <c r="C33" s="523"/>
      <c r="D33" s="523"/>
      <c r="E33" s="523"/>
      <c r="F33" s="52"/>
      <c r="G33" s="52"/>
    </row>
    <row r="34" spans="1:7" ht="16.5" thickBot="1">
      <c r="A34" s="78" t="s">
        <v>277</v>
      </c>
      <c r="B34" s="79" t="s">
        <v>278</v>
      </c>
      <c r="C34" s="80"/>
      <c r="D34" s="81" t="s">
        <v>279</v>
      </c>
    </row>
    <row r="35" spans="1:7">
      <c r="A35" s="82" t="s">
        <v>257</v>
      </c>
      <c r="B35" s="83" t="s">
        <v>280</v>
      </c>
      <c r="C35" s="84"/>
      <c r="D35" s="85">
        <f>ROUND(((D27/220)*(365.25/12)*(40/6)),2)</f>
        <v>1284.83</v>
      </c>
    </row>
    <row r="36" spans="1:7">
      <c r="A36" s="191" t="s">
        <v>259</v>
      </c>
      <c r="B36" s="87" t="s">
        <v>281</v>
      </c>
      <c r="C36" s="88"/>
      <c r="D36" s="89">
        <v>0</v>
      </c>
    </row>
    <row r="37" spans="1:7">
      <c r="A37" s="191" t="s">
        <v>261</v>
      </c>
      <c r="B37" s="87" t="s">
        <v>282</v>
      </c>
      <c r="C37" s="90"/>
      <c r="D37" s="89">
        <v>0</v>
      </c>
    </row>
    <row r="38" spans="1:7">
      <c r="A38" s="191" t="s">
        <v>263</v>
      </c>
      <c r="B38" s="91" t="s">
        <v>552</v>
      </c>
      <c r="C38" s="88"/>
      <c r="D38" s="89">
        <v>0</v>
      </c>
    </row>
    <row r="39" spans="1:7">
      <c r="A39" s="191" t="s">
        <v>284</v>
      </c>
      <c r="B39" s="91" t="s">
        <v>285</v>
      </c>
      <c r="C39" s="92"/>
      <c r="D39" s="89">
        <v>0</v>
      </c>
    </row>
    <row r="40" spans="1:7">
      <c r="A40" s="191" t="s">
        <v>286</v>
      </c>
      <c r="B40" s="93" t="s">
        <v>287</v>
      </c>
      <c r="C40" s="92"/>
      <c r="D40" s="89">
        <v>0</v>
      </c>
    </row>
    <row r="41" spans="1:7">
      <c r="A41" s="191" t="s">
        <v>288</v>
      </c>
      <c r="B41" s="93" t="s">
        <v>289</v>
      </c>
      <c r="C41" s="92"/>
      <c r="D41" s="89">
        <v>0</v>
      </c>
    </row>
    <row r="42" spans="1:7" ht="16.5" thickBot="1">
      <c r="A42" s="191" t="s">
        <v>290</v>
      </c>
      <c r="B42" s="94" t="s">
        <v>376</v>
      </c>
      <c r="C42" s="95"/>
      <c r="D42" s="89">
        <v>0</v>
      </c>
    </row>
    <row r="43" spans="1:7" ht="16.5" thickBot="1">
      <c r="A43" s="96"/>
      <c r="B43" s="97" t="s">
        <v>292</v>
      </c>
      <c r="C43" s="98"/>
      <c r="D43" s="99">
        <f>SUM(D35:D42)</f>
        <v>1284.83</v>
      </c>
    </row>
    <row r="44" spans="1:7">
      <c r="A44" s="190"/>
    </row>
    <row r="45" spans="1:7" ht="16.5" thickBot="1">
      <c r="A45" s="523" t="s">
        <v>293</v>
      </c>
      <c r="B45" s="523"/>
      <c r="C45" s="523"/>
      <c r="D45" s="523"/>
      <c r="E45" s="523"/>
      <c r="F45" s="523"/>
      <c r="G45" s="523"/>
    </row>
    <row r="46" spans="1:7" ht="16.5" thickBot="1">
      <c r="A46" s="100">
        <v>2</v>
      </c>
      <c r="B46" s="189" t="s">
        <v>294</v>
      </c>
      <c r="C46" s="102"/>
      <c r="D46" s="100" t="s">
        <v>279</v>
      </c>
    </row>
    <row r="47" spans="1:7">
      <c r="A47" s="82" t="s">
        <v>257</v>
      </c>
      <c r="B47" s="83" t="s">
        <v>295</v>
      </c>
      <c r="C47" s="103"/>
      <c r="D47" s="104">
        <f>(3.7*44)-(D35*6%)</f>
        <v>85.710200000000015</v>
      </c>
    </row>
    <row r="48" spans="1:7" ht="31.5">
      <c r="A48" s="105" t="s">
        <v>259</v>
      </c>
      <c r="B48" s="106" t="s">
        <v>296</v>
      </c>
      <c r="C48" s="90"/>
      <c r="D48" s="107">
        <f>330*(1-20%)</f>
        <v>264</v>
      </c>
    </row>
    <row r="49" spans="1:7">
      <c r="A49" s="191" t="s">
        <v>261</v>
      </c>
      <c r="B49" s="87" t="s">
        <v>389</v>
      </c>
      <c r="C49" s="90"/>
      <c r="D49" s="107">
        <v>50</v>
      </c>
    </row>
    <row r="50" spans="1:7">
      <c r="A50" s="191" t="s">
        <v>263</v>
      </c>
      <c r="B50" s="87" t="s">
        <v>297</v>
      </c>
      <c r="C50" s="88"/>
      <c r="D50" s="107">
        <v>0</v>
      </c>
    </row>
    <row r="51" spans="1:7">
      <c r="A51" s="191" t="s">
        <v>284</v>
      </c>
      <c r="B51" s="87" t="s">
        <v>390</v>
      </c>
      <c r="C51" s="92"/>
      <c r="D51" s="108">
        <v>16</v>
      </c>
    </row>
    <row r="52" spans="1:7" ht="16.5" customHeight="1">
      <c r="A52" s="191" t="s">
        <v>286</v>
      </c>
      <c r="B52" s="535" t="s">
        <v>377</v>
      </c>
      <c r="C52" s="536"/>
      <c r="D52" s="108">
        <v>16</v>
      </c>
    </row>
    <row r="53" spans="1:7" ht="16.5" thickBot="1">
      <c r="A53" s="109" t="s">
        <v>288</v>
      </c>
      <c r="B53" s="537" t="s">
        <v>291</v>
      </c>
      <c r="C53" s="538"/>
      <c r="D53" s="110">
        <v>0</v>
      </c>
    </row>
    <row r="54" spans="1:7" ht="16.5" thickBot="1">
      <c r="A54" s="111"/>
      <c r="B54" s="189" t="s">
        <v>298</v>
      </c>
      <c r="C54" s="112"/>
      <c r="D54" s="113">
        <f>SUM(D47:D53)</f>
        <v>431.71019999999999</v>
      </c>
    </row>
    <row r="55" spans="1:7" ht="33" customHeight="1">
      <c r="A55" s="522" t="s">
        <v>299</v>
      </c>
      <c r="B55" s="522"/>
      <c r="C55" s="522"/>
      <c r="D55" s="522"/>
    </row>
    <row r="56" spans="1:7">
      <c r="A56" s="190"/>
    </row>
    <row r="57" spans="1:7" ht="16.5" thickBot="1">
      <c r="A57" s="523" t="s">
        <v>300</v>
      </c>
      <c r="B57" s="523"/>
      <c r="C57" s="523"/>
      <c r="D57" s="523"/>
      <c r="E57" s="523"/>
      <c r="F57" s="523"/>
      <c r="G57" s="523"/>
    </row>
    <row r="58" spans="1:7" ht="16.5" thickBot="1">
      <c r="A58" s="114">
        <v>3</v>
      </c>
      <c r="B58" s="189" t="s">
        <v>301</v>
      </c>
      <c r="C58" s="102"/>
      <c r="D58" s="100" t="s">
        <v>279</v>
      </c>
    </row>
    <row r="59" spans="1:7">
      <c r="A59" s="82" t="s">
        <v>257</v>
      </c>
      <c r="B59" s="83" t="s">
        <v>302</v>
      </c>
      <c r="C59" s="115"/>
      <c r="D59" s="116">
        <f>'ANEXO IV'!D69</f>
        <v>43</v>
      </c>
    </row>
    <row r="60" spans="1:7">
      <c r="A60" s="105" t="s">
        <v>259</v>
      </c>
      <c r="B60" s="106" t="s">
        <v>15</v>
      </c>
      <c r="C60" s="90"/>
      <c r="D60" s="107">
        <f>Equipamentos!E7/11</f>
        <v>7.9090909090909092</v>
      </c>
    </row>
    <row r="61" spans="1:7">
      <c r="A61" s="191" t="s">
        <v>261</v>
      </c>
      <c r="B61" s="87" t="s">
        <v>21</v>
      </c>
      <c r="C61" s="90"/>
      <c r="D61" s="107">
        <v>10.84</v>
      </c>
    </row>
    <row r="62" spans="1:7">
      <c r="A62" s="191" t="s">
        <v>263</v>
      </c>
      <c r="B62" s="535" t="s">
        <v>18</v>
      </c>
      <c r="C62" s="536"/>
      <c r="D62" s="108">
        <f>Equipamentos!D140</f>
        <v>18.423333333333336</v>
      </c>
    </row>
    <row r="63" spans="1:7" ht="16.5" thickBot="1">
      <c r="A63" s="109" t="s">
        <v>284</v>
      </c>
      <c r="B63" s="537" t="s">
        <v>291</v>
      </c>
      <c r="C63" s="538"/>
      <c r="D63" s="110">
        <v>0</v>
      </c>
    </row>
    <row r="64" spans="1:7" ht="16.5" thickBot="1">
      <c r="A64" s="111"/>
      <c r="B64" s="189" t="s">
        <v>303</v>
      </c>
      <c r="C64" s="112"/>
      <c r="D64" s="113">
        <f>SUM(D59:D63)</f>
        <v>80.172424242424242</v>
      </c>
    </row>
    <row r="65" spans="1:7">
      <c r="A65" s="522" t="s">
        <v>304</v>
      </c>
      <c r="B65" s="522"/>
      <c r="C65" s="522"/>
      <c r="D65" s="522"/>
      <c r="E65" s="522"/>
      <c r="F65" s="522"/>
      <c r="G65" s="522"/>
    </row>
    <row r="66" spans="1:7">
      <c r="A66" s="190"/>
    </row>
    <row r="67" spans="1:7">
      <c r="A67" s="523" t="s">
        <v>305</v>
      </c>
      <c r="B67" s="523"/>
      <c r="C67" s="523"/>
      <c r="D67" s="523"/>
      <c r="E67" s="523"/>
      <c r="F67" s="523"/>
      <c r="G67" s="523"/>
    </row>
    <row r="68" spans="1:7" ht="16.5" thickBot="1">
      <c r="A68" s="523" t="s">
        <v>306</v>
      </c>
      <c r="B68" s="523"/>
      <c r="C68" s="523"/>
      <c r="D68" s="523"/>
      <c r="E68" s="523"/>
      <c r="F68" s="523"/>
      <c r="G68" s="523"/>
    </row>
    <row r="69" spans="1:7" ht="16.5" thickBot="1">
      <c r="A69" s="117" t="s">
        <v>307</v>
      </c>
      <c r="B69" s="118" t="s">
        <v>308</v>
      </c>
      <c r="C69" s="117" t="s">
        <v>4</v>
      </c>
      <c r="D69" s="117" t="s">
        <v>279</v>
      </c>
    </row>
    <row r="70" spans="1:7">
      <c r="A70" s="82" t="s">
        <v>257</v>
      </c>
      <c r="B70" s="119" t="s">
        <v>8</v>
      </c>
      <c r="C70" s="120">
        <v>0.2</v>
      </c>
      <c r="D70" s="104">
        <f t="shared" ref="D70:D77" si="0">ROUND($D$43*C70,2)</f>
        <v>256.97000000000003</v>
      </c>
    </row>
    <row r="71" spans="1:7">
      <c r="A71" s="105" t="s">
        <v>259</v>
      </c>
      <c r="B71" s="121" t="s">
        <v>309</v>
      </c>
      <c r="C71" s="122">
        <v>1.4999999999999999E-2</v>
      </c>
      <c r="D71" s="107">
        <f t="shared" si="0"/>
        <v>19.27</v>
      </c>
    </row>
    <row r="72" spans="1:7">
      <c r="A72" s="191" t="s">
        <v>261</v>
      </c>
      <c r="B72" s="123" t="s">
        <v>310</v>
      </c>
      <c r="C72" s="122">
        <v>0.01</v>
      </c>
      <c r="D72" s="107">
        <f t="shared" si="0"/>
        <v>12.85</v>
      </c>
    </row>
    <row r="73" spans="1:7">
      <c r="A73" s="105" t="s">
        <v>263</v>
      </c>
      <c r="B73" s="121" t="s">
        <v>9</v>
      </c>
      <c r="C73" s="122">
        <v>2E-3</v>
      </c>
      <c r="D73" s="107">
        <f t="shared" si="0"/>
        <v>2.57</v>
      </c>
    </row>
    <row r="74" spans="1:7">
      <c r="A74" s="191" t="s">
        <v>284</v>
      </c>
      <c r="B74" s="123" t="s">
        <v>10</v>
      </c>
      <c r="C74" s="122">
        <v>2.5000000000000001E-2</v>
      </c>
      <c r="D74" s="107">
        <f t="shared" si="0"/>
        <v>32.119999999999997</v>
      </c>
    </row>
    <row r="75" spans="1:7">
      <c r="A75" s="105" t="s">
        <v>286</v>
      </c>
      <c r="B75" s="121" t="s">
        <v>11</v>
      </c>
      <c r="C75" s="122">
        <v>0.08</v>
      </c>
      <c r="D75" s="107">
        <f t="shared" si="0"/>
        <v>102.79</v>
      </c>
    </row>
    <row r="76" spans="1:7" ht="31.5">
      <c r="A76" s="191" t="s">
        <v>288</v>
      </c>
      <c r="B76" s="123" t="s">
        <v>378</v>
      </c>
      <c r="C76" s="141">
        <v>3.0499999999999999E-2</v>
      </c>
      <c r="D76" s="245">
        <f t="shared" si="0"/>
        <v>39.19</v>
      </c>
    </row>
    <row r="77" spans="1:7" ht="16.5" thickBot="1">
      <c r="A77" s="124" t="s">
        <v>290</v>
      </c>
      <c r="B77" s="125" t="s">
        <v>12</v>
      </c>
      <c r="C77" s="126">
        <v>6.0000000000000001E-3</v>
      </c>
      <c r="D77" s="110">
        <f t="shared" si="0"/>
        <v>7.71</v>
      </c>
    </row>
    <row r="78" spans="1:7" ht="16.5" thickBot="1">
      <c r="A78" s="530" t="s">
        <v>7</v>
      </c>
      <c r="B78" s="531"/>
      <c r="C78" s="127">
        <f>SUM(C70:C77)</f>
        <v>0.36850000000000005</v>
      </c>
      <c r="D78" s="113">
        <f>SUM(D70:D77)</f>
        <v>473.47</v>
      </c>
    </row>
    <row r="79" spans="1:7">
      <c r="A79" s="534" t="s">
        <v>311</v>
      </c>
      <c r="B79" s="534"/>
      <c r="C79" s="534"/>
      <c r="D79" s="534"/>
    </row>
    <row r="80" spans="1:7" ht="16.5" customHeight="1">
      <c r="A80" s="534" t="s">
        <v>312</v>
      </c>
      <c r="B80" s="534"/>
      <c r="C80" s="534"/>
      <c r="D80" s="534"/>
    </row>
    <row r="81" spans="1:7">
      <c r="A81" s="190"/>
    </row>
    <row r="82" spans="1:7" ht="16.5" thickBot="1">
      <c r="A82" s="523" t="s">
        <v>313</v>
      </c>
      <c r="B82" s="523"/>
      <c r="C82" s="523"/>
      <c r="D82" s="523"/>
      <c r="E82" s="523"/>
      <c r="F82" s="523"/>
      <c r="G82" s="523"/>
    </row>
    <row r="83" spans="1:7" ht="16.5" thickBot="1">
      <c r="A83" s="117" t="s">
        <v>314</v>
      </c>
      <c r="B83" s="118" t="s">
        <v>315</v>
      </c>
      <c r="C83" s="117" t="s">
        <v>4</v>
      </c>
      <c r="D83" s="117" t="s">
        <v>279</v>
      </c>
    </row>
    <row r="84" spans="1:7">
      <c r="A84" s="82" t="s">
        <v>257</v>
      </c>
      <c r="B84" s="119" t="s">
        <v>316</v>
      </c>
      <c r="C84" s="120">
        <f>((5/56)*100)/100</f>
        <v>8.9285714285714288E-2</v>
      </c>
      <c r="D84" s="104">
        <f>ROUND($D$43*C84,2)</f>
        <v>114.72</v>
      </c>
    </row>
    <row r="85" spans="1:7">
      <c r="A85" s="105" t="s">
        <v>259</v>
      </c>
      <c r="B85" s="121" t="s">
        <v>317</v>
      </c>
      <c r="C85" s="128">
        <f>(1/3)*(5/56)</f>
        <v>2.976190476190476E-2</v>
      </c>
      <c r="D85" s="129">
        <f>ROUND($D$43*C85,2)</f>
        <v>38.24</v>
      </c>
    </row>
    <row r="86" spans="1:7">
      <c r="A86" s="130" t="s">
        <v>318</v>
      </c>
      <c r="B86" s="121"/>
      <c r="C86" s="131">
        <f>SUM(C84:C85)</f>
        <v>0.11904761904761904</v>
      </c>
      <c r="D86" s="132">
        <f>SUM(D84:D85)</f>
        <v>152.96</v>
      </c>
    </row>
    <row r="87" spans="1:7" ht="32.25" thickBot="1">
      <c r="A87" s="105" t="s">
        <v>261</v>
      </c>
      <c r="B87" s="121" t="s">
        <v>319</v>
      </c>
      <c r="C87" s="122">
        <f>D87/D43</f>
        <v>4.3873508557552364E-2</v>
      </c>
      <c r="D87" s="107">
        <f>ROUND(D78*C86,2)</f>
        <v>56.37</v>
      </c>
    </row>
    <row r="88" spans="1:7" ht="16.5" thickBot="1">
      <c r="A88" s="530" t="s">
        <v>7</v>
      </c>
      <c r="B88" s="531"/>
      <c r="C88" s="127">
        <f>C87+C86</f>
        <v>0.16292112760517141</v>
      </c>
      <c r="D88" s="113">
        <f>D86+D87</f>
        <v>209.33</v>
      </c>
    </row>
    <row r="89" spans="1:7">
      <c r="A89" s="190"/>
    </row>
    <row r="90" spans="1:7" ht="16.5" thickBot="1">
      <c r="A90" s="523" t="s">
        <v>320</v>
      </c>
      <c r="B90" s="523"/>
      <c r="C90" s="523"/>
      <c r="D90" s="523"/>
      <c r="E90" s="523"/>
      <c r="F90" s="523"/>
      <c r="G90" s="523"/>
    </row>
    <row r="91" spans="1:7" ht="16.5" thickBot="1">
      <c r="A91" s="117" t="s">
        <v>321</v>
      </c>
      <c r="B91" s="118" t="s">
        <v>322</v>
      </c>
      <c r="C91" s="117" t="s">
        <v>4</v>
      </c>
      <c r="D91" s="117" t="s">
        <v>279</v>
      </c>
    </row>
    <row r="92" spans="1:7">
      <c r="A92" s="82" t="s">
        <v>257</v>
      </c>
      <c r="B92" s="133" t="s">
        <v>323</v>
      </c>
      <c r="C92" s="120">
        <f>0.1111*0.02*0.3333</f>
        <v>7.4059259999999997E-4</v>
      </c>
      <c r="D92" s="104">
        <f>ROUND($D$43*C92,2)</f>
        <v>0.95</v>
      </c>
    </row>
    <row r="93" spans="1:7" ht="32.25" thickBot="1">
      <c r="A93" s="109" t="s">
        <v>259</v>
      </c>
      <c r="B93" s="134" t="s">
        <v>324</v>
      </c>
      <c r="C93" s="126">
        <f>D93/D43</f>
        <v>2.7240957947744057E-4</v>
      </c>
      <c r="D93" s="110">
        <f>ROUND(D78*C92,2)</f>
        <v>0.35</v>
      </c>
    </row>
    <row r="94" spans="1:7" ht="16.5" thickBot="1">
      <c r="A94" s="530" t="s">
        <v>7</v>
      </c>
      <c r="B94" s="531"/>
      <c r="C94" s="127">
        <f>SUM(C92:C93)</f>
        <v>1.0130021794774405E-3</v>
      </c>
      <c r="D94" s="113">
        <f>SUM(D92:D93)</f>
        <v>1.2999999999999998</v>
      </c>
    </row>
    <row r="95" spans="1:7">
      <c r="A95" s="190"/>
    </row>
    <row r="96" spans="1:7">
      <c r="A96" s="190"/>
    </row>
    <row r="97" spans="1:7" ht="16.5" thickBot="1">
      <c r="A97" s="523" t="s">
        <v>325</v>
      </c>
      <c r="B97" s="523"/>
      <c r="C97" s="523"/>
      <c r="D97" s="523"/>
      <c r="E97" s="523"/>
      <c r="F97" s="523"/>
      <c r="G97" s="523"/>
    </row>
    <row r="98" spans="1:7" ht="16.5" thickBot="1">
      <c r="A98" s="117" t="s">
        <v>326</v>
      </c>
      <c r="B98" s="118" t="s">
        <v>327</v>
      </c>
      <c r="C98" s="117" t="s">
        <v>4</v>
      </c>
      <c r="D98" s="117" t="s">
        <v>279</v>
      </c>
    </row>
    <row r="99" spans="1:7">
      <c r="A99" s="82" t="s">
        <v>257</v>
      </c>
      <c r="B99" s="133" t="s">
        <v>328</v>
      </c>
      <c r="C99" s="135">
        <f>((1/12)*0.05)</f>
        <v>4.1666666666666666E-3</v>
      </c>
      <c r="D99" s="104">
        <f>ROUND($D$43*C99,2)</f>
        <v>5.35</v>
      </c>
    </row>
    <row r="100" spans="1:7" ht="31.5">
      <c r="A100" s="191" t="s">
        <v>259</v>
      </c>
      <c r="B100" s="91" t="s">
        <v>329</v>
      </c>
      <c r="C100" s="136">
        <f>D100/D43</f>
        <v>3.3467462621514129E-4</v>
      </c>
      <c r="D100" s="137">
        <f>ROUND(D75*C99,2)</f>
        <v>0.43</v>
      </c>
    </row>
    <row r="101" spans="1:7">
      <c r="A101" s="191" t="s">
        <v>261</v>
      </c>
      <c r="B101" s="138" t="s">
        <v>330</v>
      </c>
      <c r="C101" s="139">
        <f>0.08*0.5*0.9*(1+(5/56)+(5/56)+(1/3)*(5/56))</f>
        <v>4.3499999999999997E-2</v>
      </c>
      <c r="D101" s="107">
        <f>ROUND($D$43*C101,2)</f>
        <v>55.89</v>
      </c>
    </row>
    <row r="102" spans="1:7">
      <c r="A102" s="191" t="s">
        <v>263</v>
      </c>
      <c r="B102" s="138" t="s">
        <v>331</v>
      </c>
      <c r="C102" s="140">
        <f>(((7/30)/12))</f>
        <v>1.9444444444444445E-2</v>
      </c>
      <c r="D102" s="107">
        <f>ROUND($D$43*C102,2)</f>
        <v>24.98</v>
      </c>
    </row>
    <row r="103" spans="1:7" ht="31.5">
      <c r="A103" s="191" t="s">
        <v>284</v>
      </c>
      <c r="B103" s="138" t="s">
        <v>332</v>
      </c>
      <c r="C103" s="141">
        <f>D103/D43</f>
        <v>7.168263505677795E-3</v>
      </c>
      <c r="D103" s="107">
        <f>ROUND(D78*C102,2)</f>
        <v>9.2100000000000009</v>
      </c>
    </row>
    <row r="104" spans="1:7" ht="16.5" thickBot="1">
      <c r="A104" s="109" t="s">
        <v>286</v>
      </c>
      <c r="B104" s="134" t="s">
        <v>333</v>
      </c>
      <c r="C104" s="142">
        <f>(40%+10%)*C75*C102</f>
        <v>7.7777777777777784E-4</v>
      </c>
      <c r="D104" s="107">
        <f>ROUND($D$43*C104,2)</f>
        <v>1</v>
      </c>
    </row>
    <row r="105" spans="1:7" ht="16.5" thickBot="1">
      <c r="A105" s="525" t="s">
        <v>7</v>
      </c>
      <c r="B105" s="526"/>
      <c r="C105" s="127">
        <f>SUM(C99:C104)</f>
        <v>7.5391827020781829E-2</v>
      </c>
      <c r="D105" s="143">
        <f>SUM(D99:D104)</f>
        <v>96.860000000000014</v>
      </c>
    </row>
    <row r="106" spans="1:7">
      <c r="A106" s="71"/>
    </row>
    <row r="107" spans="1:7" ht="16.5" thickBot="1">
      <c r="A107" s="523" t="s">
        <v>334</v>
      </c>
      <c r="B107" s="523"/>
      <c r="C107" s="523"/>
      <c r="D107" s="523"/>
      <c r="E107" s="523"/>
      <c r="F107" s="523"/>
      <c r="G107" s="523"/>
    </row>
    <row r="108" spans="1:7" ht="32.25" thickBot="1">
      <c r="A108" s="117" t="s">
        <v>335</v>
      </c>
      <c r="B108" s="118" t="s">
        <v>336</v>
      </c>
      <c r="C108" s="117" t="s">
        <v>4</v>
      </c>
      <c r="D108" s="117" t="s">
        <v>279</v>
      </c>
    </row>
    <row r="109" spans="1:7">
      <c r="A109" s="82" t="s">
        <v>257</v>
      </c>
      <c r="B109" s="133" t="s">
        <v>13</v>
      </c>
      <c r="C109" s="144">
        <f>(5/56)</f>
        <v>8.9285714285714288E-2</v>
      </c>
      <c r="D109" s="107">
        <f t="shared" ref="D109:D114" si="1">ROUND($D$43*C109,2)</f>
        <v>114.72</v>
      </c>
    </row>
    <row r="110" spans="1:7">
      <c r="A110" s="191" t="s">
        <v>259</v>
      </c>
      <c r="B110" s="138" t="s">
        <v>379</v>
      </c>
      <c r="C110" s="122">
        <f>(10.96/30)/12</f>
        <v>3.0444444444444444E-2</v>
      </c>
      <c r="D110" s="107">
        <f t="shared" si="1"/>
        <v>39.119999999999997</v>
      </c>
      <c r="E110" s="184"/>
    </row>
    <row r="111" spans="1:7">
      <c r="A111" s="191" t="s">
        <v>261</v>
      </c>
      <c r="B111" s="138" t="s">
        <v>337</v>
      </c>
      <c r="C111" s="122">
        <f>((5/30)/12)*0.015</f>
        <v>2.0833333333333332E-4</v>
      </c>
      <c r="D111" s="107">
        <f t="shared" si="1"/>
        <v>0.27</v>
      </c>
    </row>
    <row r="112" spans="1:7">
      <c r="A112" s="191" t="s">
        <v>263</v>
      </c>
      <c r="B112" s="138" t="s">
        <v>338</v>
      </c>
      <c r="C112" s="122">
        <f>((1/30)/12)</f>
        <v>2.7777777777777779E-3</v>
      </c>
      <c r="D112" s="107">
        <f t="shared" si="1"/>
        <v>3.57</v>
      </c>
    </row>
    <row r="113" spans="1:7">
      <c r="A113" s="191" t="s">
        <v>284</v>
      </c>
      <c r="B113" s="138" t="s">
        <v>339</v>
      </c>
      <c r="C113" s="122">
        <f>((15/30)/12)*0.0078</f>
        <v>3.2499999999999999E-4</v>
      </c>
      <c r="D113" s="107">
        <f t="shared" si="1"/>
        <v>0.42</v>
      </c>
    </row>
    <row r="114" spans="1:7">
      <c r="A114" s="191" t="s">
        <v>286</v>
      </c>
      <c r="B114" s="138" t="s">
        <v>291</v>
      </c>
      <c r="C114" s="145"/>
      <c r="D114" s="107">
        <f t="shared" si="1"/>
        <v>0</v>
      </c>
    </row>
    <row r="115" spans="1:7">
      <c r="A115" s="532" t="s">
        <v>318</v>
      </c>
      <c r="B115" s="533"/>
      <c r="C115" s="122">
        <f>SUM(C109:C114)</f>
        <v>0.12304126984126985</v>
      </c>
      <c r="D115" s="107">
        <f>SUM(D109:D114)</f>
        <v>158.1</v>
      </c>
    </row>
    <row r="116" spans="1:7" ht="32.25" thickBot="1">
      <c r="A116" s="109" t="s">
        <v>288</v>
      </c>
      <c r="B116" s="134" t="s">
        <v>340</v>
      </c>
      <c r="C116" s="142">
        <f>D116/$D$43</f>
        <v>4.5344520286730541E-2</v>
      </c>
      <c r="D116" s="107">
        <f>ROUND(D78*C115,2)</f>
        <v>58.26</v>
      </c>
    </row>
    <row r="117" spans="1:7" ht="16.5" thickBot="1">
      <c r="A117" s="525" t="s">
        <v>7</v>
      </c>
      <c r="B117" s="526"/>
      <c r="C117" s="127">
        <f>C116+C115</f>
        <v>0.1683857901280004</v>
      </c>
      <c r="D117" s="146">
        <f>D116+D115</f>
        <v>216.35999999999999</v>
      </c>
    </row>
    <row r="118" spans="1:7">
      <c r="A118" s="190" t="s">
        <v>341</v>
      </c>
    </row>
    <row r="119" spans="1:7" ht="16.5" thickBot="1">
      <c r="A119" s="522" t="s">
        <v>342</v>
      </c>
      <c r="B119" s="522"/>
      <c r="C119" s="522"/>
      <c r="D119" s="522"/>
      <c r="E119" s="522"/>
      <c r="F119" s="522"/>
      <c r="G119" s="522"/>
    </row>
    <row r="120" spans="1:7" ht="32.25" customHeight="1" thickBot="1">
      <c r="A120" s="147">
        <v>4</v>
      </c>
      <c r="B120" s="148" t="s">
        <v>343</v>
      </c>
      <c r="C120" s="149" t="s">
        <v>4</v>
      </c>
      <c r="D120" s="150" t="s">
        <v>279</v>
      </c>
    </row>
    <row r="121" spans="1:7">
      <c r="A121" s="82" t="s">
        <v>307</v>
      </c>
      <c r="B121" s="133" t="s">
        <v>344</v>
      </c>
      <c r="C121" s="142">
        <f t="shared" ref="C121:C126" si="2">D121/$D$43</f>
        <v>0.16292427792003614</v>
      </c>
      <c r="D121" s="107">
        <f>D88</f>
        <v>209.33</v>
      </c>
    </row>
    <row r="122" spans="1:7">
      <c r="A122" s="191" t="s">
        <v>314</v>
      </c>
      <c r="B122" s="138" t="s">
        <v>308</v>
      </c>
      <c r="C122" s="142">
        <f t="shared" si="2"/>
        <v>0.36850789598623945</v>
      </c>
      <c r="D122" s="107">
        <f>D78</f>
        <v>473.47</v>
      </c>
    </row>
    <row r="123" spans="1:7">
      <c r="A123" s="191" t="s">
        <v>321</v>
      </c>
      <c r="B123" s="138" t="s">
        <v>323</v>
      </c>
      <c r="C123" s="142">
        <f t="shared" si="2"/>
        <v>1.0118070094876364E-3</v>
      </c>
      <c r="D123" s="107">
        <f>D94</f>
        <v>1.2999999999999998</v>
      </c>
    </row>
    <row r="124" spans="1:7">
      <c r="A124" s="151" t="s">
        <v>326</v>
      </c>
      <c r="B124" s="152" t="s">
        <v>345</v>
      </c>
      <c r="C124" s="142">
        <f t="shared" si="2"/>
        <v>7.5387405337671146E-2</v>
      </c>
      <c r="D124" s="107">
        <f>D105</f>
        <v>96.860000000000014</v>
      </c>
    </row>
    <row r="125" spans="1:7">
      <c r="A125" s="153" t="s">
        <v>335</v>
      </c>
      <c r="B125" s="154" t="s">
        <v>346</v>
      </c>
      <c r="C125" s="142">
        <f t="shared" si="2"/>
        <v>0.16839581890211155</v>
      </c>
      <c r="D125" s="107">
        <f>D117</f>
        <v>216.35999999999999</v>
      </c>
    </row>
    <row r="126" spans="1:7" ht="16.5" thickBot="1">
      <c r="A126" s="191" t="s">
        <v>347</v>
      </c>
      <c r="B126" s="138" t="s">
        <v>291</v>
      </c>
      <c r="C126" s="142">
        <f t="shared" si="2"/>
        <v>0</v>
      </c>
      <c r="D126" s="107">
        <v>0</v>
      </c>
    </row>
    <row r="127" spans="1:7" ht="37.5" customHeight="1" thickBot="1">
      <c r="A127" s="530" t="s">
        <v>348</v>
      </c>
      <c r="B127" s="531"/>
      <c r="C127" s="127">
        <f>SUM(C121:C126)</f>
        <v>0.776227205155546</v>
      </c>
      <c r="D127" s="113">
        <f>SUM(D121:D126)</f>
        <v>997.32</v>
      </c>
    </row>
    <row r="128" spans="1:7">
      <c r="A128" s="155"/>
      <c r="B128" s="155"/>
      <c r="C128" s="156"/>
      <c r="D128" s="157"/>
      <c r="E128" s="158"/>
      <c r="F128" s="159"/>
      <c r="G128" s="159"/>
    </row>
    <row r="129" spans="1:8" ht="16.5" thickBot="1">
      <c r="A129" s="522" t="s">
        <v>349</v>
      </c>
      <c r="B129" s="522"/>
      <c r="C129" s="522"/>
      <c r="D129" s="522"/>
      <c r="E129" s="522"/>
      <c r="F129" s="522"/>
      <c r="G129" s="522"/>
      <c r="H129" s="160"/>
    </row>
    <row r="130" spans="1:8" ht="16.5" thickBot="1">
      <c r="A130" s="147" t="s">
        <v>350</v>
      </c>
      <c r="B130" s="148" t="s">
        <v>351</v>
      </c>
      <c r="C130" s="149" t="s">
        <v>4</v>
      </c>
      <c r="D130" s="114" t="s">
        <v>279</v>
      </c>
      <c r="E130" s="161">
        <f>D43+D54+D64+D78+D88+D94+D105+D117</f>
        <v>2794.0326242424244</v>
      </c>
      <c r="G130" s="160"/>
    </row>
    <row r="131" spans="1:8">
      <c r="A131" s="82" t="s">
        <v>257</v>
      </c>
      <c r="B131" s="133" t="s">
        <v>352</v>
      </c>
      <c r="C131" s="162">
        <v>6.9894999999999999E-2</v>
      </c>
      <c r="D131" s="163">
        <f>E130*C131</f>
        <v>195.28891027142424</v>
      </c>
      <c r="G131" s="160"/>
    </row>
    <row r="132" spans="1:8">
      <c r="A132" s="191" t="s">
        <v>259</v>
      </c>
      <c r="B132" s="138" t="s">
        <v>353</v>
      </c>
      <c r="C132" s="142"/>
      <c r="D132" s="164"/>
      <c r="F132" s="165"/>
    </row>
    <row r="133" spans="1:8">
      <c r="A133" s="191"/>
      <c r="B133" s="138" t="s">
        <v>354</v>
      </c>
      <c r="C133" s="142"/>
      <c r="D133" s="129"/>
      <c r="F133" s="182"/>
      <c r="G133" s="160"/>
    </row>
    <row r="134" spans="1:8">
      <c r="A134" s="191"/>
      <c r="B134" s="138" t="s">
        <v>355</v>
      </c>
      <c r="C134" s="142">
        <v>7.5999999999999998E-2</v>
      </c>
      <c r="D134" s="107">
        <f>$D$152*C134</f>
        <v>264.08259444222512</v>
      </c>
      <c r="E134" s="165">
        <f>D152</f>
        <v>3474.7709795029618</v>
      </c>
      <c r="G134" s="160"/>
    </row>
    <row r="135" spans="1:8">
      <c r="A135" s="191"/>
      <c r="B135" s="138" t="s">
        <v>356</v>
      </c>
      <c r="C135" s="142">
        <v>1.6500000000000001E-2</v>
      </c>
      <c r="D135" s="107">
        <f>$D$152*C135</f>
        <v>57.33372116179887</v>
      </c>
      <c r="E135" s="246"/>
      <c r="G135" s="160"/>
    </row>
    <row r="136" spans="1:8">
      <c r="A136" s="191"/>
      <c r="B136" s="138" t="s">
        <v>357</v>
      </c>
      <c r="C136" s="142"/>
      <c r="D136" s="107"/>
    </row>
    <row r="137" spans="1:8">
      <c r="A137" s="191"/>
      <c r="B137" s="138" t="s">
        <v>358</v>
      </c>
      <c r="C137" s="142">
        <v>0.03</v>
      </c>
      <c r="D137" s="107">
        <f>$D$152*C137</f>
        <v>104.24312938508885</v>
      </c>
      <c r="G137" s="160"/>
    </row>
    <row r="138" spans="1:8">
      <c r="A138" s="191"/>
      <c r="B138" s="138" t="s">
        <v>359</v>
      </c>
      <c r="C138" s="142"/>
      <c r="D138" s="107"/>
    </row>
    <row r="139" spans="1:8" ht="16.5" thickBot="1">
      <c r="A139" s="191" t="s">
        <v>261</v>
      </c>
      <c r="B139" s="138" t="s">
        <v>360</v>
      </c>
      <c r="C139" s="142">
        <v>0.02</v>
      </c>
      <c r="D139" s="107">
        <f>ROUND(E139*C139,2)</f>
        <v>59.79</v>
      </c>
      <c r="E139" s="132">
        <f>E130+D131</f>
        <v>2989.3215345138487</v>
      </c>
    </row>
    <row r="140" spans="1:8" ht="33" customHeight="1" thickBot="1">
      <c r="A140" s="527" t="s">
        <v>361</v>
      </c>
      <c r="B140" s="528"/>
      <c r="C140" s="529"/>
      <c r="D140" s="166">
        <f>D131+D134+D135+D137+D139</f>
        <v>680.73835526053711</v>
      </c>
    </row>
    <row r="141" spans="1:8">
      <c r="A141" s="522" t="s">
        <v>362</v>
      </c>
      <c r="B141" s="522"/>
      <c r="C141" s="522"/>
      <c r="D141" s="522"/>
      <c r="E141" s="522"/>
      <c r="F141" s="522"/>
      <c r="G141" s="522"/>
    </row>
    <row r="142" spans="1:8">
      <c r="A142" s="522" t="s">
        <v>363</v>
      </c>
      <c r="B142" s="522"/>
      <c r="C142" s="522"/>
      <c r="D142" s="522"/>
      <c r="E142" s="522"/>
      <c r="F142" s="522"/>
      <c r="G142" s="522"/>
    </row>
    <row r="143" spans="1:8">
      <c r="A143" s="190"/>
    </row>
    <row r="144" spans="1:8" ht="16.5" thickBot="1">
      <c r="A144" s="523" t="s">
        <v>364</v>
      </c>
      <c r="B144" s="523"/>
      <c r="C144" s="523"/>
      <c r="D144" s="523"/>
      <c r="E144" s="523"/>
      <c r="F144" s="523"/>
      <c r="G144" s="523"/>
    </row>
    <row r="145" spans="1:8" ht="32.25" customHeight="1" thickBot="1">
      <c r="A145" s="147"/>
      <c r="B145" s="524" t="s">
        <v>365</v>
      </c>
      <c r="C145" s="524"/>
      <c r="D145" s="167" t="s">
        <v>366</v>
      </c>
    </row>
    <row r="146" spans="1:8">
      <c r="A146" s="191" t="s">
        <v>257</v>
      </c>
      <c r="B146" s="138" t="s">
        <v>367</v>
      </c>
      <c r="C146" s="122">
        <f t="shared" ref="C146:C151" si="3">D146/$D$152</f>
        <v>0.36975962087256309</v>
      </c>
      <c r="D146" s="129">
        <f>D43</f>
        <v>1284.83</v>
      </c>
    </row>
    <row r="147" spans="1:8">
      <c r="A147" s="191" t="s">
        <v>259</v>
      </c>
      <c r="B147" s="138" t="s">
        <v>368</v>
      </c>
      <c r="C147" s="122">
        <f t="shared" si="3"/>
        <v>0.1242413392268381</v>
      </c>
      <c r="D147" s="129">
        <f>D54</f>
        <v>431.71019999999999</v>
      </c>
    </row>
    <row r="148" spans="1:8" ht="31.5">
      <c r="A148" s="191" t="s">
        <v>261</v>
      </c>
      <c r="B148" s="138" t="s">
        <v>369</v>
      </c>
      <c r="C148" s="122">
        <f t="shared" si="3"/>
        <v>2.3072721832703997E-2</v>
      </c>
      <c r="D148" s="129">
        <f>D64</f>
        <v>80.172424242424242</v>
      </c>
      <c r="E148" s="165">
        <f>D150+D131+D139</f>
        <v>3049.1115345138487</v>
      </c>
    </row>
    <row r="149" spans="1:8" ht="31.5">
      <c r="A149" s="191" t="s">
        <v>263</v>
      </c>
      <c r="B149" s="138" t="s">
        <v>370</v>
      </c>
      <c r="C149" s="122">
        <f t="shared" si="3"/>
        <v>0.28701747708928393</v>
      </c>
      <c r="D149" s="129">
        <f>D127</f>
        <v>997.32</v>
      </c>
      <c r="E149" s="174">
        <f>C137+C135+C134</f>
        <v>0.1225</v>
      </c>
    </row>
    <row r="150" spans="1:8" ht="16.5" customHeight="1">
      <c r="A150" s="168" t="s">
        <v>371</v>
      </c>
      <c r="B150" s="169"/>
      <c r="C150" s="131">
        <f t="shared" si="3"/>
        <v>0.80409115902138917</v>
      </c>
      <c r="D150" s="170">
        <f>SUM(D146:D149)</f>
        <v>2794.0326242424244</v>
      </c>
      <c r="E150" s="174">
        <f>100%-E149</f>
        <v>0.87749999999999995</v>
      </c>
    </row>
    <row r="151" spans="1:8" ht="32.25" thickBot="1">
      <c r="A151" s="191" t="s">
        <v>284</v>
      </c>
      <c r="B151" s="138" t="s">
        <v>372</v>
      </c>
      <c r="C151" s="122">
        <f t="shared" si="3"/>
        <v>0.19590884097861069</v>
      </c>
      <c r="D151" s="129">
        <f>D140</f>
        <v>680.73835526053711</v>
      </c>
      <c r="G151" s="171"/>
    </row>
    <row r="152" spans="1:8" ht="16.5" customHeight="1" thickBot="1">
      <c r="A152" s="525" t="s">
        <v>373</v>
      </c>
      <c r="B152" s="526"/>
      <c r="C152" s="127">
        <f>C151+C150</f>
        <v>0.99999999999999989</v>
      </c>
      <c r="D152" s="166">
        <f>(D150+D139+D131)/0.8775</f>
        <v>3474.7709795029618</v>
      </c>
      <c r="E152" s="171"/>
      <c r="F152" s="165">
        <f>D150+D151</f>
        <v>3474.7709795029614</v>
      </c>
      <c r="H152" s="172"/>
    </row>
    <row r="153" spans="1:8">
      <c r="E153" s="171"/>
    </row>
    <row r="154" spans="1:8">
      <c r="A154" s="186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1.299212598425197" right="0.51181102362204722" top="2.1653543307086616" bottom="0.98425196850393704" header="0.31496062992125984" footer="0.31496062992125984"/>
  <pageSetup paperSize="9" scale="79" fitToHeight="4" orientation="portrait" r:id="rId1"/>
  <headerFooter alignWithMargins="0"/>
  <rowBreaks count="3" manualBreakCount="3">
    <brk id="43" max="3" man="1"/>
    <brk id="88" max="3" man="1"/>
    <brk id="128" max="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154"/>
  <sheetViews>
    <sheetView showGridLines="0" view="pageBreakPreview" topLeftCell="A21" zoomScale="90" zoomScaleSheetLayoutView="90" workbookViewId="0">
      <selection activeCell="E135" sqref="E135"/>
    </sheetView>
  </sheetViews>
  <sheetFormatPr defaultRowHeight="15.75"/>
  <cols>
    <col min="1" max="1" width="9.28515625" style="53" customWidth="1"/>
    <col min="2" max="2" width="39.85546875" style="53" customWidth="1"/>
    <col min="3" max="3" width="18.28515625" style="53" customWidth="1"/>
    <col min="4" max="4" width="23.85546875" style="53" customWidth="1"/>
    <col min="5" max="5" width="16" style="53" bestFit="1" customWidth="1"/>
    <col min="6" max="6" width="13.7109375" style="53" bestFit="1" customWidth="1"/>
    <col min="7" max="7" width="15.7109375" style="53" bestFit="1" customWidth="1"/>
    <col min="8" max="8" width="13.140625" style="53" bestFit="1" customWidth="1"/>
    <col min="9" max="9" width="11.85546875" style="53" bestFit="1" customWidth="1"/>
    <col min="10" max="10" width="12.85546875" style="53" bestFit="1" customWidth="1"/>
    <col min="11" max="256" width="9.140625" style="53"/>
    <col min="257" max="257" width="9.28515625" style="53" customWidth="1"/>
    <col min="258" max="258" width="39.85546875" style="53" customWidth="1"/>
    <col min="259" max="259" width="18.28515625" style="53" customWidth="1"/>
    <col min="260" max="260" width="23.85546875" style="53" customWidth="1"/>
    <col min="261" max="261" width="16" style="53" bestFit="1" customWidth="1"/>
    <col min="262" max="262" width="13.7109375" style="53" bestFit="1" customWidth="1"/>
    <col min="263" max="263" width="15.7109375" style="53" bestFit="1" customWidth="1"/>
    <col min="264" max="264" width="13.140625" style="53" bestFit="1" customWidth="1"/>
    <col min="265" max="265" width="11.85546875" style="53" bestFit="1" customWidth="1"/>
    <col min="266" max="266" width="12.85546875" style="53" bestFit="1" customWidth="1"/>
    <col min="267" max="512" width="9.140625" style="53"/>
    <col min="513" max="513" width="9.28515625" style="53" customWidth="1"/>
    <col min="514" max="514" width="39.85546875" style="53" customWidth="1"/>
    <col min="515" max="515" width="18.28515625" style="53" customWidth="1"/>
    <col min="516" max="516" width="23.85546875" style="53" customWidth="1"/>
    <col min="517" max="517" width="16" style="53" bestFit="1" customWidth="1"/>
    <col min="518" max="518" width="13.7109375" style="53" bestFit="1" customWidth="1"/>
    <col min="519" max="519" width="15.7109375" style="53" bestFit="1" customWidth="1"/>
    <col min="520" max="520" width="13.140625" style="53" bestFit="1" customWidth="1"/>
    <col min="521" max="521" width="11.85546875" style="53" bestFit="1" customWidth="1"/>
    <col min="522" max="522" width="12.85546875" style="53" bestFit="1" customWidth="1"/>
    <col min="523" max="768" width="9.140625" style="53"/>
    <col min="769" max="769" width="9.28515625" style="53" customWidth="1"/>
    <col min="770" max="770" width="39.85546875" style="53" customWidth="1"/>
    <col min="771" max="771" width="18.28515625" style="53" customWidth="1"/>
    <col min="772" max="772" width="23.85546875" style="53" customWidth="1"/>
    <col min="773" max="773" width="16" style="53" bestFit="1" customWidth="1"/>
    <col min="774" max="774" width="13.7109375" style="53" bestFit="1" customWidth="1"/>
    <col min="775" max="775" width="15.7109375" style="53" bestFit="1" customWidth="1"/>
    <col min="776" max="776" width="13.140625" style="53" bestFit="1" customWidth="1"/>
    <col min="777" max="777" width="11.85546875" style="53" bestFit="1" customWidth="1"/>
    <col min="778" max="778" width="12.85546875" style="53" bestFit="1" customWidth="1"/>
    <col min="779" max="1024" width="9.140625" style="53"/>
    <col min="1025" max="1025" width="9.28515625" style="53" customWidth="1"/>
    <col min="1026" max="1026" width="39.85546875" style="53" customWidth="1"/>
    <col min="1027" max="1027" width="18.28515625" style="53" customWidth="1"/>
    <col min="1028" max="1028" width="23.85546875" style="53" customWidth="1"/>
    <col min="1029" max="1029" width="16" style="53" bestFit="1" customWidth="1"/>
    <col min="1030" max="1030" width="13.7109375" style="53" bestFit="1" customWidth="1"/>
    <col min="1031" max="1031" width="15.7109375" style="53" bestFit="1" customWidth="1"/>
    <col min="1032" max="1032" width="13.140625" style="53" bestFit="1" customWidth="1"/>
    <col min="1033" max="1033" width="11.85546875" style="53" bestFit="1" customWidth="1"/>
    <col min="1034" max="1034" width="12.85546875" style="53" bestFit="1" customWidth="1"/>
    <col min="1035" max="1280" width="9.140625" style="53"/>
    <col min="1281" max="1281" width="9.28515625" style="53" customWidth="1"/>
    <col min="1282" max="1282" width="39.85546875" style="53" customWidth="1"/>
    <col min="1283" max="1283" width="18.28515625" style="53" customWidth="1"/>
    <col min="1284" max="1284" width="23.85546875" style="53" customWidth="1"/>
    <col min="1285" max="1285" width="16" style="53" bestFit="1" customWidth="1"/>
    <col min="1286" max="1286" width="13.7109375" style="53" bestFit="1" customWidth="1"/>
    <col min="1287" max="1287" width="15.7109375" style="53" bestFit="1" customWidth="1"/>
    <col min="1288" max="1288" width="13.140625" style="53" bestFit="1" customWidth="1"/>
    <col min="1289" max="1289" width="11.85546875" style="53" bestFit="1" customWidth="1"/>
    <col min="1290" max="1290" width="12.85546875" style="53" bestFit="1" customWidth="1"/>
    <col min="1291" max="1536" width="9.140625" style="53"/>
    <col min="1537" max="1537" width="9.28515625" style="53" customWidth="1"/>
    <col min="1538" max="1538" width="39.85546875" style="53" customWidth="1"/>
    <col min="1539" max="1539" width="18.28515625" style="53" customWidth="1"/>
    <col min="1540" max="1540" width="23.85546875" style="53" customWidth="1"/>
    <col min="1541" max="1541" width="16" style="53" bestFit="1" customWidth="1"/>
    <col min="1542" max="1542" width="13.7109375" style="53" bestFit="1" customWidth="1"/>
    <col min="1543" max="1543" width="15.7109375" style="53" bestFit="1" customWidth="1"/>
    <col min="1544" max="1544" width="13.140625" style="53" bestFit="1" customWidth="1"/>
    <col min="1545" max="1545" width="11.85546875" style="53" bestFit="1" customWidth="1"/>
    <col min="1546" max="1546" width="12.85546875" style="53" bestFit="1" customWidth="1"/>
    <col min="1547" max="1792" width="9.140625" style="53"/>
    <col min="1793" max="1793" width="9.28515625" style="53" customWidth="1"/>
    <col min="1794" max="1794" width="39.85546875" style="53" customWidth="1"/>
    <col min="1795" max="1795" width="18.28515625" style="53" customWidth="1"/>
    <col min="1796" max="1796" width="23.85546875" style="53" customWidth="1"/>
    <col min="1797" max="1797" width="16" style="53" bestFit="1" customWidth="1"/>
    <col min="1798" max="1798" width="13.7109375" style="53" bestFit="1" customWidth="1"/>
    <col min="1799" max="1799" width="15.7109375" style="53" bestFit="1" customWidth="1"/>
    <col min="1800" max="1800" width="13.140625" style="53" bestFit="1" customWidth="1"/>
    <col min="1801" max="1801" width="11.85546875" style="53" bestFit="1" customWidth="1"/>
    <col min="1802" max="1802" width="12.85546875" style="53" bestFit="1" customWidth="1"/>
    <col min="1803" max="2048" width="9.140625" style="53"/>
    <col min="2049" max="2049" width="9.28515625" style="53" customWidth="1"/>
    <col min="2050" max="2050" width="39.85546875" style="53" customWidth="1"/>
    <col min="2051" max="2051" width="18.28515625" style="53" customWidth="1"/>
    <col min="2052" max="2052" width="23.85546875" style="53" customWidth="1"/>
    <col min="2053" max="2053" width="16" style="53" bestFit="1" customWidth="1"/>
    <col min="2054" max="2054" width="13.7109375" style="53" bestFit="1" customWidth="1"/>
    <col min="2055" max="2055" width="15.7109375" style="53" bestFit="1" customWidth="1"/>
    <col min="2056" max="2056" width="13.140625" style="53" bestFit="1" customWidth="1"/>
    <col min="2057" max="2057" width="11.85546875" style="53" bestFit="1" customWidth="1"/>
    <col min="2058" max="2058" width="12.85546875" style="53" bestFit="1" customWidth="1"/>
    <col min="2059" max="2304" width="9.140625" style="53"/>
    <col min="2305" max="2305" width="9.28515625" style="53" customWidth="1"/>
    <col min="2306" max="2306" width="39.85546875" style="53" customWidth="1"/>
    <col min="2307" max="2307" width="18.28515625" style="53" customWidth="1"/>
    <col min="2308" max="2308" width="23.85546875" style="53" customWidth="1"/>
    <col min="2309" max="2309" width="16" style="53" bestFit="1" customWidth="1"/>
    <col min="2310" max="2310" width="13.7109375" style="53" bestFit="1" customWidth="1"/>
    <col min="2311" max="2311" width="15.7109375" style="53" bestFit="1" customWidth="1"/>
    <col min="2312" max="2312" width="13.140625" style="53" bestFit="1" customWidth="1"/>
    <col min="2313" max="2313" width="11.85546875" style="53" bestFit="1" customWidth="1"/>
    <col min="2314" max="2314" width="12.85546875" style="53" bestFit="1" customWidth="1"/>
    <col min="2315" max="2560" width="9.140625" style="53"/>
    <col min="2561" max="2561" width="9.28515625" style="53" customWidth="1"/>
    <col min="2562" max="2562" width="39.85546875" style="53" customWidth="1"/>
    <col min="2563" max="2563" width="18.28515625" style="53" customWidth="1"/>
    <col min="2564" max="2564" width="23.85546875" style="53" customWidth="1"/>
    <col min="2565" max="2565" width="16" style="53" bestFit="1" customWidth="1"/>
    <col min="2566" max="2566" width="13.7109375" style="53" bestFit="1" customWidth="1"/>
    <col min="2567" max="2567" width="15.7109375" style="53" bestFit="1" customWidth="1"/>
    <col min="2568" max="2568" width="13.140625" style="53" bestFit="1" customWidth="1"/>
    <col min="2569" max="2569" width="11.85546875" style="53" bestFit="1" customWidth="1"/>
    <col min="2570" max="2570" width="12.85546875" style="53" bestFit="1" customWidth="1"/>
    <col min="2571" max="2816" width="9.140625" style="53"/>
    <col min="2817" max="2817" width="9.28515625" style="53" customWidth="1"/>
    <col min="2818" max="2818" width="39.85546875" style="53" customWidth="1"/>
    <col min="2819" max="2819" width="18.28515625" style="53" customWidth="1"/>
    <col min="2820" max="2820" width="23.85546875" style="53" customWidth="1"/>
    <col min="2821" max="2821" width="16" style="53" bestFit="1" customWidth="1"/>
    <col min="2822" max="2822" width="13.7109375" style="53" bestFit="1" customWidth="1"/>
    <col min="2823" max="2823" width="15.7109375" style="53" bestFit="1" customWidth="1"/>
    <col min="2824" max="2824" width="13.140625" style="53" bestFit="1" customWidth="1"/>
    <col min="2825" max="2825" width="11.85546875" style="53" bestFit="1" customWidth="1"/>
    <col min="2826" max="2826" width="12.85546875" style="53" bestFit="1" customWidth="1"/>
    <col min="2827" max="3072" width="9.140625" style="53"/>
    <col min="3073" max="3073" width="9.28515625" style="53" customWidth="1"/>
    <col min="3074" max="3074" width="39.85546875" style="53" customWidth="1"/>
    <col min="3075" max="3075" width="18.28515625" style="53" customWidth="1"/>
    <col min="3076" max="3076" width="23.85546875" style="53" customWidth="1"/>
    <col min="3077" max="3077" width="16" style="53" bestFit="1" customWidth="1"/>
    <col min="3078" max="3078" width="13.7109375" style="53" bestFit="1" customWidth="1"/>
    <col min="3079" max="3079" width="15.7109375" style="53" bestFit="1" customWidth="1"/>
    <col min="3080" max="3080" width="13.140625" style="53" bestFit="1" customWidth="1"/>
    <col min="3081" max="3081" width="11.85546875" style="53" bestFit="1" customWidth="1"/>
    <col min="3082" max="3082" width="12.85546875" style="53" bestFit="1" customWidth="1"/>
    <col min="3083" max="3328" width="9.140625" style="53"/>
    <col min="3329" max="3329" width="9.28515625" style="53" customWidth="1"/>
    <col min="3330" max="3330" width="39.85546875" style="53" customWidth="1"/>
    <col min="3331" max="3331" width="18.28515625" style="53" customWidth="1"/>
    <col min="3332" max="3332" width="23.85546875" style="53" customWidth="1"/>
    <col min="3333" max="3333" width="16" style="53" bestFit="1" customWidth="1"/>
    <col min="3334" max="3334" width="13.7109375" style="53" bestFit="1" customWidth="1"/>
    <col min="3335" max="3335" width="15.7109375" style="53" bestFit="1" customWidth="1"/>
    <col min="3336" max="3336" width="13.140625" style="53" bestFit="1" customWidth="1"/>
    <col min="3337" max="3337" width="11.85546875" style="53" bestFit="1" customWidth="1"/>
    <col min="3338" max="3338" width="12.85546875" style="53" bestFit="1" customWidth="1"/>
    <col min="3339" max="3584" width="9.140625" style="53"/>
    <col min="3585" max="3585" width="9.28515625" style="53" customWidth="1"/>
    <col min="3586" max="3586" width="39.85546875" style="53" customWidth="1"/>
    <col min="3587" max="3587" width="18.28515625" style="53" customWidth="1"/>
    <col min="3588" max="3588" width="23.85546875" style="53" customWidth="1"/>
    <col min="3589" max="3589" width="16" style="53" bestFit="1" customWidth="1"/>
    <col min="3590" max="3590" width="13.7109375" style="53" bestFit="1" customWidth="1"/>
    <col min="3591" max="3591" width="15.7109375" style="53" bestFit="1" customWidth="1"/>
    <col min="3592" max="3592" width="13.140625" style="53" bestFit="1" customWidth="1"/>
    <col min="3593" max="3593" width="11.85546875" style="53" bestFit="1" customWidth="1"/>
    <col min="3594" max="3594" width="12.85546875" style="53" bestFit="1" customWidth="1"/>
    <col min="3595" max="3840" width="9.140625" style="53"/>
    <col min="3841" max="3841" width="9.28515625" style="53" customWidth="1"/>
    <col min="3842" max="3842" width="39.85546875" style="53" customWidth="1"/>
    <col min="3843" max="3843" width="18.28515625" style="53" customWidth="1"/>
    <col min="3844" max="3844" width="23.85546875" style="53" customWidth="1"/>
    <col min="3845" max="3845" width="16" style="53" bestFit="1" customWidth="1"/>
    <col min="3846" max="3846" width="13.7109375" style="53" bestFit="1" customWidth="1"/>
    <col min="3847" max="3847" width="15.7109375" style="53" bestFit="1" customWidth="1"/>
    <col min="3848" max="3848" width="13.140625" style="53" bestFit="1" customWidth="1"/>
    <col min="3849" max="3849" width="11.85546875" style="53" bestFit="1" customWidth="1"/>
    <col min="3850" max="3850" width="12.85546875" style="53" bestFit="1" customWidth="1"/>
    <col min="3851" max="4096" width="9.140625" style="53"/>
    <col min="4097" max="4097" width="9.28515625" style="53" customWidth="1"/>
    <col min="4098" max="4098" width="39.85546875" style="53" customWidth="1"/>
    <col min="4099" max="4099" width="18.28515625" style="53" customWidth="1"/>
    <col min="4100" max="4100" width="23.85546875" style="53" customWidth="1"/>
    <col min="4101" max="4101" width="16" style="53" bestFit="1" customWidth="1"/>
    <col min="4102" max="4102" width="13.7109375" style="53" bestFit="1" customWidth="1"/>
    <col min="4103" max="4103" width="15.7109375" style="53" bestFit="1" customWidth="1"/>
    <col min="4104" max="4104" width="13.140625" style="53" bestFit="1" customWidth="1"/>
    <col min="4105" max="4105" width="11.85546875" style="53" bestFit="1" customWidth="1"/>
    <col min="4106" max="4106" width="12.85546875" style="53" bestFit="1" customWidth="1"/>
    <col min="4107" max="4352" width="9.140625" style="53"/>
    <col min="4353" max="4353" width="9.28515625" style="53" customWidth="1"/>
    <col min="4354" max="4354" width="39.85546875" style="53" customWidth="1"/>
    <col min="4355" max="4355" width="18.28515625" style="53" customWidth="1"/>
    <col min="4356" max="4356" width="23.85546875" style="53" customWidth="1"/>
    <col min="4357" max="4357" width="16" style="53" bestFit="1" customWidth="1"/>
    <col min="4358" max="4358" width="13.7109375" style="53" bestFit="1" customWidth="1"/>
    <col min="4359" max="4359" width="15.7109375" style="53" bestFit="1" customWidth="1"/>
    <col min="4360" max="4360" width="13.140625" style="53" bestFit="1" customWidth="1"/>
    <col min="4361" max="4361" width="11.85546875" style="53" bestFit="1" customWidth="1"/>
    <col min="4362" max="4362" width="12.85546875" style="53" bestFit="1" customWidth="1"/>
    <col min="4363" max="4608" width="9.140625" style="53"/>
    <col min="4609" max="4609" width="9.28515625" style="53" customWidth="1"/>
    <col min="4610" max="4610" width="39.85546875" style="53" customWidth="1"/>
    <col min="4611" max="4611" width="18.28515625" style="53" customWidth="1"/>
    <col min="4612" max="4612" width="23.85546875" style="53" customWidth="1"/>
    <col min="4613" max="4613" width="16" style="53" bestFit="1" customWidth="1"/>
    <col min="4614" max="4614" width="13.7109375" style="53" bestFit="1" customWidth="1"/>
    <col min="4615" max="4615" width="15.7109375" style="53" bestFit="1" customWidth="1"/>
    <col min="4616" max="4616" width="13.140625" style="53" bestFit="1" customWidth="1"/>
    <col min="4617" max="4617" width="11.85546875" style="53" bestFit="1" customWidth="1"/>
    <col min="4618" max="4618" width="12.85546875" style="53" bestFit="1" customWidth="1"/>
    <col min="4619" max="4864" width="9.140625" style="53"/>
    <col min="4865" max="4865" width="9.28515625" style="53" customWidth="1"/>
    <col min="4866" max="4866" width="39.85546875" style="53" customWidth="1"/>
    <col min="4867" max="4867" width="18.28515625" style="53" customWidth="1"/>
    <col min="4868" max="4868" width="23.85546875" style="53" customWidth="1"/>
    <col min="4869" max="4869" width="16" style="53" bestFit="1" customWidth="1"/>
    <col min="4870" max="4870" width="13.7109375" style="53" bestFit="1" customWidth="1"/>
    <col min="4871" max="4871" width="15.7109375" style="53" bestFit="1" customWidth="1"/>
    <col min="4872" max="4872" width="13.140625" style="53" bestFit="1" customWidth="1"/>
    <col min="4873" max="4873" width="11.85546875" style="53" bestFit="1" customWidth="1"/>
    <col min="4874" max="4874" width="12.85546875" style="53" bestFit="1" customWidth="1"/>
    <col min="4875" max="5120" width="9.140625" style="53"/>
    <col min="5121" max="5121" width="9.28515625" style="53" customWidth="1"/>
    <col min="5122" max="5122" width="39.85546875" style="53" customWidth="1"/>
    <col min="5123" max="5123" width="18.28515625" style="53" customWidth="1"/>
    <col min="5124" max="5124" width="23.85546875" style="53" customWidth="1"/>
    <col min="5125" max="5125" width="16" style="53" bestFit="1" customWidth="1"/>
    <col min="5126" max="5126" width="13.7109375" style="53" bestFit="1" customWidth="1"/>
    <col min="5127" max="5127" width="15.7109375" style="53" bestFit="1" customWidth="1"/>
    <col min="5128" max="5128" width="13.140625" style="53" bestFit="1" customWidth="1"/>
    <col min="5129" max="5129" width="11.85546875" style="53" bestFit="1" customWidth="1"/>
    <col min="5130" max="5130" width="12.85546875" style="53" bestFit="1" customWidth="1"/>
    <col min="5131" max="5376" width="9.140625" style="53"/>
    <col min="5377" max="5377" width="9.28515625" style="53" customWidth="1"/>
    <col min="5378" max="5378" width="39.85546875" style="53" customWidth="1"/>
    <col min="5379" max="5379" width="18.28515625" style="53" customWidth="1"/>
    <col min="5380" max="5380" width="23.85546875" style="53" customWidth="1"/>
    <col min="5381" max="5381" width="16" style="53" bestFit="1" customWidth="1"/>
    <col min="5382" max="5382" width="13.7109375" style="53" bestFit="1" customWidth="1"/>
    <col min="5383" max="5383" width="15.7109375" style="53" bestFit="1" customWidth="1"/>
    <col min="5384" max="5384" width="13.140625" style="53" bestFit="1" customWidth="1"/>
    <col min="5385" max="5385" width="11.85546875" style="53" bestFit="1" customWidth="1"/>
    <col min="5386" max="5386" width="12.85546875" style="53" bestFit="1" customWidth="1"/>
    <col min="5387" max="5632" width="9.140625" style="53"/>
    <col min="5633" max="5633" width="9.28515625" style="53" customWidth="1"/>
    <col min="5634" max="5634" width="39.85546875" style="53" customWidth="1"/>
    <col min="5635" max="5635" width="18.28515625" style="53" customWidth="1"/>
    <col min="5636" max="5636" width="23.85546875" style="53" customWidth="1"/>
    <col min="5637" max="5637" width="16" style="53" bestFit="1" customWidth="1"/>
    <col min="5638" max="5638" width="13.7109375" style="53" bestFit="1" customWidth="1"/>
    <col min="5639" max="5639" width="15.7109375" style="53" bestFit="1" customWidth="1"/>
    <col min="5640" max="5640" width="13.140625" style="53" bestFit="1" customWidth="1"/>
    <col min="5641" max="5641" width="11.85546875" style="53" bestFit="1" customWidth="1"/>
    <col min="5642" max="5642" width="12.85546875" style="53" bestFit="1" customWidth="1"/>
    <col min="5643" max="5888" width="9.140625" style="53"/>
    <col min="5889" max="5889" width="9.28515625" style="53" customWidth="1"/>
    <col min="5890" max="5890" width="39.85546875" style="53" customWidth="1"/>
    <col min="5891" max="5891" width="18.28515625" style="53" customWidth="1"/>
    <col min="5892" max="5892" width="23.85546875" style="53" customWidth="1"/>
    <col min="5893" max="5893" width="16" style="53" bestFit="1" customWidth="1"/>
    <col min="5894" max="5894" width="13.7109375" style="53" bestFit="1" customWidth="1"/>
    <col min="5895" max="5895" width="15.7109375" style="53" bestFit="1" customWidth="1"/>
    <col min="5896" max="5896" width="13.140625" style="53" bestFit="1" customWidth="1"/>
    <col min="5897" max="5897" width="11.85546875" style="53" bestFit="1" customWidth="1"/>
    <col min="5898" max="5898" width="12.85546875" style="53" bestFit="1" customWidth="1"/>
    <col min="5899" max="6144" width="9.140625" style="53"/>
    <col min="6145" max="6145" width="9.28515625" style="53" customWidth="1"/>
    <col min="6146" max="6146" width="39.85546875" style="53" customWidth="1"/>
    <col min="6147" max="6147" width="18.28515625" style="53" customWidth="1"/>
    <col min="6148" max="6148" width="23.85546875" style="53" customWidth="1"/>
    <col min="6149" max="6149" width="16" style="53" bestFit="1" customWidth="1"/>
    <col min="6150" max="6150" width="13.7109375" style="53" bestFit="1" customWidth="1"/>
    <col min="6151" max="6151" width="15.7109375" style="53" bestFit="1" customWidth="1"/>
    <col min="6152" max="6152" width="13.140625" style="53" bestFit="1" customWidth="1"/>
    <col min="6153" max="6153" width="11.85546875" style="53" bestFit="1" customWidth="1"/>
    <col min="6154" max="6154" width="12.85546875" style="53" bestFit="1" customWidth="1"/>
    <col min="6155" max="6400" width="9.140625" style="53"/>
    <col min="6401" max="6401" width="9.28515625" style="53" customWidth="1"/>
    <col min="6402" max="6402" width="39.85546875" style="53" customWidth="1"/>
    <col min="6403" max="6403" width="18.28515625" style="53" customWidth="1"/>
    <col min="6404" max="6404" width="23.85546875" style="53" customWidth="1"/>
    <col min="6405" max="6405" width="16" style="53" bestFit="1" customWidth="1"/>
    <col min="6406" max="6406" width="13.7109375" style="53" bestFit="1" customWidth="1"/>
    <col min="6407" max="6407" width="15.7109375" style="53" bestFit="1" customWidth="1"/>
    <col min="6408" max="6408" width="13.140625" style="53" bestFit="1" customWidth="1"/>
    <col min="6409" max="6409" width="11.85546875" style="53" bestFit="1" customWidth="1"/>
    <col min="6410" max="6410" width="12.85546875" style="53" bestFit="1" customWidth="1"/>
    <col min="6411" max="6656" width="9.140625" style="53"/>
    <col min="6657" max="6657" width="9.28515625" style="53" customWidth="1"/>
    <col min="6658" max="6658" width="39.85546875" style="53" customWidth="1"/>
    <col min="6659" max="6659" width="18.28515625" style="53" customWidth="1"/>
    <col min="6660" max="6660" width="23.85546875" style="53" customWidth="1"/>
    <col min="6661" max="6661" width="16" style="53" bestFit="1" customWidth="1"/>
    <col min="6662" max="6662" width="13.7109375" style="53" bestFit="1" customWidth="1"/>
    <col min="6663" max="6663" width="15.7109375" style="53" bestFit="1" customWidth="1"/>
    <col min="6664" max="6664" width="13.140625" style="53" bestFit="1" customWidth="1"/>
    <col min="6665" max="6665" width="11.85546875" style="53" bestFit="1" customWidth="1"/>
    <col min="6666" max="6666" width="12.85546875" style="53" bestFit="1" customWidth="1"/>
    <col min="6667" max="6912" width="9.140625" style="53"/>
    <col min="6913" max="6913" width="9.28515625" style="53" customWidth="1"/>
    <col min="6914" max="6914" width="39.85546875" style="53" customWidth="1"/>
    <col min="6915" max="6915" width="18.28515625" style="53" customWidth="1"/>
    <col min="6916" max="6916" width="23.85546875" style="53" customWidth="1"/>
    <col min="6917" max="6917" width="16" style="53" bestFit="1" customWidth="1"/>
    <col min="6918" max="6918" width="13.7109375" style="53" bestFit="1" customWidth="1"/>
    <col min="6919" max="6919" width="15.7109375" style="53" bestFit="1" customWidth="1"/>
    <col min="6920" max="6920" width="13.140625" style="53" bestFit="1" customWidth="1"/>
    <col min="6921" max="6921" width="11.85546875" style="53" bestFit="1" customWidth="1"/>
    <col min="6922" max="6922" width="12.85546875" style="53" bestFit="1" customWidth="1"/>
    <col min="6923" max="7168" width="9.140625" style="53"/>
    <col min="7169" max="7169" width="9.28515625" style="53" customWidth="1"/>
    <col min="7170" max="7170" width="39.85546875" style="53" customWidth="1"/>
    <col min="7171" max="7171" width="18.28515625" style="53" customWidth="1"/>
    <col min="7172" max="7172" width="23.85546875" style="53" customWidth="1"/>
    <col min="7173" max="7173" width="16" style="53" bestFit="1" customWidth="1"/>
    <col min="7174" max="7174" width="13.7109375" style="53" bestFit="1" customWidth="1"/>
    <col min="7175" max="7175" width="15.7109375" style="53" bestFit="1" customWidth="1"/>
    <col min="7176" max="7176" width="13.140625" style="53" bestFit="1" customWidth="1"/>
    <col min="7177" max="7177" width="11.85546875" style="53" bestFit="1" customWidth="1"/>
    <col min="7178" max="7178" width="12.85546875" style="53" bestFit="1" customWidth="1"/>
    <col min="7179" max="7424" width="9.140625" style="53"/>
    <col min="7425" max="7425" width="9.28515625" style="53" customWidth="1"/>
    <col min="7426" max="7426" width="39.85546875" style="53" customWidth="1"/>
    <col min="7427" max="7427" width="18.28515625" style="53" customWidth="1"/>
    <col min="7428" max="7428" width="23.85546875" style="53" customWidth="1"/>
    <col min="7429" max="7429" width="16" style="53" bestFit="1" customWidth="1"/>
    <col min="7430" max="7430" width="13.7109375" style="53" bestFit="1" customWidth="1"/>
    <col min="7431" max="7431" width="15.7109375" style="53" bestFit="1" customWidth="1"/>
    <col min="7432" max="7432" width="13.140625" style="53" bestFit="1" customWidth="1"/>
    <col min="7433" max="7433" width="11.85546875" style="53" bestFit="1" customWidth="1"/>
    <col min="7434" max="7434" width="12.85546875" style="53" bestFit="1" customWidth="1"/>
    <col min="7435" max="7680" width="9.140625" style="53"/>
    <col min="7681" max="7681" width="9.28515625" style="53" customWidth="1"/>
    <col min="7682" max="7682" width="39.85546875" style="53" customWidth="1"/>
    <col min="7683" max="7683" width="18.28515625" style="53" customWidth="1"/>
    <col min="7684" max="7684" width="23.85546875" style="53" customWidth="1"/>
    <col min="7685" max="7685" width="16" style="53" bestFit="1" customWidth="1"/>
    <col min="7686" max="7686" width="13.7109375" style="53" bestFit="1" customWidth="1"/>
    <col min="7687" max="7687" width="15.7109375" style="53" bestFit="1" customWidth="1"/>
    <col min="7688" max="7688" width="13.140625" style="53" bestFit="1" customWidth="1"/>
    <col min="7689" max="7689" width="11.85546875" style="53" bestFit="1" customWidth="1"/>
    <col min="7690" max="7690" width="12.85546875" style="53" bestFit="1" customWidth="1"/>
    <col min="7691" max="7936" width="9.140625" style="53"/>
    <col min="7937" max="7937" width="9.28515625" style="53" customWidth="1"/>
    <col min="7938" max="7938" width="39.85546875" style="53" customWidth="1"/>
    <col min="7939" max="7939" width="18.28515625" style="53" customWidth="1"/>
    <col min="7940" max="7940" width="23.85546875" style="53" customWidth="1"/>
    <col min="7941" max="7941" width="16" style="53" bestFit="1" customWidth="1"/>
    <col min="7942" max="7942" width="13.7109375" style="53" bestFit="1" customWidth="1"/>
    <col min="7943" max="7943" width="15.7109375" style="53" bestFit="1" customWidth="1"/>
    <col min="7944" max="7944" width="13.140625" style="53" bestFit="1" customWidth="1"/>
    <col min="7945" max="7945" width="11.85546875" style="53" bestFit="1" customWidth="1"/>
    <col min="7946" max="7946" width="12.85546875" style="53" bestFit="1" customWidth="1"/>
    <col min="7947" max="8192" width="9.140625" style="53"/>
    <col min="8193" max="8193" width="9.28515625" style="53" customWidth="1"/>
    <col min="8194" max="8194" width="39.85546875" style="53" customWidth="1"/>
    <col min="8195" max="8195" width="18.28515625" style="53" customWidth="1"/>
    <col min="8196" max="8196" width="23.85546875" style="53" customWidth="1"/>
    <col min="8197" max="8197" width="16" style="53" bestFit="1" customWidth="1"/>
    <col min="8198" max="8198" width="13.7109375" style="53" bestFit="1" customWidth="1"/>
    <col min="8199" max="8199" width="15.7109375" style="53" bestFit="1" customWidth="1"/>
    <col min="8200" max="8200" width="13.140625" style="53" bestFit="1" customWidth="1"/>
    <col min="8201" max="8201" width="11.85546875" style="53" bestFit="1" customWidth="1"/>
    <col min="8202" max="8202" width="12.85546875" style="53" bestFit="1" customWidth="1"/>
    <col min="8203" max="8448" width="9.140625" style="53"/>
    <col min="8449" max="8449" width="9.28515625" style="53" customWidth="1"/>
    <col min="8450" max="8450" width="39.85546875" style="53" customWidth="1"/>
    <col min="8451" max="8451" width="18.28515625" style="53" customWidth="1"/>
    <col min="8452" max="8452" width="23.85546875" style="53" customWidth="1"/>
    <col min="8453" max="8453" width="16" style="53" bestFit="1" customWidth="1"/>
    <col min="8454" max="8454" width="13.7109375" style="53" bestFit="1" customWidth="1"/>
    <col min="8455" max="8455" width="15.7109375" style="53" bestFit="1" customWidth="1"/>
    <col min="8456" max="8456" width="13.140625" style="53" bestFit="1" customWidth="1"/>
    <col min="8457" max="8457" width="11.85546875" style="53" bestFit="1" customWidth="1"/>
    <col min="8458" max="8458" width="12.85546875" style="53" bestFit="1" customWidth="1"/>
    <col min="8459" max="8704" width="9.140625" style="53"/>
    <col min="8705" max="8705" width="9.28515625" style="53" customWidth="1"/>
    <col min="8706" max="8706" width="39.85546875" style="53" customWidth="1"/>
    <col min="8707" max="8707" width="18.28515625" style="53" customWidth="1"/>
    <col min="8708" max="8708" width="23.85546875" style="53" customWidth="1"/>
    <col min="8709" max="8709" width="16" style="53" bestFit="1" customWidth="1"/>
    <col min="8710" max="8710" width="13.7109375" style="53" bestFit="1" customWidth="1"/>
    <col min="8711" max="8711" width="15.7109375" style="53" bestFit="1" customWidth="1"/>
    <col min="8712" max="8712" width="13.140625" style="53" bestFit="1" customWidth="1"/>
    <col min="8713" max="8713" width="11.85546875" style="53" bestFit="1" customWidth="1"/>
    <col min="8714" max="8714" width="12.85546875" style="53" bestFit="1" customWidth="1"/>
    <col min="8715" max="8960" width="9.140625" style="53"/>
    <col min="8961" max="8961" width="9.28515625" style="53" customWidth="1"/>
    <col min="8962" max="8962" width="39.85546875" style="53" customWidth="1"/>
    <col min="8963" max="8963" width="18.28515625" style="53" customWidth="1"/>
    <col min="8964" max="8964" width="23.85546875" style="53" customWidth="1"/>
    <col min="8965" max="8965" width="16" style="53" bestFit="1" customWidth="1"/>
    <col min="8966" max="8966" width="13.7109375" style="53" bestFit="1" customWidth="1"/>
    <col min="8967" max="8967" width="15.7109375" style="53" bestFit="1" customWidth="1"/>
    <col min="8968" max="8968" width="13.140625" style="53" bestFit="1" customWidth="1"/>
    <col min="8969" max="8969" width="11.85546875" style="53" bestFit="1" customWidth="1"/>
    <col min="8970" max="8970" width="12.85546875" style="53" bestFit="1" customWidth="1"/>
    <col min="8971" max="9216" width="9.140625" style="53"/>
    <col min="9217" max="9217" width="9.28515625" style="53" customWidth="1"/>
    <col min="9218" max="9218" width="39.85546875" style="53" customWidth="1"/>
    <col min="9219" max="9219" width="18.28515625" style="53" customWidth="1"/>
    <col min="9220" max="9220" width="23.85546875" style="53" customWidth="1"/>
    <col min="9221" max="9221" width="16" style="53" bestFit="1" customWidth="1"/>
    <col min="9222" max="9222" width="13.7109375" style="53" bestFit="1" customWidth="1"/>
    <col min="9223" max="9223" width="15.7109375" style="53" bestFit="1" customWidth="1"/>
    <col min="9224" max="9224" width="13.140625" style="53" bestFit="1" customWidth="1"/>
    <col min="9225" max="9225" width="11.85546875" style="53" bestFit="1" customWidth="1"/>
    <col min="9226" max="9226" width="12.85546875" style="53" bestFit="1" customWidth="1"/>
    <col min="9227" max="9472" width="9.140625" style="53"/>
    <col min="9473" max="9473" width="9.28515625" style="53" customWidth="1"/>
    <col min="9474" max="9474" width="39.85546875" style="53" customWidth="1"/>
    <col min="9475" max="9475" width="18.28515625" style="53" customWidth="1"/>
    <col min="9476" max="9476" width="23.85546875" style="53" customWidth="1"/>
    <col min="9477" max="9477" width="16" style="53" bestFit="1" customWidth="1"/>
    <col min="9478" max="9478" width="13.7109375" style="53" bestFit="1" customWidth="1"/>
    <col min="9479" max="9479" width="15.7109375" style="53" bestFit="1" customWidth="1"/>
    <col min="9480" max="9480" width="13.140625" style="53" bestFit="1" customWidth="1"/>
    <col min="9481" max="9481" width="11.85546875" style="53" bestFit="1" customWidth="1"/>
    <col min="9482" max="9482" width="12.85546875" style="53" bestFit="1" customWidth="1"/>
    <col min="9483" max="9728" width="9.140625" style="53"/>
    <col min="9729" max="9729" width="9.28515625" style="53" customWidth="1"/>
    <col min="9730" max="9730" width="39.85546875" style="53" customWidth="1"/>
    <col min="9731" max="9731" width="18.28515625" style="53" customWidth="1"/>
    <col min="9732" max="9732" width="23.85546875" style="53" customWidth="1"/>
    <col min="9733" max="9733" width="16" style="53" bestFit="1" customWidth="1"/>
    <col min="9734" max="9734" width="13.7109375" style="53" bestFit="1" customWidth="1"/>
    <col min="9735" max="9735" width="15.7109375" style="53" bestFit="1" customWidth="1"/>
    <col min="9736" max="9736" width="13.140625" style="53" bestFit="1" customWidth="1"/>
    <col min="9737" max="9737" width="11.85546875" style="53" bestFit="1" customWidth="1"/>
    <col min="9738" max="9738" width="12.85546875" style="53" bestFit="1" customWidth="1"/>
    <col min="9739" max="9984" width="9.140625" style="53"/>
    <col min="9985" max="9985" width="9.28515625" style="53" customWidth="1"/>
    <col min="9986" max="9986" width="39.85546875" style="53" customWidth="1"/>
    <col min="9987" max="9987" width="18.28515625" style="53" customWidth="1"/>
    <col min="9988" max="9988" width="23.85546875" style="53" customWidth="1"/>
    <col min="9989" max="9989" width="16" style="53" bestFit="1" customWidth="1"/>
    <col min="9990" max="9990" width="13.7109375" style="53" bestFit="1" customWidth="1"/>
    <col min="9991" max="9991" width="15.7109375" style="53" bestFit="1" customWidth="1"/>
    <col min="9992" max="9992" width="13.140625" style="53" bestFit="1" customWidth="1"/>
    <col min="9993" max="9993" width="11.85546875" style="53" bestFit="1" customWidth="1"/>
    <col min="9994" max="9994" width="12.85546875" style="53" bestFit="1" customWidth="1"/>
    <col min="9995" max="10240" width="9.140625" style="53"/>
    <col min="10241" max="10241" width="9.28515625" style="53" customWidth="1"/>
    <col min="10242" max="10242" width="39.85546875" style="53" customWidth="1"/>
    <col min="10243" max="10243" width="18.28515625" style="53" customWidth="1"/>
    <col min="10244" max="10244" width="23.85546875" style="53" customWidth="1"/>
    <col min="10245" max="10245" width="16" style="53" bestFit="1" customWidth="1"/>
    <col min="10246" max="10246" width="13.7109375" style="53" bestFit="1" customWidth="1"/>
    <col min="10247" max="10247" width="15.7109375" style="53" bestFit="1" customWidth="1"/>
    <col min="10248" max="10248" width="13.140625" style="53" bestFit="1" customWidth="1"/>
    <col min="10249" max="10249" width="11.85546875" style="53" bestFit="1" customWidth="1"/>
    <col min="10250" max="10250" width="12.85546875" style="53" bestFit="1" customWidth="1"/>
    <col min="10251" max="10496" width="9.140625" style="53"/>
    <col min="10497" max="10497" width="9.28515625" style="53" customWidth="1"/>
    <col min="10498" max="10498" width="39.85546875" style="53" customWidth="1"/>
    <col min="10499" max="10499" width="18.28515625" style="53" customWidth="1"/>
    <col min="10500" max="10500" width="23.85546875" style="53" customWidth="1"/>
    <col min="10501" max="10501" width="16" style="53" bestFit="1" customWidth="1"/>
    <col min="10502" max="10502" width="13.7109375" style="53" bestFit="1" customWidth="1"/>
    <col min="10503" max="10503" width="15.7109375" style="53" bestFit="1" customWidth="1"/>
    <col min="10504" max="10504" width="13.140625" style="53" bestFit="1" customWidth="1"/>
    <col min="10505" max="10505" width="11.85546875" style="53" bestFit="1" customWidth="1"/>
    <col min="10506" max="10506" width="12.85546875" style="53" bestFit="1" customWidth="1"/>
    <col min="10507" max="10752" width="9.140625" style="53"/>
    <col min="10753" max="10753" width="9.28515625" style="53" customWidth="1"/>
    <col min="10754" max="10754" width="39.85546875" style="53" customWidth="1"/>
    <col min="10755" max="10755" width="18.28515625" style="53" customWidth="1"/>
    <col min="10756" max="10756" width="23.85546875" style="53" customWidth="1"/>
    <col min="10757" max="10757" width="16" style="53" bestFit="1" customWidth="1"/>
    <col min="10758" max="10758" width="13.7109375" style="53" bestFit="1" customWidth="1"/>
    <col min="10759" max="10759" width="15.7109375" style="53" bestFit="1" customWidth="1"/>
    <col min="10760" max="10760" width="13.140625" style="53" bestFit="1" customWidth="1"/>
    <col min="10761" max="10761" width="11.85546875" style="53" bestFit="1" customWidth="1"/>
    <col min="10762" max="10762" width="12.85546875" style="53" bestFit="1" customWidth="1"/>
    <col min="10763" max="11008" width="9.140625" style="53"/>
    <col min="11009" max="11009" width="9.28515625" style="53" customWidth="1"/>
    <col min="11010" max="11010" width="39.85546875" style="53" customWidth="1"/>
    <col min="11011" max="11011" width="18.28515625" style="53" customWidth="1"/>
    <col min="11012" max="11012" width="23.85546875" style="53" customWidth="1"/>
    <col min="11013" max="11013" width="16" style="53" bestFit="1" customWidth="1"/>
    <col min="11014" max="11014" width="13.7109375" style="53" bestFit="1" customWidth="1"/>
    <col min="11015" max="11015" width="15.7109375" style="53" bestFit="1" customWidth="1"/>
    <col min="11016" max="11016" width="13.140625" style="53" bestFit="1" customWidth="1"/>
    <col min="11017" max="11017" width="11.85546875" style="53" bestFit="1" customWidth="1"/>
    <col min="11018" max="11018" width="12.85546875" style="53" bestFit="1" customWidth="1"/>
    <col min="11019" max="11264" width="9.140625" style="53"/>
    <col min="11265" max="11265" width="9.28515625" style="53" customWidth="1"/>
    <col min="11266" max="11266" width="39.85546875" style="53" customWidth="1"/>
    <col min="11267" max="11267" width="18.28515625" style="53" customWidth="1"/>
    <col min="11268" max="11268" width="23.85546875" style="53" customWidth="1"/>
    <col min="11269" max="11269" width="16" style="53" bestFit="1" customWidth="1"/>
    <col min="11270" max="11270" width="13.7109375" style="53" bestFit="1" customWidth="1"/>
    <col min="11271" max="11271" width="15.7109375" style="53" bestFit="1" customWidth="1"/>
    <col min="11272" max="11272" width="13.140625" style="53" bestFit="1" customWidth="1"/>
    <col min="11273" max="11273" width="11.85546875" style="53" bestFit="1" customWidth="1"/>
    <col min="11274" max="11274" width="12.85546875" style="53" bestFit="1" customWidth="1"/>
    <col min="11275" max="11520" width="9.140625" style="53"/>
    <col min="11521" max="11521" width="9.28515625" style="53" customWidth="1"/>
    <col min="11522" max="11522" width="39.85546875" style="53" customWidth="1"/>
    <col min="11523" max="11523" width="18.28515625" style="53" customWidth="1"/>
    <col min="11524" max="11524" width="23.85546875" style="53" customWidth="1"/>
    <col min="11525" max="11525" width="16" style="53" bestFit="1" customWidth="1"/>
    <col min="11526" max="11526" width="13.7109375" style="53" bestFit="1" customWidth="1"/>
    <col min="11527" max="11527" width="15.7109375" style="53" bestFit="1" customWidth="1"/>
    <col min="11528" max="11528" width="13.140625" style="53" bestFit="1" customWidth="1"/>
    <col min="11529" max="11529" width="11.85546875" style="53" bestFit="1" customWidth="1"/>
    <col min="11530" max="11530" width="12.85546875" style="53" bestFit="1" customWidth="1"/>
    <col min="11531" max="11776" width="9.140625" style="53"/>
    <col min="11777" max="11777" width="9.28515625" style="53" customWidth="1"/>
    <col min="11778" max="11778" width="39.85546875" style="53" customWidth="1"/>
    <col min="11779" max="11779" width="18.28515625" style="53" customWidth="1"/>
    <col min="11780" max="11780" width="23.85546875" style="53" customWidth="1"/>
    <col min="11781" max="11781" width="16" style="53" bestFit="1" customWidth="1"/>
    <col min="11782" max="11782" width="13.7109375" style="53" bestFit="1" customWidth="1"/>
    <col min="11783" max="11783" width="15.7109375" style="53" bestFit="1" customWidth="1"/>
    <col min="11784" max="11784" width="13.140625" style="53" bestFit="1" customWidth="1"/>
    <col min="11785" max="11785" width="11.85546875" style="53" bestFit="1" customWidth="1"/>
    <col min="11786" max="11786" width="12.85546875" style="53" bestFit="1" customWidth="1"/>
    <col min="11787" max="12032" width="9.140625" style="53"/>
    <col min="12033" max="12033" width="9.28515625" style="53" customWidth="1"/>
    <col min="12034" max="12034" width="39.85546875" style="53" customWidth="1"/>
    <col min="12035" max="12035" width="18.28515625" style="53" customWidth="1"/>
    <col min="12036" max="12036" width="23.85546875" style="53" customWidth="1"/>
    <col min="12037" max="12037" width="16" style="53" bestFit="1" customWidth="1"/>
    <col min="12038" max="12038" width="13.7109375" style="53" bestFit="1" customWidth="1"/>
    <col min="12039" max="12039" width="15.7109375" style="53" bestFit="1" customWidth="1"/>
    <col min="12040" max="12040" width="13.140625" style="53" bestFit="1" customWidth="1"/>
    <col min="12041" max="12041" width="11.85546875" style="53" bestFit="1" customWidth="1"/>
    <col min="12042" max="12042" width="12.85546875" style="53" bestFit="1" customWidth="1"/>
    <col min="12043" max="12288" width="9.140625" style="53"/>
    <col min="12289" max="12289" width="9.28515625" style="53" customWidth="1"/>
    <col min="12290" max="12290" width="39.85546875" style="53" customWidth="1"/>
    <col min="12291" max="12291" width="18.28515625" style="53" customWidth="1"/>
    <col min="12292" max="12292" width="23.85546875" style="53" customWidth="1"/>
    <col min="12293" max="12293" width="16" style="53" bestFit="1" customWidth="1"/>
    <col min="12294" max="12294" width="13.7109375" style="53" bestFit="1" customWidth="1"/>
    <col min="12295" max="12295" width="15.7109375" style="53" bestFit="1" customWidth="1"/>
    <col min="12296" max="12296" width="13.140625" style="53" bestFit="1" customWidth="1"/>
    <col min="12297" max="12297" width="11.85546875" style="53" bestFit="1" customWidth="1"/>
    <col min="12298" max="12298" width="12.85546875" style="53" bestFit="1" customWidth="1"/>
    <col min="12299" max="12544" width="9.140625" style="53"/>
    <col min="12545" max="12545" width="9.28515625" style="53" customWidth="1"/>
    <col min="12546" max="12546" width="39.85546875" style="53" customWidth="1"/>
    <col min="12547" max="12547" width="18.28515625" style="53" customWidth="1"/>
    <col min="12548" max="12548" width="23.85546875" style="53" customWidth="1"/>
    <col min="12549" max="12549" width="16" style="53" bestFit="1" customWidth="1"/>
    <col min="12550" max="12550" width="13.7109375" style="53" bestFit="1" customWidth="1"/>
    <col min="12551" max="12551" width="15.7109375" style="53" bestFit="1" customWidth="1"/>
    <col min="12552" max="12552" width="13.140625" style="53" bestFit="1" customWidth="1"/>
    <col min="12553" max="12553" width="11.85546875" style="53" bestFit="1" customWidth="1"/>
    <col min="12554" max="12554" width="12.85546875" style="53" bestFit="1" customWidth="1"/>
    <col min="12555" max="12800" width="9.140625" style="53"/>
    <col min="12801" max="12801" width="9.28515625" style="53" customWidth="1"/>
    <col min="12802" max="12802" width="39.85546875" style="53" customWidth="1"/>
    <col min="12803" max="12803" width="18.28515625" style="53" customWidth="1"/>
    <col min="12804" max="12804" width="23.85546875" style="53" customWidth="1"/>
    <col min="12805" max="12805" width="16" style="53" bestFit="1" customWidth="1"/>
    <col min="12806" max="12806" width="13.7109375" style="53" bestFit="1" customWidth="1"/>
    <col min="12807" max="12807" width="15.7109375" style="53" bestFit="1" customWidth="1"/>
    <col min="12808" max="12808" width="13.140625" style="53" bestFit="1" customWidth="1"/>
    <col min="12809" max="12809" width="11.85546875" style="53" bestFit="1" customWidth="1"/>
    <col min="12810" max="12810" width="12.85546875" style="53" bestFit="1" customWidth="1"/>
    <col min="12811" max="13056" width="9.140625" style="53"/>
    <col min="13057" max="13057" width="9.28515625" style="53" customWidth="1"/>
    <col min="13058" max="13058" width="39.85546875" style="53" customWidth="1"/>
    <col min="13059" max="13059" width="18.28515625" style="53" customWidth="1"/>
    <col min="13060" max="13060" width="23.85546875" style="53" customWidth="1"/>
    <col min="13061" max="13061" width="16" style="53" bestFit="1" customWidth="1"/>
    <col min="13062" max="13062" width="13.7109375" style="53" bestFit="1" customWidth="1"/>
    <col min="13063" max="13063" width="15.7109375" style="53" bestFit="1" customWidth="1"/>
    <col min="13064" max="13064" width="13.140625" style="53" bestFit="1" customWidth="1"/>
    <col min="13065" max="13065" width="11.85546875" style="53" bestFit="1" customWidth="1"/>
    <col min="13066" max="13066" width="12.85546875" style="53" bestFit="1" customWidth="1"/>
    <col min="13067" max="13312" width="9.140625" style="53"/>
    <col min="13313" max="13313" width="9.28515625" style="53" customWidth="1"/>
    <col min="13314" max="13314" width="39.85546875" style="53" customWidth="1"/>
    <col min="13315" max="13315" width="18.28515625" style="53" customWidth="1"/>
    <col min="13316" max="13316" width="23.85546875" style="53" customWidth="1"/>
    <col min="13317" max="13317" width="16" style="53" bestFit="1" customWidth="1"/>
    <col min="13318" max="13318" width="13.7109375" style="53" bestFit="1" customWidth="1"/>
    <col min="13319" max="13319" width="15.7109375" style="53" bestFit="1" customWidth="1"/>
    <col min="13320" max="13320" width="13.140625" style="53" bestFit="1" customWidth="1"/>
    <col min="13321" max="13321" width="11.85546875" style="53" bestFit="1" customWidth="1"/>
    <col min="13322" max="13322" width="12.85546875" style="53" bestFit="1" customWidth="1"/>
    <col min="13323" max="13568" width="9.140625" style="53"/>
    <col min="13569" max="13569" width="9.28515625" style="53" customWidth="1"/>
    <col min="13570" max="13570" width="39.85546875" style="53" customWidth="1"/>
    <col min="13571" max="13571" width="18.28515625" style="53" customWidth="1"/>
    <col min="13572" max="13572" width="23.85546875" style="53" customWidth="1"/>
    <col min="13573" max="13573" width="16" style="53" bestFit="1" customWidth="1"/>
    <col min="13574" max="13574" width="13.7109375" style="53" bestFit="1" customWidth="1"/>
    <col min="13575" max="13575" width="15.7109375" style="53" bestFit="1" customWidth="1"/>
    <col min="13576" max="13576" width="13.140625" style="53" bestFit="1" customWidth="1"/>
    <col min="13577" max="13577" width="11.85546875" style="53" bestFit="1" customWidth="1"/>
    <col min="13578" max="13578" width="12.85546875" style="53" bestFit="1" customWidth="1"/>
    <col min="13579" max="13824" width="9.140625" style="53"/>
    <col min="13825" max="13825" width="9.28515625" style="53" customWidth="1"/>
    <col min="13826" max="13826" width="39.85546875" style="53" customWidth="1"/>
    <col min="13827" max="13827" width="18.28515625" style="53" customWidth="1"/>
    <col min="13828" max="13828" width="23.85546875" style="53" customWidth="1"/>
    <col min="13829" max="13829" width="16" style="53" bestFit="1" customWidth="1"/>
    <col min="13830" max="13830" width="13.7109375" style="53" bestFit="1" customWidth="1"/>
    <col min="13831" max="13831" width="15.7109375" style="53" bestFit="1" customWidth="1"/>
    <col min="13832" max="13832" width="13.140625" style="53" bestFit="1" customWidth="1"/>
    <col min="13833" max="13833" width="11.85546875" style="53" bestFit="1" customWidth="1"/>
    <col min="13834" max="13834" width="12.85546875" style="53" bestFit="1" customWidth="1"/>
    <col min="13835" max="14080" width="9.140625" style="53"/>
    <col min="14081" max="14081" width="9.28515625" style="53" customWidth="1"/>
    <col min="14082" max="14082" width="39.85546875" style="53" customWidth="1"/>
    <col min="14083" max="14083" width="18.28515625" style="53" customWidth="1"/>
    <col min="14084" max="14084" width="23.85546875" style="53" customWidth="1"/>
    <col min="14085" max="14085" width="16" style="53" bestFit="1" customWidth="1"/>
    <col min="14086" max="14086" width="13.7109375" style="53" bestFit="1" customWidth="1"/>
    <col min="14087" max="14087" width="15.7109375" style="53" bestFit="1" customWidth="1"/>
    <col min="14088" max="14088" width="13.140625" style="53" bestFit="1" customWidth="1"/>
    <col min="14089" max="14089" width="11.85546875" style="53" bestFit="1" customWidth="1"/>
    <col min="14090" max="14090" width="12.85546875" style="53" bestFit="1" customWidth="1"/>
    <col min="14091" max="14336" width="9.140625" style="53"/>
    <col min="14337" max="14337" width="9.28515625" style="53" customWidth="1"/>
    <col min="14338" max="14338" width="39.85546875" style="53" customWidth="1"/>
    <col min="14339" max="14339" width="18.28515625" style="53" customWidth="1"/>
    <col min="14340" max="14340" width="23.85546875" style="53" customWidth="1"/>
    <col min="14341" max="14341" width="16" style="53" bestFit="1" customWidth="1"/>
    <col min="14342" max="14342" width="13.7109375" style="53" bestFit="1" customWidth="1"/>
    <col min="14343" max="14343" width="15.7109375" style="53" bestFit="1" customWidth="1"/>
    <col min="14344" max="14344" width="13.140625" style="53" bestFit="1" customWidth="1"/>
    <col min="14345" max="14345" width="11.85546875" style="53" bestFit="1" customWidth="1"/>
    <col min="14346" max="14346" width="12.85546875" style="53" bestFit="1" customWidth="1"/>
    <col min="14347" max="14592" width="9.140625" style="53"/>
    <col min="14593" max="14593" width="9.28515625" style="53" customWidth="1"/>
    <col min="14594" max="14594" width="39.85546875" style="53" customWidth="1"/>
    <col min="14595" max="14595" width="18.28515625" style="53" customWidth="1"/>
    <col min="14596" max="14596" width="23.85546875" style="53" customWidth="1"/>
    <col min="14597" max="14597" width="16" style="53" bestFit="1" customWidth="1"/>
    <col min="14598" max="14598" width="13.7109375" style="53" bestFit="1" customWidth="1"/>
    <col min="14599" max="14599" width="15.7109375" style="53" bestFit="1" customWidth="1"/>
    <col min="14600" max="14600" width="13.140625" style="53" bestFit="1" customWidth="1"/>
    <col min="14601" max="14601" width="11.85546875" style="53" bestFit="1" customWidth="1"/>
    <col min="14602" max="14602" width="12.85546875" style="53" bestFit="1" customWidth="1"/>
    <col min="14603" max="14848" width="9.140625" style="53"/>
    <col min="14849" max="14849" width="9.28515625" style="53" customWidth="1"/>
    <col min="14850" max="14850" width="39.85546875" style="53" customWidth="1"/>
    <col min="14851" max="14851" width="18.28515625" style="53" customWidth="1"/>
    <col min="14852" max="14852" width="23.85546875" style="53" customWidth="1"/>
    <col min="14853" max="14853" width="16" style="53" bestFit="1" customWidth="1"/>
    <col min="14854" max="14854" width="13.7109375" style="53" bestFit="1" customWidth="1"/>
    <col min="14855" max="14855" width="15.7109375" style="53" bestFit="1" customWidth="1"/>
    <col min="14856" max="14856" width="13.140625" style="53" bestFit="1" customWidth="1"/>
    <col min="14857" max="14857" width="11.85546875" style="53" bestFit="1" customWidth="1"/>
    <col min="14858" max="14858" width="12.85546875" style="53" bestFit="1" customWidth="1"/>
    <col min="14859" max="15104" width="9.140625" style="53"/>
    <col min="15105" max="15105" width="9.28515625" style="53" customWidth="1"/>
    <col min="15106" max="15106" width="39.85546875" style="53" customWidth="1"/>
    <col min="15107" max="15107" width="18.28515625" style="53" customWidth="1"/>
    <col min="15108" max="15108" width="23.85546875" style="53" customWidth="1"/>
    <col min="15109" max="15109" width="16" style="53" bestFit="1" customWidth="1"/>
    <col min="15110" max="15110" width="13.7109375" style="53" bestFit="1" customWidth="1"/>
    <col min="15111" max="15111" width="15.7109375" style="53" bestFit="1" customWidth="1"/>
    <col min="15112" max="15112" width="13.140625" style="53" bestFit="1" customWidth="1"/>
    <col min="15113" max="15113" width="11.85546875" style="53" bestFit="1" customWidth="1"/>
    <col min="15114" max="15114" width="12.85546875" style="53" bestFit="1" customWidth="1"/>
    <col min="15115" max="15360" width="9.140625" style="53"/>
    <col min="15361" max="15361" width="9.28515625" style="53" customWidth="1"/>
    <col min="15362" max="15362" width="39.85546875" style="53" customWidth="1"/>
    <col min="15363" max="15363" width="18.28515625" style="53" customWidth="1"/>
    <col min="15364" max="15364" width="23.85546875" style="53" customWidth="1"/>
    <col min="15365" max="15365" width="16" style="53" bestFit="1" customWidth="1"/>
    <col min="15366" max="15366" width="13.7109375" style="53" bestFit="1" customWidth="1"/>
    <col min="15367" max="15367" width="15.7109375" style="53" bestFit="1" customWidth="1"/>
    <col min="15368" max="15368" width="13.140625" style="53" bestFit="1" customWidth="1"/>
    <col min="15369" max="15369" width="11.85546875" style="53" bestFit="1" customWidth="1"/>
    <col min="15370" max="15370" width="12.85546875" style="53" bestFit="1" customWidth="1"/>
    <col min="15371" max="15616" width="9.140625" style="53"/>
    <col min="15617" max="15617" width="9.28515625" style="53" customWidth="1"/>
    <col min="15618" max="15618" width="39.85546875" style="53" customWidth="1"/>
    <col min="15619" max="15619" width="18.28515625" style="53" customWidth="1"/>
    <col min="15620" max="15620" width="23.85546875" style="53" customWidth="1"/>
    <col min="15621" max="15621" width="16" style="53" bestFit="1" customWidth="1"/>
    <col min="15622" max="15622" width="13.7109375" style="53" bestFit="1" customWidth="1"/>
    <col min="15623" max="15623" width="15.7109375" style="53" bestFit="1" customWidth="1"/>
    <col min="15624" max="15624" width="13.140625" style="53" bestFit="1" customWidth="1"/>
    <col min="15625" max="15625" width="11.85546875" style="53" bestFit="1" customWidth="1"/>
    <col min="15626" max="15626" width="12.85546875" style="53" bestFit="1" customWidth="1"/>
    <col min="15627" max="15872" width="9.140625" style="53"/>
    <col min="15873" max="15873" width="9.28515625" style="53" customWidth="1"/>
    <col min="15874" max="15874" width="39.85546875" style="53" customWidth="1"/>
    <col min="15875" max="15875" width="18.28515625" style="53" customWidth="1"/>
    <col min="15876" max="15876" width="23.85546875" style="53" customWidth="1"/>
    <col min="15877" max="15877" width="16" style="53" bestFit="1" customWidth="1"/>
    <col min="15878" max="15878" width="13.7109375" style="53" bestFit="1" customWidth="1"/>
    <col min="15879" max="15879" width="15.7109375" style="53" bestFit="1" customWidth="1"/>
    <col min="15880" max="15880" width="13.140625" style="53" bestFit="1" customWidth="1"/>
    <col min="15881" max="15881" width="11.85546875" style="53" bestFit="1" customWidth="1"/>
    <col min="15882" max="15882" width="12.85546875" style="53" bestFit="1" customWidth="1"/>
    <col min="15883" max="16128" width="9.140625" style="53"/>
    <col min="16129" max="16129" width="9.28515625" style="53" customWidth="1"/>
    <col min="16130" max="16130" width="39.85546875" style="53" customWidth="1"/>
    <col min="16131" max="16131" width="18.28515625" style="53" customWidth="1"/>
    <col min="16132" max="16132" width="23.85546875" style="53" customWidth="1"/>
    <col min="16133" max="16133" width="16" style="53" bestFit="1" customWidth="1"/>
    <col min="16134" max="16134" width="13.7109375" style="53" bestFit="1" customWidth="1"/>
    <col min="16135" max="16135" width="15.7109375" style="53" bestFit="1" customWidth="1"/>
    <col min="16136" max="16136" width="13.140625" style="53" bestFit="1" customWidth="1"/>
    <col min="16137" max="16137" width="11.85546875" style="53" bestFit="1" customWidth="1"/>
    <col min="16138" max="16138" width="12.85546875" style="53" bestFit="1" customWidth="1"/>
    <col min="16139" max="16384" width="9.140625" style="53"/>
  </cols>
  <sheetData>
    <row r="3" spans="1:7" ht="15.75" customHeight="1">
      <c r="A3" s="543" t="s">
        <v>255</v>
      </c>
      <c r="B3" s="543"/>
      <c r="C3" s="543"/>
      <c r="D3" s="543"/>
      <c r="E3" s="52"/>
      <c r="F3" s="52"/>
      <c r="G3" s="52"/>
    </row>
    <row r="4" spans="1:7">
      <c r="A4" s="543"/>
      <c r="B4" s="543"/>
      <c r="C4" s="543"/>
      <c r="D4" s="543"/>
      <c r="E4" s="52"/>
      <c r="F4" s="52"/>
      <c r="G4" s="52"/>
    </row>
    <row r="5" spans="1:7">
      <c r="A5" s="54"/>
      <c r="B5" s="52"/>
      <c r="C5" s="52"/>
      <c r="D5" s="52"/>
      <c r="E5" s="52"/>
      <c r="F5" s="52"/>
      <c r="G5" s="52"/>
    </row>
    <row r="6" spans="1:7" ht="15.75" customHeight="1">
      <c r="A6" s="544" t="s">
        <v>550</v>
      </c>
      <c r="B6" s="544"/>
      <c r="C6" s="544"/>
      <c r="D6" s="544"/>
      <c r="E6" s="52"/>
      <c r="F6" s="52"/>
      <c r="G6" s="52"/>
    </row>
    <row r="7" spans="1:7">
      <c r="A7" s="522"/>
      <c r="B7" s="522"/>
      <c r="C7" s="522"/>
      <c r="D7" s="522"/>
    </row>
    <row r="8" spans="1:7">
      <c r="A8" s="237" t="s">
        <v>551</v>
      </c>
      <c r="B8" s="238"/>
      <c r="C8" s="187"/>
      <c r="D8" s="187"/>
    </row>
    <row r="9" spans="1:7">
      <c r="A9" s="522"/>
      <c r="B9" s="522"/>
      <c r="C9" s="522"/>
      <c r="D9" s="522"/>
    </row>
    <row r="10" spans="1:7">
      <c r="A10" s="57" t="s">
        <v>256</v>
      </c>
      <c r="B10" s="188"/>
      <c r="C10" s="187"/>
      <c r="D10" s="187"/>
    </row>
    <row r="11" spans="1:7">
      <c r="A11" s="59" t="s">
        <v>257</v>
      </c>
      <c r="B11" s="541" t="s">
        <v>258</v>
      </c>
      <c r="C11" s="542"/>
      <c r="D11" s="239">
        <v>42550</v>
      </c>
    </row>
    <row r="12" spans="1:7">
      <c r="A12" s="59" t="s">
        <v>259</v>
      </c>
      <c r="B12" s="62" t="s">
        <v>260</v>
      </c>
      <c r="C12" s="63"/>
      <c r="D12" s="240" t="s">
        <v>374</v>
      </c>
    </row>
    <row r="13" spans="1:7">
      <c r="A13" s="59" t="s">
        <v>261</v>
      </c>
      <c r="B13" s="541" t="s">
        <v>262</v>
      </c>
      <c r="C13" s="542"/>
      <c r="D13" s="240">
        <v>2016</v>
      </c>
    </row>
    <row r="14" spans="1:7">
      <c r="A14" s="64" t="s">
        <v>263</v>
      </c>
      <c r="B14" s="65" t="s">
        <v>555</v>
      </c>
      <c r="C14" s="66"/>
      <c r="D14" s="239">
        <v>42625</v>
      </c>
    </row>
    <row r="16" spans="1:7">
      <c r="A16" s="190"/>
    </row>
    <row r="17" spans="1:7">
      <c r="A17" s="523"/>
      <c r="B17" s="523"/>
      <c r="C17" s="523"/>
      <c r="D17" s="523"/>
      <c r="E17" s="523"/>
      <c r="F17" s="523"/>
      <c r="G17" s="523"/>
    </row>
    <row r="18" spans="1:7" ht="35.25" customHeight="1">
      <c r="A18" s="545" t="s">
        <v>264</v>
      </c>
      <c r="B18" s="545"/>
      <c r="C18" s="67" t="s">
        <v>265</v>
      </c>
      <c r="D18" s="67" t="s">
        <v>266</v>
      </c>
    </row>
    <row r="19" spans="1:7">
      <c r="A19" s="241">
        <v>1</v>
      </c>
      <c r="B19" s="242" t="s">
        <v>560</v>
      </c>
      <c r="C19" s="241" t="s">
        <v>267</v>
      </c>
      <c r="D19" s="243">
        <v>2</v>
      </c>
    </row>
    <row r="20" spans="1:7">
      <c r="A20" s="68"/>
      <c r="B20" s="69"/>
      <c r="C20" s="68"/>
      <c r="D20" s="70"/>
    </row>
    <row r="21" spans="1:7">
      <c r="A21" s="522" t="s">
        <v>268</v>
      </c>
      <c r="B21" s="522"/>
      <c r="C21" s="522"/>
      <c r="D21" s="522"/>
      <c r="E21" s="522"/>
      <c r="F21" s="522"/>
      <c r="G21" s="522"/>
    </row>
    <row r="22" spans="1:7">
      <c r="A22" s="71"/>
    </row>
    <row r="23" spans="1:7">
      <c r="A23" s="57" t="s">
        <v>269</v>
      </c>
    </row>
    <row r="24" spans="1:7">
      <c r="A24" s="57" t="s">
        <v>270</v>
      </c>
    </row>
    <row r="25" spans="1:7">
      <c r="A25" s="72" t="s">
        <v>271</v>
      </c>
      <c r="B25" s="60"/>
      <c r="C25" s="60"/>
      <c r="D25" s="61"/>
    </row>
    <row r="26" spans="1:7" ht="36" customHeight="1">
      <c r="A26" s="73">
        <v>1</v>
      </c>
      <c r="B26" s="74" t="s">
        <v>272</v>
      </c>
      <c r="C26" s="74"/>
      <c r="D26" s="244" t="str">
        <f>B19</f>
        <v>OPERADOR DE MAQUINA</v>
      </c>
    </row>
    <row r="27" spans="1:7" ht="30.75" customHeight="1">
      <c r="A27" s="73">
        <v>2</v>
      </c>
      <c r="B27" s="539" t="s">
        <v>273</v>
      </c>
      <c r="C27" s="540"/>
      <c r="D27" s="175">
        <v>1393</v>
      </c>
    </row>
    <row r="28" spans="1:7" ht="31.5" customHeight="1">
      <c r="A28" s="73">
        <v>3</v>
      </c>
      <c r="B28" s="539" t="s">
        <v>274</v>
      </c>
      <c r="C28" s="540"/>
      <c r="D28" s="176" t="s">
        <v>375</v>
      </c>
    </row>
    <row r="29" spans="1:7">
      <c r="A29" s="75">
        <v>4</v>
      </c>
      <c r="B29" s="76" t="s">
        <v>275</v>
      </c>
      <c r="C29" s="76"/>
      <c r="D29" s="77">
        <v>42401</v>
      </c>
    </row>
    <row r="30" spans="1:7">
      <c r="A30" s="71"/>
    </row>
    <row r="31" spans="1:7">
      <c r="A31" s="71"/>
    </row>
    <row r="32" spans="1:7">
      <c r="A32" s="71"/>
    </row>
    <row r="33" spans="1:7" ht="16.5" customHeight="1" thickBot="1">
      <c r="A33" s="523" t="s">
        <v>276</v>
      </c>
      <c r="B33" s="523"/>
      <c r="C33" s="523"/>
      <c r="D33" s="523"/>
      <c r="E33" s="523"/>
      <c r="F33" s="52"/>
      <c r="G33" s="52"/>
    </row>
    <row r="34" spans="1:7" ht="16.5" thickBot="1">
      <c r="A34" s="78" t="s">
        <v>277</v>
      </c>
      <c r="B34" s="79" t="s">
        <v>278</v>
      </c>
      <c r="C34" s="80"/>
      <c r="D34" s="81" t="s">
        <v>279</v>
      </c>
    </row>
    <row r="35" spans="1:7">
      <c r="A35" s="82" t="s">
        <v>257</v>
      </c>
      <c r="B35" s="83" t="s">
        <v>280</v>
      </c>
      <c r="C35" s="84"/>
      <c r="D35" s="85">
        <f>ROUND(((D27/220)*(365.25/12)*(40/6)),2)</f>
        <v>1284.83</v>
      </c>
    </row>
    <row r="36" spans="1:7">
      <c r="A36" s="191" t="s">
        <v>259</v>
      </c>
      <c r="B36" s="87" t="s">
        <v>281</v>
      </c>
      <c r="C36" s="88"/>
      <c r="D36" s="89">
        <v>0</v>
      </c>
    </row>
    <row r="37" spans="1:7">
      <c r="A37" s="191" t="s">
        <v>261</v>
      </c>
      <c r="B37" s="87" t="s">
        <v>282</v>
      </c>
      <c r="C37" s="90"/>
      <c r="D37" s="89">
        <v>0</v>
      </c>
    </row>
    <row r="38" spans="1:7">
      <c r="A38" s="191" t="s">
        <v>263</v>
      </c>
      <c r="B38" s="91" t="s">
        <v>552</v>
      </c>
      <c r="C38" s="88"/>
      <c r="D38" s="89">
        <v>0</v>
      </c>
    </row>
    <row r="39" spans="1:7">
      <c r="A39" s="191" t="s">
        <v>284</v>
      </c>
      <c r="B39" s="91" t="s">
        <v>285</v>
      </c>
      <c r="C39" s="92"/>
      <c r="D39" s="89">
        <v>0</v>
      </c>
    </row>
    <row r="40" spans="1:7">
      <c r="A40" s="191" t="s">
        <v>286</v>
      </c>
      <c r="B40" s="93" t="s">
        <v>287</v>
      </c>
      <c r="C40" s="92"/>
      <c r="D40" s="89">
        <v>0</v>
      </c>
    </row>
    <row r="41" spans="1:7">
      <c r="A41" s="191" t="s">
        <v>288</v>
      </c>
      <c r="B41" s="93" t="s">
        <v>289</v>
      </c>
      <c r="C41" s="92"/>
      <c r="D41" s="89">
        <v>0</v>
      </c>
    </row>
    <row r="42" spans="1:7" ht="16.5" thickBot="1">
      <c r="A42" s="191" t="s">
        <v>290</v>
      </c>
      <c r="B42" s="94" t="s">
        <v>376</v>
      </c>
      <c r="C42" s="95"/>
      <c r="D42" s="89">
        <v>0</v>
      </c>
    </row>
    <row r="43" spans="1:7" ht="16.5" thickBot="1">
      <c r="A43" s="96"/>
      <c r="B43" s="97" t="s">
        <v>292</v>
      </c>
      <c r="C43" s="98"/>
      <c r="D43" s="99">
        <f>SUM(D35:D42)</f>
        <v>1284.83</v>
      </c>
    </row>
    <row r="44" spans="1:7">
      <c r="A44" s="190"/>
    </row>
    <row r="45" spans="1:7" ht="16.5" thickBot="1">
      <c r="A45" s="523" t="s">
        <v>293</v>
      </c>
      <c r="B45" s="523"/>
      <c r="C45" s="523"/>
      <c r="D45" s="523"/>
      <c r="E45" s="523"/>
      <c r="F45" s="523"/>
      <c r="G45" s="523"/>
    </row>
    <row r="46" spans="1:7" ht="16.5" thickBot="1">
      <c r="A46" s="100">
        <v>2</v>
      </c>
      <c r="B46" s="189" t="s">
        <v>294</v>
      </c>
      <c r="C46" s="102"/>
      <c r="D46" s="100" t="s">
        <v>279</v>
      </c>
    </row>
    <row r="47" spans="1:7">
      <c r="A47" s="82" t="s">
        <v>257</v>
      </c>
      <c r="B47" s="83" t="s">
        <v>295</v>
      </c>
      <c r="C47" s="103"/>
      <c r="D47" s="104">
        <f>(3.7*44)-(D35*6%)</f>
        <v>85.710200000000015</v>
      </c>
    </row>
    <row r="48" spans="1:7" ht="31.5">
      <c r="A48" s="105" t="s">
        <v>259</v>
      </c>
      <c r="B48" s="106" t="s">
        <v>296</v>
      </c>
      <c r="C48" s="90"/>
      <c r="D48" s="107">
        <f>330*(1-20%)</f>
        <v>264</v>
      </c>
    </row>
    <row r="49" spans="1:7">
      <c r="A49" s="191" t="s">
        <v>261</v>
      </c>
      <c r="B49" s="87" t="s">
        <v>389</v>
      </c>
      <c r="C49" s="90"/>
      <c r="D49" s="107">
        <v>50</v>
      </c>
    </row>
    <row r="50" spans="1:7">
      <c r="A50" s="191" t="s">
        <v>263</v>
      </c>
      <c r="B50" s="87" t="s">
        <v>297</v>
      </c>
      <c r="C50" s="88"/>
      <c r="D50" s="107">
        <v>0</v>
      </c>
    </row>
    <row r="51" spans="1:7">
      <c r="A51" s="191" t="s">
        <v>284</v>
      </c>
      <c r="B51" s="87" t="s">
        <v>390</v>
      </c>
      <c r="C51" s="92"/>
      <c r="D51" s="108">
        <v>16</v>
      </c>
    </row>
    <row r="52" spans="1:7" ht="16.5" customHeight="1">
      <c r="A52" s="191" t="s">
        <v>286</v>
      </c>
      <c r="B52" s="535" t="s">
        <v>377</v>
      </c>
      <c r="C52" s="536"/>
      <c r="D52" s="108">
        <v>16</v>
      </c>
    </row>
    <row r="53" spans="1:7" ht="16.5" thickBot="1">
      <c r="A53" s="109" t="s">
        <v>288</v>
      </c>
      <c r="B53" s="537" t="s">
        <v>291</v>
      </c>
      <c r="C53" s="538"/>
      <c r="D53" s="110">
        <v>0</v>
      </c>
    </row>
    <row r="54" spans="1:7" ht="16.5" thickBot="1">
      <c r="A54" s="111"/>
      <c r="B54" s="189" t="s">
        <v>298</v>
      </c>
      <c r="C54" s="112"/>
      <c r="D54" s="113">
        <f>SUM(D47:D53)</f>
        <v>431.71019999999999</v>
      </c>
    </row>
    <row r="55" spans="1:7" ht="33" customHeight="1">
      <c r="A55" s="522" t="s">
        <v>299</v>
      </c>
      <c r="B55" s="522"/>
      <c r="C55" s="522"/>
      <c r="D55" s="522"/>
    </row>
    <row r="56" spans="1:7">
      <c r="A56" s="190"/>
    </row>
    <row r="57" spans="1:7" ht="16.5" thickBot="1">
      <c r="A57" s="523" t="s">
        <v>300</v>
      </c>
      <c r="B57" s="523"/>
      <c r="C57" s="523"/>
      <c r="D57" s="523"/>
      <c r="E57" s="523"/>
      <c r="F57" s="523"/>
      <c r="G57" s="523"/>
    </row>
    <row r="58" spans="1:7" ht="16.5" thickBot="1">
      <c r="A58" s="114">
        <v>3</v>
      </c>
      <c r="B58" s="189" t="s">
        <v>301</v>
      </c>
      <c r="C58" s="102"/>
      <c r="D58" s="100" t="s">
        <v>279</v>
      </c>
    </row>
    <row r="59" spans="1:7">
      <c r="A59" s="82" t="s">
        <v>257</v>
      </c>
      <c r="B59" s="83" t="s">
        <v>302</v>
      </c>
      <c r="C59" s="115"/>
      <c r="D59" s="116">
        <f>'ANEXO IV'!D69</f>
        <v>43</v>
      </c>
    </row>
    <row r="60" spans="1:7">
      <c r="A60" s="105" t="s">
        <v>259</v>
      </c>
      <c r="B60" s="106" t="s">
        <v>15</v>
      </c>
      <c r="C60" s="90"/>
      <c r="D60" s="107">
        <f>Equipamentos!E7/11</f>
        <v>7.9090909090909092</v>
      </c>
    </row>
    <row r="61" spans="1:7">
      <c r="A61" s="191" t="s">
        <v>261</v>
      </c>
      <c r="B61" s="87" t="s">
        <v>21</v>
      </c>
      <c r="C61" s="90"/>
      <c r="D61" s="107">
        <v>10.84</v>
      </c>
    </row>
    <row r="62" spans="1:7">
      <c r="A62" s="191" t="s">
        <v>263</v>
      </c>
      <c r="B62" s="535" t="s">
        <v>18</v>
      </c>
      <c r="C62" s="536"/>
      <c r="D62" s="108">
        <f>Equipamentos!D140</f>
        <v>18.423333333333336</v>
      </c>
    </row>
    <row r="63" spans="1:7" ht="16.5" thickBot="1">
      <c r="A63" s="109" t="s">
        <v>284</v>
      </c>
      <c r="B63" s="537" t="s">
        <v>291</v>
      </c>
      <c r="C63" s="538"/>
      <c r="D63" s="110">
        <v>0</v>
      </c>
    </row>
    <row r="64" spans="1:7" ht="16.5" thickBot="1">
      <c r="A64" s="111"/>
      <c r="B64" s="189" t="s">
        <v>303</v>
      </c>
      <c r="C64" s="112"/>
      <c r="D64" s="113">
        <f>SUM(D59:D63)</f>
        <v>80.172424242424242</v>
      </c>
    </row>
    <row r="65" spans="1:7">
      <c r="A65" s="522" t="s">
        <v>304</v>
      </c>
      <c r="B65" s="522"/>
      <c r="C65" s="522"/>
      <c r="D65" s="522"/>
      <c r="E65" s="522"/>
      <c r="F65" s="522"/>
      <c r="G65" s="522"/>
    </row>
    <row r="66" spans="1:7">
      <c r="A66" s="190"/>
    </row>
    <row r="67" spans="1:7">
      <c r="A67" s="523" t="s">
        <v>305</v>
      </c>
      <c r="B67" s="523"/>
      <c r="C67" s="523"/>
      <c r="D67" s="523"/>
      <c r="E67" s="523"/>
      <c r="F67" s="523"/>
      <c r="G67" s="523"/>
    </row>
    <row r="68" spans="1:7" ht="16.5" thickBot="1">
      <c r="A68" s="523" t="s">
        <v>306</v>
      </c>
      <c r="B68" s="523"/>
      <c r="C68" s="523"/>
      <c r="D68" s="523"/>
      <c r="E68" s="523"/>
      <c r="F68" s="523"/>
      <c r="G68" s="523"/>
    </row>
    <row r="69" spans="1:7" ht="16.5" thickBot="1">
      <c r="A69" s="117" t="s">
        <v>307</v>
      </c>
      <c r="B69" s="118" t="s">
        <v>308</v>
      </c>
      <c r="C69" s="117" t="s">
        <v>4</v>
      </c>
      <c r="D69" s="117" t="s">
        <v>279</v>
      </c>
    </row>
    <row r="70" spans="1:7">
      <c r="A70" s="82" t="s">
        <v>257</v>
      </c>
      <c r="B70" s="119" t="s">
        <v>8</v>
      </c>
      <c r="C70" s="120">
        <v>0.2</v>
      </c>
      <c r="D70" s="104">
        <f t="shared" ref="D70:D77" si="0">ROUND($D$43*C70,2)</f>
        <v>256.97000000000003</v>
      </c>
    </row>
    <row r="71" spans="1:7">
      <c r="A71" s="105" t="s">
        <v>259</v>
      </c>
      <c r="B71" s="121" t="s">
        <v>309</v>
      </c>
      <c r="C71" s="122">
        <v>1.4999999999999999E-2</v>
      </c>
      <c r="D71" s="107">
        <f t="shared" si="0"/>
        <v>19.27</v>
      </c>
    </row>
    <row r="72" spans="1:7">
      <c r="A72" s="191" t="s">
        <v>261</v>
      </c>
      <c r="B72" s="123" t="s">
        <v>310</v>
      </c>
      <c r="C72" s="122">
        <v>0.01</v>
      </c>
      <c r="D72" s="107">
        <f t="shared" si="0"/>
        <v>12.85</v>
      </c>
    </row>
    <row r="73" spans="1:7">
      <c r="A73" s="105" t="s">
        <v>263</v>
      </c>
      <c r="B73" s="121" t="s">
        <v>9</v>
      </c>
      <c r="C73" s="122">
        <v>2E-3</v>
      </c>
      <c r="D73" s="107">
        <f t="shared" si="0"/>
        <v>2.57</v>
      </c>
    </row>
    <row r="74" spans="1:7">
      <c r="A74" s="191" t="s">
        <v>284</v>
      </c>
      <c r="B74" s="123" t="s">
        <v>10</v>
      </c>
      <c r="C74" s="122">
        <v>2.5000000000000001E-2</v>
      </c>
      <c r="D74" s="107">
        <f t="shared" si="0"/>
        <v>32.119999999999997</v>
      </c>
    </row>
    <row r="75" spans="1:7">
      <c r="A75" s="105" t="s">
        <v>286</v>
      </c>
      <c r="B75" s="121" t="s">
        <v>11</v>
      </c>
      <c r="C75" s="122">
        <v>0.08</v>
      </c>
      <c r="D75" s="107">
        <f t="shared" si="0"/>
        <v>102.79</v>
      </c>
    </row>
    <row r="76" spans="1:7" ht="31.5">
      <c r="A76" s="191" t="s">
        <v>288</v>
      </c>
      <c r="B76" s="123" t="s">
        <v>378</v>
      </c>
      <c r="C76" s="141">
        <v>3.0499999999999999E-2</v>
      </c>
      <c r="D76" s="245">
        <f t="shared" si="0"/>
        <v>39.19</v>
      </c>
    </row>
    <row r="77" spans="1:7" ht="16.5" thickBot="1">
      <c r="A77" s="124" t="s">
        <v>290</v>
      </c>
      <c r="B77" s="125" t="s">
        <v>12</v>
      </c>
      <c r="C77" s="126">
        <v>6.0000000000000001E-3</v>
      </c>
      <c r="D77" s="110">
        <f t="shared" si="0"/>
        <v>7.71</v>
      </c>
    </row>
    <row r="78" spans="1:7" ht="16.5" thickBot="1">
      <c r="A78" s="530" t="s">
        <v>7</v>
      </c>
      <c r="B78" s="531"/>
      <c r="C78" s="127">
        <f>SUM(C70:C77)</f>
        <v>0.36850000000000005</v>
      </c>
      <c r="D78" s="113">
        <f>SUM(D70:D77)</f>
        <v>473.47</v>
      </c>
    </row>
    <row r="79" spans="1:7">
      <c r="A79" s="534" t="s">
        <v>311</v>
      </c>
      <c r="B79" s="534"/>
      <c r="C79" s="534"/>
      <c r="D79" s="534"/>
    </row>
    <row r="80" spans="1:7" ht="16.5" customHeight="1">
      <c r="A80" s="534" t="s">
        <v>312</v>
      </c>
      <c r="B80" s="534"/>
      <c r="C80" s="534"/>
      <c r="D80" s="534"/>
    </row>
    <row r="81" spans="1:7">
      <c r="A81" s="190"/>
    </row>
    <row r="82" spans="1:7" ht="16.5" thickBot="1">
      <c r="A82" s="523" t="s">
        <v>313</v>
      </c>
      <c r="B82" s="523"/>
      <c r="C82" s="523"/>
      <c r="D82" s="523"/>
      <c r="E82" s="523"/>
      <c r="F82" s="523"/>
      <c r="G82" s="523"/>
    </row>
    <row r="83" spans="1:7" ht="16.5" thickBot="1">
      <c r="A83" s="117" t="s">
        <v>314</v>
      </c>
      <c r="B83" s="118" t="s">
        <v>315</v>
      </c>
      <c r="C83" s="117" t="s">
        <v>4</v>
      </c>
      <c r="D83" s="117" t="s">
        <v>279</v>
      </c>
    </row>
    <row r="84" spans="1:7">
      <c r="A84" s="82" t="s">
        <v>257</v>
      </c>
      <c r="B84" s="119" t="s">
        <v>316</v>
      </c>
      <c r="C84" s="120">
        <f>((5/56)*100)/100</f>
        <v>8.9285714285714288E-2</v>
      </c>
      <c r="D84" s="104">
        <f>ROUND($D$43*C84,2)</f>
        <v>114.72</v>
      </c>
    </row>
    <row r="85" spans="1:7">
      <c r="A85" s="105" t="s">
        <v>259</v>
      </c>
      <c r="B85" s="121" t="s">
        <v>317</v>
      </c>
      <c r="C85" s="128">
        <f>(1/3)*(5/56)</f>
        <v>2.976190476190476E-2</v>
      </c>
      <c r="D85" s="129">
        <f>ROUND($D$43*C85,2)</f>
        <v>38.24</v>
      </c>
    </row>
    <row r="86" spans="1:7">
      <c r="A86" s="130" t="s">
        <v>318</v>
      </c>
      <c r="B86" s="121"/>
      <c r="C86" s="131">
        <f>SUM(C84:C85)</f>
        <v>0.11904761904761904</v>
      </c>
      <c r="D86" s="132">
        <f>SUM(D84:D85)</f>
        <v>152.96</v>
      </c>
    </row>
    <row r="87" spans="1:7" ht="32.25" thickBot="1">
      <c r="A87" s="105" t="s">
        <v>261</v>
      </c>
      <c r="B87" s="121" t="s">
        <v>319</v>
      </c>
      <c r="C87" s="122">
        <f>D87/D43</f>
        <v>4.3873508557552364E-2</v>
      </c>
      <c r="D87" s="107">
        <f>ROUND(D78*C86,2)</f>
        <v>56.37</v>
      </c>
    </row>
    <row r="88" spans="1:7" ht="16.5" thickBot="1">
      <c r="A88" s="530" t="s">
        <v>7</v>
      </c>
      <c r="B88" s="531"/>
      <c r="C88" s="127">
        <f>C87+C86</f>
        <v>0.16292112760517141</v>
      </c>
      <c r="D88" s="113">
        <f>D86+D87</f>
        <v>209.33</v>
      </c>
    </row>
    <row r="89" spans="1:7">
      <c r="A89" s="190"/>
    </row>
    <row r="90" spans="1:7" ht="16.5" thickBot="1">
      <c r="A90" s="523" t="s">
        <v>320</v>
      </c>
      <c r="B90" s="523"/>
      <c r="C90" s="523"/>
      <c r="D90" s="523"/>
      <c r="E90" s="523"/>
      <c r="F90" s="523"/>
      <c r="G90" s="523"/>
    </row>
    <row r="91" spans="1:7" ht="16.5" thickBot="1">
      <c r="A91" s="117" t="s">
        <v>321</v>
      </c>
      <c r="B91" s="118" t="s">
        <v>322</v>
      </c>
      <c r="C91" s="117" t="s">
        <v>4</v>
      </c>
      <c r="D91" s="117" t="s">
        <v>279</v>
      </c>
    </row>
    <row r="92" spans="1:7">
      <c r="A92" s="82" t="s">
        <v>257</v>
      </c>
      <c r="B92" s="133" t="s">
        <v>323</v>
      </c>
      <c r="C92" s="120">
        <f>0.1111*0.02*0.3333</f>
        <v>7.4059259999999997E-4</v>
      </c>
      <c r="D92" s="104">
        <f>ROUND($D$43*C92,2)</f>
        <v>0.95</v>
      </c>
    </row>
    <row r="93" spans="1:7" ht="32.25" thickBot="1">
      <c r="A93" s="109" t="s">
        <v>259</v>
      </c>
      <c r="B93" s="134" t="s">
        <v>324</v>
      </c>
      <c r="C93" s="126">
        <f>D93/D43</f>
        <v>2.7240957947744057E-4</v>
      </c>
      <c r="D93" s="110">
        <f>ROUND(D78*C92,2)</f>
        <v>0.35</v>
      </c>
    </row>
    <row r="94" spans="1:7" ht="16.5" thickBot="1">
      <c r="A94" s="530" t="s">
        <v>7</v>
      </c>
      <c r="B94" s="531"/>
      <c r="C94" s="127">
        <f>SUM(C92:C93)</f>
        <v>1.0130021794774405E-3</v>
      </c>
      <c r="D94" s="113">
        <f>SUM(D92:D93)</f>
        <v>1.2999999999999998</v>
      </c>
    </row>
    <row r="95" spans="1:7">
      <c r="A95" s="190"/>
    </row>
    <row r="96" spans="1:7">
      <c r="A96" s="190"/>
    </row>
    <row r="97" spans="1:7" ht="16.5" thickBot="1">
      <c r="A97" s="523" t="s">
        <v>325</v>
      </c>
      <c r="B97" s="523"/>
      <c r="C97" s="523"/>
      <c r="D97" s="523"/>
      <c r="E97" s="523"/>
      <c r="F97" s="523"/>
      <c r="G97" s="523"/>
    </row>
    <row r="98" spans="1:7" ht="16.5" thickBot="1">
      <c r="A98" s="117" t="s">
        <v>326</v>
      </c>
      <c r="B98" s="118" t="s">
        <v>327</v>
      </c>
      <c r="C98" s="117" t="s">
        <v>4</v>
      </c>
      <c r="D98" s="117" t="s">
        <v>279</v>
      </c>
    </row>
    <row r="99" spans="1:7">
      <c r="A99" s="82" t="s">
        <v>257</v>
      </c>
      <c r="B99" s="133" t="s">
        <v>328</v>
      </c>
      <c r="C99" s="135">
        <f>((1/12)*0.05)</f>
        <v>4.1666666666666666E-3</v>
      </c>
      <c r="D99" s="104">
        <f>ROUND($D$43*C99,2)</f>
        <v>5.35</v>
      </c>
    </row>
    <row r="100" spans="1:7" ht="31.5">
      <c r="A100" s="191" t="s">
        <v>259</v>
      </c>
      <c r="B100" s="91" t="s">
        <v>329</v>
      </c>
      <c r="C100" s="136">
        <f>D100/D43</f>
        <v>3.3467462621514129E-4</v>
      </c>
      <c r="D100" s="137">
        <f>ROUND(D75*C99,2)</f>
        <v>0.43</v>
      </c>
    </row>
    <row r="101" spans="1:7">
      <c r="A101" s="191" t="s">
        <v>261</v>
      </c>
      <c r="B101" s="138" t="s">
        <v>330</v>
      </c>
      <c r="C101" s="139">
        <f>0.08*0.5*0.9*(1+(5/56)+(5/56)+(1/3)*(5/56))</f>
        <v>4.3499999999999997E-2</v>
      </c>
      <c r="D101" s="107">
        <f>ROUND($D$43*C101,2)</f>
        <v>55.89</v>
      </c>
    </row>
    <row r="102" spans="1:7">
      <c r="A102" s="191" t="s">
        <v>263</v>
      </c>
      <c r="B102" s="138" t="s">
        <v>331</v>
      </c>
      <c r="C102" s="140">
        <f>(((7/30)/12))</f>
        <v>1.9444444444444445E-2</v>
      </c>
      <c r="D102" s="107">
        <f>ROUND($D$43*C102,2)</f>
        <v>24.98</v>
      </c>
    </row>
    <row r="103" spans="1:7" ht="31.5">
      <c r="A103" s="191" t="s">
        <v>284</v>
      </c>
      <c r="B103" s="138" t="s">
        <v>332</v>
      </c>
      <c r="C103" s="141">
        <f>D103/D43</f>
        <v>7.168263505677795E-3</v>
      </c>
      <c r="D103" s="107">
        <f>ROUND(D78*C102,2)</f>
        <v>9.2100000000000009</v>
      </c>
    </row>
    <row r="104" spans="1:7" ht="16.5" thickBot="1">
      <c r="A104" s="109" t="s">
        <v>286</v>
      </c>
      <c r="B104" s="134" t="s">
        <v>333</v>
      </c>
      <c r="C104" s="142">
        <f>(40%+10%)*C75*C102</f>
        <v>7.7777777777777784E-4</v>
      </c>
      <c r="D104" s="107">
        <f>ROUND($D$43*C104,2)</f>
        <v>1</v>
      </c>
    </row>
    <row r="105" spans="1:7" ht="16.5" thickBot="1">
      <c r="A105" s="525" t="s">
        <v>7</v>
      </c>
      <c r="B105" s="526"/>
      <c r="C105" s="127">
        <f>SUM(C99:C104)</f>
        <v>7.5391827020781829E-2</v>
      </c>
      <c r="D105" s="143">
        <f>SUM(D99:D104)</f>
        <v>96.860000000000014</v>
      </c>
    </row>
    <row r="106" spans="1:7">
      <c r="A106" s="71"/>
    </row>
    <row r="107" spans="1:7" ht="16.5" thickBot="1">
      <c r="A107" s="523" t="s">
        <v>334</v>
      </c>
      <c r="B107" s="523"/>
      <c r="C107" s="523"/>
      <c r="D107" s="523"/>
      <c r="E107" s="523"/>
      <c r="F107" s="523"/>
      <c r="G107" s="523"/>
    </row>
    <row r="108" spans="1:7" ht="32.25" thickBot="1">
      <c r="A108" s="117" t="s">
        <v>335</v>
      </c>
      <c r="B108" s="118" t="s">
        <v>336</v>
      </c>
      <c r="C108" s="117" t="s">
        <v>4</v>
      </c>
      <c r="D108" s="117" t="s">
        <v>279</v>
      </c>
    </row>
    <row r="109" spans="1:7">
      <c r="A109" s="82" t="s">
        <v>257</v>
      </c>
      <c r="B109" s="133" t="s">
        <v>13</v>
      </c>
      <c r="C109" s="144">
        <f>(5/56)</f>
        <v>8.9285714285714288E-2</v>
      </c>
      <c r="D109" s="107">
        <f t="shared" ref="D109:D114" si="1">ROUND($D$43*C109,2)</f>
        <v>114.72</v>
      </c>
    </row>
    <row r="110" spans="1:7">
      <c r="A110" s="191" t="s">
        <v>259</v>
      </c>
      <c r="B110" s="138" t="s">
        <v>379</v>
      </c>
      <c r="C110" s="122">
        <f>(10.96/30)/12</f>
        <v>3.0444444444444444E-2</v>
      </c>
      <c r="D110" s="107">
        <f t="shared" si="1"/>
        <v>39.119999999999997</v>
      </c>
      <c r="E110" s="184"/>
    </row>
    <row r="111" spans="1:7">
      <c r="A111" s="191" t="s">
        <v>261</v>
      </c>
      <c r="B111" s="138" t="s">
        <v>337</v>
      </c>
      <c r="C111" s="122">
        <f>((5/30)/12)*0.015</f>
        <v>2.0833333333333332E-4</v>
      </c>
      <c r="D111" s="107">
        <f t="shared" si="1"/>
        <v>0.27</v>
      </c>
    </row>
    <row r="112" spans="1:7">
      <c r="A112" s="191" t="s">
        <v>263</v>
      </c>
      <c r="B112" s="138" t="s">
        <v>338</v>
      </c>
      <c r="C112" s="122">
        <f>((1/30)/12)</f>
        <v>2.7777777777777779E-3</v>
      </c>
      <c r="D112" s="107">
        <f t="shared" si="1"/>
        <v>3.57</v>
      </c>
    </row>
    <row r="113" spans="1:7">
      <c r="A113" s="191" t="s">
        <v>284</v>
      </c>
      <c r="B113" s="138" t="s">
        <v>339</v>
      </c>
      <c r="C113" s="122">
        <f>((15/30)/12)*0.0078</f>
        <v>3.2499999999999999E-4</v>
      </c>
      <c r="D113" s="107">
        <f t="shared" si="1"/>
        <v>0.42</v>
      </c>
    </row>
    <row r="114" spans="1:7">
      <c r="A114" s="191" t="s">
        <v>286</v>
      </c>
      <c r="B114" s="138" t="s">
        <v>291</v>
      </c>
      <c r="C114" s="145"/>
      <c r="D114" s="107">
        <f t="shared" si="1"/>
        <v>0</v>
      </c>
    </row>
    <row r="115" spans="1:7">
      <c r="A115" s="532" t="s">
        <v>318</v>
      </c>
      <c r="B115" s="533"/>
      <c r="C115" s="122">
        <f>SUM(C109:C114)</f>
        <v>0.12304126984126985</v>
      </c>
      <c r="D115" s="107">
        <f>SUM(D109:D114)</f>
        <v>158.1</v>
      </c>
    </row>
    <row r="116" spans="1:7" ht="32.25" thickBot="1">
      <c r="A116" s="109" t="s">
        <v>288</v>
      </c>
      <c r="B116" s="134" t="s">
        <v>340</v>
      </c>
      <c r="C116" s="142">
        <f>D116/$D$43</f>
        <v>4.5344520286730541E-2</v>
      </c>
      <c r="D116" s="107">
        <f>ROUND(D78*C115,2)</f>
        <v>58.26</v>
      </c>
    </row>
    <row r="117" spans="1:7" ht="16.5" thickBot="1">
      <c r="A117" s="525" t="s">
        <v>7</v>
      </c>
      <c r="B117" s="526"/>
      <c r="C117" s="127">
        <f>C116+C115</f>
        <v>0.1683857901280004</v>
      </c>
      <c r="D117" s="146">
        <f>D116+D115</f>
        <v>216.35999999999999</v>
      </c>
    </row>
    <row r="118" spans="1:7">
      <c r="A118" s="190" t="s">
        <v>341</v>
      </c>
    </row>
    <row r="119" spans="1:7" ht="16.5" thickBot="1">
      <c r="A119" s="522" t="s">
        <v>342</v>
      </c>
      <c r="B119" s="522"/>
      <c r="C119" s="522"/>
      <c r="D119" s="522"/>
      <c r="E119" s="522"/>
      <c r="F119" s="522"/>
      <c r="G119" s="522"/>
    </row>
    <row r="120" spans="1:7" ht="32.25" customHeight="1" thickBot="1">
      <c r="A120" s="147">
        <v>4</v>
      </c>
      <c r="B120" s="148" t="s">
        <v>343</v>
      </c>
      <c r="C120" s="149" t="s">
        <v>4</v>
      </c>
      <c r="D120" s="150" t="s">
        <v>279</v>
      </c>
    </row>
    <row r="121" spans="1:7">
      <c r="A121" s="82" t="s">
        <v>307</v>
      </c>
      <c r="B121" s="133" t="s">
        <v>344</v>
      </c>
      <c r="C121" s="142">
        <f t="shared" ref="C121:C126" si="2">D121/$D$43</f>
        <v>0.16292427792003614</v>
      </c>
      <c r="D121" s="107">
        <f>D88</f>
        <v>209.33</v>
      </c>
    </row>
    <row r="122" spans="1:7">
      <c r="A122" s="191" t="s">
        <v>314</v>
      </c>
      <c r="B122" s="138" t="s">
        <v>308</v>
      </c>
      <c r="C122" s="142">
        <f t="shared" si="2"/>
        <v>0.36850789598623945</v>
      </c>
      <c r="D122" s="107">
        <f>D78</f>
        <v>473.47</v>
      </c>
    </row>
    <row r="123" spans="1:7">
      <c r="A123" s="191" t="s">
        <v>321</v>
      </c>
      <c r="B123" s="138" t="s">
        <v>323</v>
      </c>
      <c r="C123" s="142">
        <f t="shared" si="2"/>
        <v>1.0118070094876364E-3</v>
      </c>
      <c r="D123" s="107">
        <f>D94</f>
        <v>1.2999999999999998</v>
      </c>
    </row>
    <row r="124" spans="1:7">
      <c r="A124" s="151" t="s">
        <v>326</v>
      </c>
      <c r="B124" s="152" t="s">
        <v>345</v>
      </c>
      <c r="C124" s="142">
        <f t="shared" si="2"/>
        <v>7.5387405337671146E-2</v>
      </c>
      <c r="D124" s="107">
        <f>D105</f>
        <v>96.860000000000014</v>
      </c>
    </row>
    <row r="125" spans="1:7">
      <c r="A125" s="153" t="s">
        <v>335</v>
      </c>
      <c r="B125" s="154" t="s">
        <v>346</v>
      </c>
      <c r="C125" s="142">
        <f t="shared" si="2"/>
        <v>0.16839581890211155</v>
      </c>
      <c r="D125" s="107">
        <f>D117</f>
        <v>216.35999999999999</v>
      </c>
    </row>
    <row r="126" spans="1:7" ht="16.5" thickBot="1">
      <c r="A126" s="191" t="s">
        <v>347</v>
      </c>
      <c r="B126" s="138" t="s">
        <v>291</v>
      </c>
      <c r="C126" s="142">
        <f t="shared" si="2"/>
        <v>0</v>
      </c>
      <c r="D126" s="107">
        <v>0</v>
      </c>
    </row>
    <row r="127" spans="1:7" ht="37.5" customHeight="1" thickBot="1">
      <c r="A127" s="530" t="s">
        <v>348</v>
      </c>
      <c r="B127" s="531"/>
      <c r="C127" s="127">
        <f>SUM(C121:C126)</f>
        <v>0.776227205155546</v>
      </c>
      <c r="D127" s="113">
        <f>SUM(D121:D126)</f>
        <v>997.32</v>
      </c>
    </row>
    <row r="128" spans="1:7">
      <c r="A128" s="155"/>
      <c r="B128" s="155"/>
      <c r="C128" s="156"/>
      <c r="D128" s="157"/>
      <c r="E128" s="158"/>
      <c r="F128" s="159"/>
      <c r="G128" s="159"/>
    </row>
    <row r="129" spans="1:8" ht="16.5" thickBot="1">
      <c r="A129" s="522" t="s">
        <v>349</v>
      </c>
      <c r="B129" s="522"/>
      <c r="C129" s="522"/>
      <c r="D129" s="522"/>
      <c r="E129" s="522"/>
      <c r="F129" s="522"/>
      <c r="G129" s="522"/>
      <c r="H129" s="160"/>
    </row>
    <row r="130" spans="1:8" ht="16.5" thickBot="1">
      <c r="A130" s="147" t="s">
        <v>350</v>
      </c>
      <c r="B130" s="148" t="s">
        <v>351</v>
      </c>
      <c r="C130" s="149" t="s">
        <v>4</v>
      </c>
      <c r="D130" s="114" t="s">
        <v>279</v>
      </c>
      <c r="E130" s="161">
        <f>D43+D54+D64+D78+D88+D94+D105+D117</f>
        <v>2794.0326242424244</v>
      </c>
      <c r="G130" s="160"/>
    </row>
    <row r="131" spans="1:8">
      <c r="A131" s="82" t="s">
        <v>257</v>
      </c>
      <c r="B131" s="133" t="s">
        <v>352</v>
      </c>
      <c r="C131" s="162">
        <v>6.9987999999999995E-2</v>
      </c>
      <c r="D131" s="163">
        <f>E130*C131</f>
        <v>195.54875530547878</v>
      </c>
      <c r="G131" s="160"/>
    </row>
    <row r="132" spans="1:8">
      <c r="A132" s="191" t="s">
        <v>259</v>
      </c>
      <c r="B132" s="138" t="s">
        <v>353</v>
      </c>
      <c r="C132" s="142"/>
      <c r="D132" s="164"/>
      <c r="F132" s="165"/>
    </row>
    <row r="133" spans="1:8">
      <c r="A133" s="191"/>
      <c r="B133" s="138" t="s">
        <v>354</v>
      </c>
      <c r="C133" s="142"/>
      <c r="D133" s="129"/>
      <c r="F133" s="182"/>
      <c r="G133" s="160"/>
    </row>
    <row r="134" spans="1:8">
      <c r="A134" s="191"/>
      <c r="B134" s="138" t="s">
        <v>355</v>
      </c>
      <c r="C134" s="142">
        <v>7.5999999999999998E-2</v>
      </c>
      <c r="D134" s="107">
        <f>$D$152*C134</f>
        <v>267.14953872696327</v>
      </c>
      <c r="E134" s="165">
        <f>D152</f>
        <v>3515.1255095653059</v>
      </c>
      <c r="G134" s="160"/>
    </row>
    <row r="135" spans="1:8">
      <c r="A135" s="191"/>
      <c r="B135" s="138" t="s">
        <v>356</v>
      </c>
      <c r="C135" s="142">
        <v>1.6500000000000001E-2</v>
      </c>
      <c r="D135" s="107">
        <f>$D$152*C135</f>
        <v>57.999570907827554</v>
      </c>
      <c r="E135" s="246"/>
      <c r="G135" s="160"/>
    </row>
    <row r="136" spans="1:8">
      <c r="A136" s="191"/>
      <c r="B136" s="138" t="s">
        <v>357</v>
      </c>
      <c r="C136" s="142"/>
      <c r="D136" s="107"/>
    </row>
    <row r="137" spans="1:8">
      <c r="A137" s="191"/>
      <c r="B137" s="138" t="s">
        <v>358</v>
      </c>
      <c r="C137" s="142">
        <v>0.04</v>
      </c>
      <c r="D137" s="107">
        <f>$D$152*C137</f>
        <v>140.60502038261225</v>
      </c>
      <c r="G137" s="160"/>
    </row>
    <row r="138" spans="1:8">
      <c r="A138" s="191"/>
      <c r="B138" s="138" t="s">
        <v>359</v>
      </c>
      <c r="C138" s="142"/>
      <c r="D138" s="107"/>
    </row>
    <row r="139" spans="1:8" ht="16.5" thickBot="1">
      <c r="A139" s="191" t="s">
        <v>261</v>
      </c>
      <c r="B139" s="138" t="s">
        <v>360</v>
      </c>
      <c r="C139" s="142">
        <v>0.02</v>
      </c>
      <c r="D139" s="107">
        <f>ROUND(E139*C139,2)</f>
        <v>59.79</v>
      </c>
      <c r="E139" s="132">
        <f>E130+D131</f>
        <v>2989.581379547903</v>
      </c>
    </row>
    <row r="140" spans="1:8" ht="33" customHeight="1" thickBot="1">
      <c r="A140" s="527" t="s">
        <v>361</v>
      </c>
      <c r="B140" s="528"/>
      <c r="C140" s="529"/>
      <c r="D140" s="166">
        <f>D131+D134+D135+D137+D139</f>
        <v>721.09288532288178</v>
      </c>
    </row>
    <row r="141" spans="1:8">
      <c r="A141" s="522" t="s">
        <v>362</v>
      </c>
      <c r="B141" s="522"/>
      <c r="C141" s="522"/>
      <c r="D141" s="522"/>
      <c r="E141" s="522"/>
      <c r="F141" s="522"/>
      <c r="G141" s="522"/>
    </row>
    <row r="142" spans="1:8">
      <c r="A142" s="522" t="s">
        <v>363</v>
      </c>
      <c r="B142" s="522"/>
      <c r="C142" s="522"/>
      <c r="D142" s="522"/>
      <c r="E142" s="522"/>
      <c r="F142" s="522"/>
      <c r="G142" s="522"/>
    </row>
    <row r="143" spans="1:8">
      <c r="A143" s="190"/>
    </row>
    <row r="144" spans="1:8" ht="16.5" thickBot="1">
      <c r="A144" s="523" t="s">
        <v>364</v>
      </c>
      <c r="B144" s="523"/>
      <c r="C144" s="523"/>
      <c r="D144" s="523"/>
      <c r="E144" s="523"/>
      <c r="F144" s="523"/>
      <c r="G144" s="523"/>
    </row>
    <row r="145" spans="1:8" ht="32.25" customHeight="1" thickBot="1">
      <c r="A145" s="147"/>
      <c r="B145" s="524" t="s">
        <v>365</v>
      </c>
      <c r="C145" s="524"/>
      <c r="D145" s="167" t="s">
        <v>366</v>
      </c>
    </row>
    <row r="146" spans="1:8">
      <c r="A146" s="191" t="s">
        <v>257</v>
      </c>
      <c r="B146" s="138" t="s">
        <v>367</v>
      </c>
      <c r="C146" s="122">
        <f t="shared" ref="C146:C151" si="3">D146/$D$152</f>
        <v>0.36551468688777689</v>
      </c>
      <c r="D146" s="129">
        <f>D43</f>
        <v>1284.83</v>
      </c>
    </row>
    <row r="147" spans="1:8">
      <c r="A147" s="191" t="s">
        <v>259</v>
      </c>
      <c r="B147" s="138" t="s">
        <v>368</v>
      </c>
      <c r="C147" s="122">
        <f t="shared" si="3"/>
        <v>0.12281501722349224</v>
      </c>
      <c r="D147" s="129">
        <f>D54</f>
        <v>431.71019999999999</v>
      </c>
    </row>
    <row r="148" spans="1:8" ht="31.5">
      <c r="A148" s="191" t="s">
        <v>261</v>
      </c>
      <c r="B148" s="138" t="s">
        <v>369</v>
      </c>
      <c r="C148" s="122">
        <f t="shared" si="3"/>
        <v>2.2807841149415649E-2</v>
      </c>
      <c r="D148" s="129">
        <f>D64</f>
        <v>80.172424242424242</v>
      </c>
      <c r="E148" s="165">
        <f>D150+D131+D139</f>
        <v>3049.371379547903</v>
      </c>
    </row>
    <row r="149" spans="1:8" ht="31.5">
      <c r="A149" s="191" t="s">
        <v>263</v>
      </c>
      <c r="B149" s="138" t="s">
        <v>370</v>
      </c>
      <c r="C149" s="122">
        <f t="shared" si="3"/>
        <v>0.28372244384620354</v>
      </c>
      <c r="D149" s="129">
        <f>D127</f>
        <v>997.32</v>
      </c>
      <c r="E149" s="174">
        <f>C137+C135+C134</f>
        <v>0.13250000000000001</v>
      </c>
    </row>
    <row r="150" spans="1:8" ht="16.5" customHeight="1">
      <c r="A150" s="168" t="s">
        <v>371</v>
      </c>
      <c r="B150" s="169"/>
      <c r="C150" s="131">
        <f t="shared" si="3"/>
        <v>0.79485998910688838</v>
      </c>
      <c r="D150" s="170">
        <f>SUM(D146:D149)</f>
        <v>2794.0326242424244</v>
      </c>
      <c r="E150" s="174">
        <f>100%-E149</f>
        <v>0.86749999999999994</v>
      </c>
    </row>
    <row r="151" spans="1:8" ht="32.25" thickBot="1">
      <c r="A151" s="191" t="s">
        <v>284</v>
      </c>
      <c r="B151" s="138" t="s">
        <v>372</v>
      </c>
      <c r="C151" s="122">
        <f t="shared" si="3"/>
        <v>0.20514001089311173</v>
      </c>
      <c r="D151" s="129">
        <f>D140</f>
        <v>721.09288532288178</v>
      </c>
      <c r="G151" s="171"/>
    </row>
    <row r="152" spans="1:8" ht="16.5" customHeight="1" thickBot="1">
      <c r="A152" s="525" t="s">
        <v>373</v>
      </c>
      <c r="B152" s="526"/>
      <c r="C152" s="127">
        <f>C151+C150</f>
        <v>1</v>
      </c>
      <c r="D152" s="166">
        <f>(D150+D139+D131)/0.8675</f>
        <v>3515.1255095653059</v>
      </c>
      <c r="E152" s="171"/>
      <c r="F152" s="165">
        <f>D150+D151</f>
        <v>3515.1255095653059</v>
      </c>
      <c r="H152" s="172"/>
    </row>
    <row r="153" spans="1:8">
      <c r="E153" s="171"/>
    </row>
    <row r="154" spans="1:8">
      <c r="A154" s="186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1.299212598425197" right="0.51181102362204722" top="2.1653543307086616" bottom="0.98425196850393704" header="0.31496062992125984" footer="0.31496062992125984"/>
  <pageSetup paperSize="9" scale="80" fitToHeight="4" orientation="portrait" r:id="rId1"/>
  <headerFooter alignWithMargins="0"/>
  <rowBreaks count="3" manualBreakCount="3">
    <brk id="43" max="3" man="1"/>
    <brk id="88" max="3" man="1"/>
    <brk id="128" max="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154"/>
  <sheetViews>
    <sheetView showGridLines="0" view="pageBreakPreview" topLeftCell="A134" zoomScale="90" zoomScaleSheetLayoutView="90" workbookViewId="0">
      <selection activeCell="E135" sqref="E135"/>
    </sheetView>
  </sheetViews>
  <sheetFormatPr defaultRowHeight="15.75"/>
  <cols>
    <col min="1" max="1" width="9.28515625" style="53" customWidth="1"/>
    <col min="2" max="2" width="39.85546875" style="53" customWidth="1"/>
    <col min="3" max="3" width="18.28515625" style="53" customWidth="1"/>
    <col min="4" max="4" width="23.85546875" style="53" customWidth="1"/>
    <col min="5" max="5" width="16" style="53" bestFit="1" customWidth="1"/>
    <col min="6" max="6" width="13.7109375" style="53" bestFit="1" customWidth="1"/>
    <col min="7" max="7" width="15.7109375" style="53" bestFit="1" customWidth="1"/>
    <col min="8" max="8" width="13.140625" style="53" bestFit="1" customWidth="1"/>
    <col min="9" max="9" width="11.85546875" style="53" bestFit="1" customWidth="1"/>
    <col min="10" max="10" width="12.85546875" style="53" bestFit="1" customWidth="1"/>
    <col min="11" max="256" width="9.140625" style="53"/>
    <col min="257" max="257" width="9.28515625" style="53" customWidth="1"/>
    <col min="258" max="258" width="39.85546875" style="53" customWidth="1"/>
    <col min="259" max="259" width="18.28515625" style="53" customWidth="1"/>
    <col min="260" max="260" width="23.85546875" style="53" customWidth="1"/>
    <col min="261" max="261" width="16" style="53" bestFit="1" customWidth="1"/>
    <col min="262" max="262" width="13.7109375" style="53" bestFit="1" customWidth="1"/>
    <col min="263" max="263" width="15.7109375" style="53" bestFit="1" customWidth="1"/>
    <col min="264" max="264" width="13.140625" style="53" bestFit="1" customWidth="1"/>
    <col min="265" max="265" width="11.85546875" style="53" bestFit="1" customWidth="1"/>
    <col min="266" max="266" width="12.85546875" style="53" bestFit="1" customWidth="1"/>
    <col min="267" max="512" width="9.140625" style="53"/>
    <col min="513" max="513" width="9.28515625" style="53" customWidth="1"/>
    <col min="514" max="514" width="39.85546875" style="53" customWidth="1"/>
    <col min="515" max="515" width="18.28515625" style="53" customWidth="1"/>
    <col min="516" max="516" width="23.85546875" style="53" customWidth="1"/>
    <col min="517" max="517" width="16" style="53" bestFit="1" customWidth="1"/>
    <col min="518" max="518" width="13.7109375" style="53" bestFit="1" customWidth="1"/>
    <col min="519" max="519" width="15.7109375" style="53" bestFit="1" customWidth="1"/>
    <col min="520" max="520" width="13.140625" style="53" bestFit="1" customWidth="1"/>
    <col min="521" max="521" width="11.85546875" style="53" bestFit="1" customWidth="1"/>
    <col min="522" max="522" width="12.85546875" style="53" bestFit="1" customWidth="1"/>
    <col min="523" max="768" width="9.140625" style="53"/>
    <col min="769" max="769" width="9.28515625" style="53" customWidth="1"/>
    <col min="770" max="770" width="39.85546875" style="53" customWidth="1"/>
    <col min="771" max="771" width="18.28515625" style="53" customWidth="1"/>
    <col min="772" max="772" width="23.85546875" style="53" customWidth="1"/>
    <col min="773" max="773" width="16" style="53" bestFit="1" customWidth="1"/>
    <col min="774" max="774" width="13.7109375" style="53" bestFit="1" customWidth="1"/>
    <col min="775" max="775" width="15.7109375" style="53" bestFit="1" customWidth="1"/>
    <col min="776" max="776" width="13.140625" style="53" bestFit="1" customWidth="1"/>
    <col min="777" max="777" width="11.85546875" style="53" bestFit="1" customWidth="1"/>
    <col min="778" max="778" width="12.85546875" style="53" bestFit="1" customWidth="1"/>
    <col min="779" max="1024" width="9.140625" style="53"/>
    <col min="1025" max="1025" width="9.28515625" style="53" customWidth="1"/>
    <col min="1026" max="1026" width="39.85546875" style="53" customWidth="1"/>
    <col min="1027" max="1027" width="18.28515625" style="53" customWidth="1"/>
    <col min="1028" max="1028" width="23.85546875" style="53" customWidth="1"/>
    <col min="1029" max="1029" width="16" style="53" bestFit="1" customWidth="1"/>
    <col min="1030" max="1030" width="13.7109375" style="53" bestFit="1" customWidth="1"/>
    <col min="1031" max="1031" width="15.7109375" style="53" bestFit="1" customWidth="1"/>
    <col min="1032" max="1032" width="13.140625" style="53" bestFit="1" customWidth="1"/>
    <col min="1033" max="1033" width="11.85546875" style="53" bestFit="1" customWidth="1"/>
    <col min="1034" max="1034" width="12.85546875" style="53" bestFit="1" customWidth="1"/>
    <col min="1035" max="1280" width="9.140625" style="53"/>
    <col min="1281" max="1281" width="9.28515625" style="53" customWidth="1"/>
    <col min="1282" max="1282" width="39.85546875" style="53" customWidth="1"/>
    <col min="1283" max="1283" width="18.28515625" style="53" customWidth="1"/>
    <col min="1284" max="1284" width="23.85546875" style="53" customWidth="1"/>
    <col min="1285" max="1285" width="16" style="53" bestFit="1" customWidth="1"/>
    <col min="1286" max="1286" width="13.7109375" style="53" bestFit="1" customWidth="1"/>
    <col min="1287" max="1287" width="15.7109375" style="53" bestFit="1" customWidth="1"/>
    <col min="1288" max="1288" width="13.140625" style="53" bestFit="1" customWidth="1"/>
    <col min="1289" max="1289" width="11.85546875" style="53" bestFit="1" customWidth="1"/>
    <col min="1290" max="1290" width="12.85546875" style="53" bestFit="1" customWidth="1"/>
    <col min="1291" max="1536" width="9.140625" style="53"/>
    <col min="1537" max="1537" width="9.28515625" style="53" customWidth="1"/>
    <col min="1538" max="1538" width="39.85546875" style="53" customWidth="1"/>
    <col min="1539" max="1539" width="18.28515625" style="53" customWidth="1"/>
    <col min="1540" max="1540" width="23.85546875" style="53" customWidth="1"/>
    <col min="1541" max="1541" width="16" style="53" bestFit="1" customWidth="1"/>
    <col min="1542" max="1542" width="13.7109375" style="53" bestFit="1" customWidth="1"/>
    <col min="1543" max="1543" width="15.7109375" style="53" bestFit="1" customWidth="1"/>
    <col min="1544" max="1544" width="13.140625" style="53" bestFit="1" customWidth="1"/>
    <col min="1545" max="1545" width="11.85546875" style="53" bestFit="1" customWidth="1"/>
    <col min="1546" max="1546" width="12.85546875" style="53" bestFit="1" customWidth="1"/>
    <col min="1547" max="1792" width="9.140625" style="53"/>
    <col min="1793" max="1793" width="9.28515625" style="53" customWidth="1"/>
    <col min="1794" max="1794" width="39.85546875" style="53" customWidth="1"/>
    <col min="1795" max="1795" width="18.28515625" style="53" customWidth="1"/>
    <col min="1796" max="1796" width="23.85546875" style="53" customWidth="1"/>
    <col min="1797" max="1797" width="16" style="53" bestFit="1" customWidth="1"/>
    <col min="1798" max="1798" width="13.7109375" style="53" bestFit="1" customWidth="1"/>
    <col min="1799" max="1799" width="15.7109375" style="53" bestFit="1" customWidth="1"/>
    <col min="1800" max="1800" width="13.140625" style="53" bestFit="1" customWidth="1"/>
    <col min="1801" max="1801" width="11.85546875" style="53" bestFit="1" customWidth="1"/>
    <col min="1802" max="1802" width="12.85546875" style="53" bestFit="1" customWidth="1"/>
    <col min="1803" max="2048" width="9.140625" style="53"/>
    <col min="2049" max="2049" width="9.28515625" style="53" customWidth="1"/>
    <col min="2050" max="2050" width="39.85546875" style="53" customWidth="1"/>
    <col min="2051" max="2051" width="18.28515625" style="53" customWidth="1"/>
    <col min="2052" max="2052" width="23.85546875" style="53" customWidth="1"/>
    <col min="2053" max="2053" width="16" style="53" bestFit="1" customWidth="1"/>
    <col min="2054" max="2054" width="13.7109375" style="53" bestFit="1" customWidth="1"/>
    <col min="2055" max="2055" width="15.7109375" style="53" bestFit="1" customWidth="1"/>
    <col min="2056" max="2056" width="13.140625" style="53" bestFit="1" customWidth="1"/>
    <col min="2057" max="2057" width="11.85546875" style="53" bestFit="1" customWidth="1"/>
    <col min="2058" max="2058" width="12.85546875" style="53" bestFit="1" customWidth="1"/>
    <col min="2059" max="2304" width="9.140625" style="53"/>
    <col min="2305" max="2305" width="9.28515625" style="53" customWidth="1"/>
    <col min="2306" max="2306" width="39.85546875" style="53" customWidth="1"/>
    <col min="2307" max="2307" width="18.28515625" style="53" customWidth="1"/>
    <col min="2308" max="2308" width="23.85546875" style="53" customWidth="1"/>
    <col min="2309" max="2309" width="16" style="53" bestFit="1" customWidth="1"/>
    <col min="2310" max="2310" width="13.7109375" style="53" bestFit="1" customWidth="1"/>
    <col min="2311" max="2311" width="15.7109375" style="53" bestFit="1" customWidth="1"/>
    <col min="2312" max="2312" width="13.140625" style="53" bestFit="1" customWidth="1"/>
    <col min="2313" max="2313" width="11.85546875" style="53" bestFit="1" customWidth="1"/>
    <col min="2314" max="2314" width="12.85546875" style="53" bestFit="1" customWidth="1"/>
    <col min="2315" max="2560" width="9.140625" style="53"/>
    <col min="2561" max="2561" width="9.28515625" style="53" customWidth="1"/>
    <col min="2562" max="2562" width="39.85546875" style="53" customWidth="1"/>
    <col min="2563" max="2563" width="18.28515625" style="53" customWidth="1"/>
    <col min="2564" max="2564" width="23.85546875" style="53" customWidth="1"/>
    <col min="2565" max="2565" width="16" style="53" bestFit="1" customWidth="1"/>
    <col min="2566" max="2566" width="13.7109375" style="53" bestFit="1" customWidth="1"/>
    <col min="2567" max="2567" width="15.7109375" style="53" bestFit="1" customWidth="1"/>
    <col min="2568" max="2568" width="13.140625" style="53" bestFit="1" customWidth="1"/>
    <col min="2569" max="2569" width="11.85546875" style="53" bestFit="1" customWidth="1"/>
    <col min="2570" max="2570" width="12.85546875" style="53" bestFit="1" customWidth="1"/>
    <col min="2571" max="2816" width="9.140625" style="53"/>
    <col min="2817" max="2817" width="9.28515625" style="53" customWidth="1"/>
    <col min="2818" max="2818" width="39.85546875" style="53" customWidth="1"/>
    <col min="2819" max="2819" width="18.28515625" style="53" customWidth="1"/>
    <col min="2820" max="2820" width="23.85546875" style="53" customWidth="1"/>
    <col min="2821" max="2821" width="16" style="53" bestFit="1" customWidth="1"/>
    <col min="2822" max="2822" width="13.7109375" style="53" bestFit="1" customWidth="1"/>
    <col min="2823" max="2823" width="15.7109375" style="53" bestFit="1" customWidth="1"/>
    <col min="2824" max="2824" width="13.140625" style="53" bestFit="1" customWidth="1"/>
    <col min="2825" max="2825" width="11.85546875" style="53" bestFit="1" customWidth="1"/>
    <col min="2826" max="2826" width="12.85546875" style="53" bestFit="1" customWidth="1"/>
    <col min="2827" max="3072" width="9.140625" style="53"/>
    <col min="3073" max="3073" width="9.28515625" style="53" customWidth="1"/>
    <col min="3074" max="3074" width="39.85546875" style="53" customWidth="1"/>
    <col min="3075" max="3075" width="18.28515625" style="53" customWidth="1"/>
    <col min="3076" max="3076" width="23.85546875" style="53" customWidth="1"/>
    <col min="3077" max="3077" width="16" style="53" bestFit="1" customWidth="1"/>
    <col min="3078" max="3078" width="13.7109375" style="53" bestFit="1" customWidth="1"/>
    <col min="3079" max="3079" width="15.7109375" style="53" bestFit="1" customWidth="1"/>
    <col min="3080" max="3080" width="13.140625" style="53" bestFit="1" customWidth="1"/>
    <col min="3081" max="3081" width="11.85546875" style="53" bestFit="1" customWidth="1"/>
    <col min="3082" max="3082" width="12.85546875" style="53" bestFit="1" customWidth="1"/>
    <col min="3083" max="3328" width="9.140625" style="53"/>
    <col min="3329" max="3329" width="9.28515625" style="53" customWidth="1"/>
    <col min="3330" max="3330" width="39.85546875" style="53" customWidth="1"/>
    <col min="3331" max="3331" width="18.28515625" style="53" customWidth="1"/>
    <col min="3332" max="3332" width="23.85546875" style="53" customWidth="1"/>
    <col min="3333" max="3333" width="16" style="53" bestFit="1" customWidth="1"/>
    <col min="3334" max="3334" width="13.7109375" style="53" bestFit="1" customWidth="1"/>
    <col min="3335" max="3335" width="15.7109375" style="53" bestFit="1" customWidth="1"/>
    <col min="3336" max="3336" width="13.140625" style="53" bestFit="1" customWidth="1"/>
    <col min="3337" max="3337" width="11.85546875" style="53" bestFit="1" customWidth="1"/>
    <col min="3338" max="3338" width="12.85546875" style="53" bestFit="1" customWidth="1"/>
    <col min="3339" max="3584" width="9.140625" style="53"/>
    <col min="3585" max="3585" width="9.28515625" style="53" customWidth="1"/>
    <col min="3586" max="3586" width="39.85546875" style="53" customWidth="1"/>
    <col min="3587" max="3587" width="18.28515625" style="53" customWidth="1"/>
    <col min="3588" max="3588" width="23.85546875" style="53" customWidth="1"/>
    <col min="3589" max="3589" width="16" style="53" bestFit="1" customWidth="1"/>
    <col min="3590" max="3590" width="13.7109375" style="53" bestFit="1" customWidth="1"/>
    <col min="3591" max="3591" width="15.7109375" style="53" bestFit="1" customWidth="1"/>
    <col min="3592" max="3592" width="13.140625" style="53" bestFit="1" customWidth="1"/>
    <col min="3593" max="3593" width="11.85546875" style="53" bestFit="1" customWidth="1"/>
    <col min="3594" max="3594" width="12.85546875" style="53" bestFit="1" customWidth="1"/>
    <col min="3595" max="3840" width="9.140625" style="53"/>
    <col min="3841" max="3841" width="9.28515625" style="53" customWidth="1"/>
    <col min="3842" max="3842" width="39.85546875" style="53" customWidth="1"/>
    <col min="3843" max="3843" width="18.28515625" style="53" customWidth="1"/>
    <col min="3844" max="3844" width="23.85546875" style="53" customWidth="1"/>
    <col min="3845" max="3845" width="16" style="53" bestFit="1" customWidth="1"/>
    <col min="3846" max="3846" width="13.7109375" style="53" bestFit="1" customWidth="1"/>
    <col min="3847" max="3847" width="15.7109375" style="53" bestFit="1" customWidth="1"/>
    <col min="3848" max="3848" width="13.140625" style="53" bestFit="1" customWidth="1"/>
    <col min="3849" max="3849" width="11.85546875" style="53" bestFit="1" customWidth="1"/>
    <col min="3850" max="3850" width="12.85546875" style="53" bestFit="1" customWidth="1"/>
    <col min="3851" max="4096" width="9.140625" style="53"/>
    <col min="4097" max="4097" width="9.28515625" style="53" customWidth="1"/>
    <col min="4098" max="4098" width="39.85546875" style="53" customWidth="1"/>
    <col min="4099" max="4099" width="18.28515625" style="53" customWidth="1"/>
    <col min="4100" max="4100" width="23.85546875" style="53" customWidth="1"/>
    <col min="4101" max="4101" width="16" style="53" bestFit="1" customWidth="1"/>
    <col min="4102" max="4102" width="13.7109375" style="53" bestFit="1" customWidth="1"/>
    <col min="4103" max="4103" width="15.7109375" style="53" bestFit="1" customWidth="1"/>
    <col min="4104" max="4104" width="13.140625" style="53" bestFit="1" customWidth="1"/>
    <col min="4105" max="4105" width="11.85546875" style="53" bestFit="1" customWidth="1"/>
    <col min="4106" max="4106" width="12.85546875" style="53" bestFit="1" customWidth="1"/>
    <col min="4107" max="4352" width="9.140625" style="53"/>
    <col min="4353" max="4353" width="9.28515625" style="53" customWidth="1"/>
    <col min="4354" max="4354" width="39.85546875" style="53" customWidth="1"/>
    <col min="4355" max="4355" width="18.28515625" style="53" customWidth="1"/>
    <col min="4356" max="4356" width="23.85546875" style="53" customWidth="1"/>
    <col min="4357" max="4357" width="16" style="53" bestFit="1" customWidth="1"/>
    <col min="4358" max="4358" width="13.7109375" style="53" bestFit="1" customWidth="1"/>
    <col min="4359" max="4359" width="15.7109375" style="53" bestFit="1" customWidth="1"/>
    <col min="4360" max="4360" width="13.140625" style="53" bestFit="1" customWidth="1"/>
    <col min="4361" max="4361" width="11.85546875" style="53" bestFit="1" customWidth="1"/>
    <col min="4362" max="4362" width="12.85546875" style="53" bestFit="1" customWidth="1"/>
    <col min="4363" max="4608" width="9.140625" style="53"/>
    <col min="4609" max="4609" width="9.28515625" style="53" customWidth="1"/>
    <col min="4610" max="4610" width="39.85546875" style="53" customWidth="1"/>
    <col min="4611" max="4611" width="18.28515625" style="53" customWidth="1"/>
    <col min="4612" max="4612" width="23.85546875" style="53" customWidth="1"/>
    <col min="4613" max="4613" width="16" style="53" bestFit="1" customWidth="1"/>
    <col min="4614" max="4614" width="13.7109375" style="53" bestFit="1" customWidth="1"/>
    <col min="4615" max="4615" width="15.7109375" style="53" bestFit="1" customWidth="1"/>
    <col min="4616" max="4616" width="13.140625" style="53" bestFit="1" customWidth="1"/>
    <col min="4617" max="4617" width="11.85546875" style="53" bestFit="1" customWidth="1"/>
    <col min="4618" max="4618" width="12.85546875" style="53" bestFit="1" customWidth="1"/>
    <col min="4619" max="4864" width="9.140625" style="53"/>
    <col min="4865" max="4865" width="9.28515625" style="53" customWidth="1"/>
    <col min="4866" max="4866" width="39.85546875" style="53" customWidth="1"/>
    <col min="4867" max="4867" width="18.28515625" style="53" customWidth="1"/>
    <col min="4868" max="4868" width="23.85546875" style="53" customWidth="1"/>
    <col min="4869" max="4869" width="16" style="53" bestFit="1" customWidth="1"/>
    <col min="4870" max="4870" width="13.7109375" style="53" bestFit="1" customWidth="1"/>
    <col min="4871" max="4871" width="15.7109375" style="53" bestFit="1" customWidth="1"/>
    <col min="4872" max="4872" width="13.140625" style="53" bestFit="1" customWidth="1"/>
    <col min="4873" max="4873" width="11.85546875" style="53" bestFit="1" customWidth="1"/>
    <col min="4874" max="4874" width="12.85546875" style="53" bestFit="1" customWidth="1"/>
    <col min="4875" max="5120" width="9.140625" style="53"/>
    <col min="5121" max="5121" width="9.28515625" style="53" customWidth="1"/>
    <col min="5122" max="5122" width="39.85546875" style="53" customWidth="1"/>
    <col min="5123" max="5123" width="18.28515625" style="53" customWidth="1"/>
    <col min="5124" max="5124" width="23.85546875" style="53" customWidth="1"/>
    <col min="5125" max="5125" width="16" style="53" bestFit="1" customWidth="1"/>
    <col min="5126" max="5126" width="13.7109375" style="53" bestFit="1" customWidth="1"/>
    <col min="5127" max="5127" width="15.7109375" style="53" bestFit="1" customWidth="1"/>
    <col min="5128" max="5128" width="13.140625" style="53" bestFit="1" customWidth="1"/>
    <col min="5129" max="5129" width="11.85546875" style="53" bestFit="1" customWidth="1"/>
    <col min="5130" max="5130" width="12.85546875" style="53" bestFit="1" customWidth="1"/>
    <col min="5131" max="5376" width="9.140625" style="53"/>
    <col min="5377" max="5377" width="9.28515625" style="53" customWidth="1"/>
    <col min="5378" max="5378" width="39.85546875" style="53" customWidth="1"/>
    <col min="5379" max="5379" width="18.28515625" style="53" customWidth="1"/>
    <col min="5380" max="5380" width="23.85546875" style="53" customWidth="1"/>
    <col min="5381" max="5381" width="16" style="53" bestFit="1" customWidth="1"/>
    <col min="5382" max="5382" width="13.7109375" style="53" bestFit="1" customWidth="1"/>
    <col min="5383" max="5383" width="15.7109375" style="53" bestFit="1" customWidth="1"/>
    <col min="5384" max="5384" width="13.140625" style="53" bestFit="1" customWidth="1"/>
    <col min="5385" max="5385" width="11.85546875" style="53" bestFit="1" customWidth="1"/>
    <col min="5386" max="5386" width="12.85546875" style="53" bestFit="1" customWidth="1"/>
    <col min="5387" max="5632" width="9.140625" style="53"/>
    <col min="5633" max="5633" width="9.28515625" style="53" customWidth="1"/>
    <col min="5634" max="5634" width="39.85546875" style="53" customWidth="1"/>
    <col min="5635" max="5635" width="18.28515625" style="53" customWidth="1"/>
    <col min="5636" max="5636" width="23.85546875" style="53" customWidth="1"/>
    <col min="5637" max="5637" width="16" style="53" bestFit="1" customWidth="1"/>
    <col min="5638" max="5638" width="13.7109375" style="53" bestFit="1" customWidth="1"/>
    <col min="5639" max="5639" width="15.7109375" style="53" bestFit="1" customWidth="1"/>
    <col min="5640" max="5640" width="13.140625" style="53" bestFit="1" customWidth="1"/>
    <col min="5641" max="5641" width="11.85546875" style="53" bestFit="1" customWidth="1"/>
    <col min="5642" max="5642" width="12.85546875" style="53" bestFit="1" customWidth="1"/>
    <col min="5643" max="5888" width="9.140625" style="53"/>
    <col min="5889" max="5889" width="9.28515625" style="53" customWidth="1"/>
    <col min="5890" max="5890" width="39.85546875" style="53" customWidth="1"/>
    <col min="5891" max="5891" width="18.28515625" style="53" customWidth="1"/>
    <col min="5892" max="5892" width="23.85546875" style="53" customWidth="1"/>
    <col min="5893" max="5893" width="16" style="53" bestFit="1" customWidth="1"/>
    <col min="5894" max="5894" width="13.7109375" style="53" bestFit="1" customWidth="1"/>
    <col min="5895" max="5895" width="15.7109375" style="53" bestFit="1" customWidth="1"/>
    <col min="5896" max="5896" width="13.140625" style="53" bestFit="1" customWidth="1"/>
    <col min="5897" max="5897" width="11.85546875" style="53" bestFit="1" customWidth="1"/>
    <col min="5898" max="5898" width="12.85546875" style="53" bestFit="1" customWidth="1"/>
    <col min="5899" max="6144" width="9.140625" style="53"/>
    <col min="6145" max="6145" width="9.28515625" style="53" customWidth="1"/>
    <col min="6146" max="6146" width="39.85546875" style="53" customWidth="1"/>
    <col min="6147" max="6147" width="18.28515625" style="53" customWidth="1"/>
    <col min="6148" max="6148" width="23.85546875" style="53" customWidth="1"/>
    <col min="6149" max="6149" width="16" style="53" bestFit="1" customWidth="1"/>
    <col min="6150" max="6150" width="13.7109375" style="53" bestFit="1" customWidth="1"/>
    <col min="6151" max="6151" width="15.7109375" style="53" bestFit="1" customWidth="1"/>
    <col min="6152" max="6152" width="13.140625" style="53" bestFit="1" customWidth="1"/>
    <col min="6153" max="6153" width="11.85546875" style="53" bestFit="1" customWidth="1"/>
    <col min="6154" max="6154" width="12.85546875" style="53" bestFit="1" customWidth="1"/>
    <col min="6155" max="6400" width="9.140625" style="53"/>
    <col min="6401" max="6401" width="9.28515625" style="53" customWidth="1"/>
    <col min="6402" max="6402" width="39.85546875" style="53" customWidth="1"/>
    <col min="6403" max="6403" width="18.28515625" style="53" customWidth="1"/>
    <col min="6404" max="6404" width="23.85546875" style="53" customWidth="1"/>
    <col min="6405" max="6405" width="16" style="53" bestFit="1" customWidth="1"/>
    <col min="6406" max="6406" width="13.7109375" style="53" bestFit="1" customWidth="1"/>
    <col min="6407" max="6407" width="15.7109375" style="53" bestFit="1" customWidth="1"/>
    <col min="6408" max="6408" width="13.140625" style="53" bestFit="1" customWidth="1"/>
    <col min="6409" max="6409" width="11.85546875" style="53" bestFit="1" customWidth="1"/>
    <col min="6410" max="6410" width="12.85546875" style="53" bestFit="1" customWidth="1"/>
    <col min="6411" max="6656" width="9.140625" style="53"/>
    <col min="6657" max="6657" width="9.28515625" style="53" customWidth="1"/>
    <col min="6658" max="6658" width="39.85546875" style="53" customWidth="1"/>
    <col min="6659" max="6659" width="18.28515625" style="53" customWidth="1"/>
    <col min="6660" max="6660" width="23.85546875" style="53" customWidth="1"/>
    <col min="6661" max="6661" width="16" style="53" bestFit="1" customWidth="1"/>
    <col min="6662" max="6662" width="13.7109375" style="53" bestFit="1" customWidth="1"/>
    <col min="6663" max="6663" width="15.7109375" style="53" bestFit="1" customWidth="1"/>
    <col min="6664" max="6664" width="13.140625" style="53" bestFit="1" customWidth="1"/>
    <col min="6665" max="6665" width="11.85546875" style="53" bestFit="1" customWidth="1"/>
    <col min="6666" max="6666" width="12.85546875" style="53" bestFit="1" customWidth="1"/>
    <col min="6667" max="6912" width="9.140625" style="53"/>
    <col min="6913" max="6913" width="9.28515625" style="53" customWidth="1"/>
    <col min="6914" max="6914" width="39.85546875" style="53" customWidth="1"/>
    <col min="6915" max="6915" width="18.28515625" style="53" customWidth="1"/>
    <col min="6916" max="6916" width="23.85546875" style="53" customWidth="1"/>
    <col min="6917" max="6917" width="16" style="53" bestFit="1" customWidth="1"/>
    <col min="6918" max="6918" width="13.7109375" style="53" bestFit="1" customWidth="1"/>
    <col min="6919" max="6919" width="15.7109375" style="53" bestFit="1" customWidth="1"/>
    <col min="6920" max="6920" width="13.140625" style="53" bestFit="1" customWidth="1"/>
    <col min="6921" max="6921" width="11.85546875" style="53" bestFit="1" customWidth="1"/>
    <col min="6922" max="6922" width="12.85546875" style="53" bestFit="1" customWidth="1"/>
    <col min="6923" max="7168" width="9.140625" style="53"/>
    <col min="7169" max="7169" width="9.28515625" style="53" customWidth="1"/>
    <col min="7170" max="7170" width="39.85546875" style="53" customWidth="1"/>
    <col min="7171" max="7171" width="18.28515625" style="53" customWidth="1"/>
    <col min="7172" max="7172" width="23.85546875" style="53" customWidth="1"/>
    <col min="7173" max="7173" width="16" style="53" bestFit="1" customWidth="1"/>
    <col min="7174" max="7174" width="13.7109375" style="53" bestFit="1" customWidth="1"/>
    <col min="7175" max="7175" width="15.7109375" style="53" bestFit="1" customWidth="1"/>
    <col min="7176" max="7176" width="13.140625" style="53" bestFit="1" customWidth="1"/>
    <col min="7177" max="7177" width="11.85546875" style="53" bestFit="1" customWidth="1"/>
    <col min="7178" max="7178" width="12.85546875" style="53" bestFit="1" customWidth="1"/>
    <col min="7179" max="7424" width="9.140625" style="53"/>
    <col min="7425" max="7425" width="9.28515625" style="53" customWidth="1"/>
    <col min="7426" max="7426" width="39.85546875" style="53" customWidth="1"/>
    <col min="7427" max="7427" width="18.28515625" style="53" customWidth="1"/>
    <col min="7428" max="7428" width="23.85546875" style="53" customWidth="1"/>
    <col min="7429" max="7429" width="16" style="53" bestFit="1" customWidth="1"/>
    <col min="7430" max="7430" width="13.7109375" style="53" bestFit="1" customWidth="1"/>
    <col min="7431" max="7431" width="15.7109375" style="53" bestFit="1" customWidth="1"/>
    <col min="7432" max="7432" width="13.140625" style="53" bestFit="1" customWidth="1"/>
    <col min="7433" max="7433" width="11.85546875" style="53" bestFit="1" customWidth="1"/>
    <col min="7434" max="7434" width="12.85546875" style="53" bestFit="1" customWidth="1"/>
    <col min="7435" max="7680" width="9.140625" style="53"/>
    <col min="7681" max="7681" width="9.28515625" style="53" customWidth="1"/>
    <col min="7682" max="7682" width="39.85546875" style="53" customWidth="1"/>
    <col min="7683" max="7683" width="18.28515625" style="53" customWidth="1"/>
    <col min="7684" max="7684" width="23.85546875" style="53" customWidth="1"/>
    <col min="7685" max="7685" width="16" style="53" bestFit="1" customWidth="1"/>
    <col min="7686" max="7686" width="13.7109375" style="53" bestFit="1" customWidth="1"/>
    <col min="7687" max="7687" width="15.7109375" style="53" bestFit="1" customWidth="1"/>
    <col min="7688" max="7688" width="13.140625" style="53" bestFit="1" customWidth="1"/>
    <col min="7689" max="7689" width="11.85546875" style="53" bestFit="1" customWidth="1"/>
    <col min="7690" max="7690" width="12.85546875" style="53" bestFit="1" customWidth="1"/>
    <col min="7691" max="7936" width="9.140625" style="53"/>
    <col min="7937" max="7937" width="9.28515625" style="53" customWidth="1"/>
    <col min="7938" max="7938" width="39.85546875" style="53" customWidth="1"/>
    <col min="7939" max="7939" width="18.28515625" style="53" customWidth="1"/>
    <col min="7940" max="7940" width="23.85546875" style="53" customWidth="1"/>
    <col min="7941" max="7941" width="16" style="53" bestFit="1" customWidth="1"/>
    <col min="7942" max="7942" width="13.7109375" style="53" bestFit="1" customWidth="1"/>
    <col min="7943" max="7943" width="15.7109375" style="53" bestFit="1" customWidth="1"/>
    <col min="7944" max="7944" width="13.140625" style="53" bestFit="1" customWidth="1"/>
    <col min="7945" max="7945" width="11.85546875" style="53" bestFit="1" customWidth="1"/>
    <col min="7946" max="7946" width="12.85546875" style="53" bestFit="1" customWidth="1"/>
    <col min="7947" max="8192" width="9.140625" style="53"/>
    <col min="8193" max="8193" width="9.28515625" style="53" customWidth="1"/>
    <col min="8194" max="8194" width="39.85546875" style="53" customWidth="1"/>
    <col min="8195" max="8195" width="18.28515625" style="53" customWidth="1"/>
    <col min="8196" max="8196" width="23.85546875" style="53" customWidth="1"/>
    <col min="8197" max="8197" width="16" style="53" bestFit="1" customWidth="1"/>
    <col min="8198" max="8198" width="13.7109375" style="53" bestFit="1" customWidth="1"/>
    <col min="8199" max="8199" width="15.7109375" style="53" bestFit="1" customWidth="1"/>
    <col min="8200" max="8200" width="13.140625" style="53" bestFit="1" customWidth="1"/>
    <col min="8201" max="8201" width="11.85546875" style="53" bestFit="1" customWidth="1"/>
    <col min="8202" max="8202" width="12.85546875" style="53" bestFit="1" customWidth="1"/>
    <col min="8203" max="8448" width="9.140625" style="53"/>
    <col min="8449" max="8449" width="9.28515625" style="53" customWidth="1"/>
    <col min="8450" max="8450" width="39.85546875" style="53" customWidth="1"/>
    <col min="8451" max="8451" width="18.28515625" style="53" customWidth="1"/>
    <col min="8452" max="8452" width="23.85546875" style="53" customWidth="1"/>
    <col min="8453" max="8453" width="16" style="53" bestFit="1" customWidth="1"/>
    <col min="8454" max="8454" width="13.7109375" style="53" bestFit="1" customWidth="1"/>
    <col min="8455" max="8455" width="15.7109375" style="53" bestFit="1" customWidth="1"/>
    <col min="8456" max="8456" width="13.140625" style="53" bestFit="1" customWidth="1"/>
    <col min="8457" max="8457" width="11.85546875" style="53" bestFit="1" customWidth="1"/>
    <col min="8458" max="8458" width="12.85546875" style="53" bestFit="1" customWidth="1"/>
    <col min="8459" max="8704" width="9.140625" style="53"/>
    <col min="8705" max="8705" width="9.28515625" style="53" customWidth="1"/>
    <col min="8706" max="8706" width="39.85546875" style="53" customWidth="1"/>
    <col min="8707" max="8707" width="18.28515625" style="53" customWidth="1"/>
    <col min="8708" max="8708" width="23.85546875" style="53" customWidth="1"/>
    <col min="8709" max="8709" width="16" style="53" bestFit="1" customWidth="1"/>
    <col min="8710" max="8710" width="13.7109375" style="53" bestFit="1" customWidth="1"/>
    <col min="8711" max="8711" width="15.7109375" style="53" bestFit="1" customWidth="1"/>
    <col min="8712" max="8712" width="13.140625" style="53" bestFit="1" customWidth="1"/>
    <col min="8713" max="8713" width="11.85546875" style="53" bestFit="1" customWidth="1"/>
    <col min="8714" max="8714" width="12.85546875" style="53" bestFit="1" customWidth="1"/>
    <col min="8715" max="8960" width="9.140625" style="53"/>
    <col min="8961" max="8961" width="9.28515625" style="53" customWidth="1"/>
    <col min="8962" max="8962" width="39.85546875" style="53" customWidth="1"/>
    <col min="8963" max="8963" width="18.28515625" style="53" customWidth="1"/>
    <col min="8964" max="8964" width="23.85546875" style="53" customWidth="1"/>
    <col min="8965" max="8965" width="16" style="53" bestFit="1" customWidth="1"/>
    <col min="8966" max="8966" width="13.7109375" style="53" bestFit="1" customWidth="1"/>
    <col min="8967" max="8967" width="15.7109375" style="53" bestFit="1" customWidth="1"/>
    <col min="8968" max="8968" width="13.140625" style="53" bestFit="1" customWidth="1"/>
    <col min="8969" max="8969" width="11.85546875" style="53" bestFit="1" customWidth="1"/>
    <col min="8970" max="8970" width="12.85546875" style="53" bestFit="1" customWidth="1"/>
    <col min="8971" max="9216" width="9.140625" style="53"/>
    <col min="9217" max="9217" width="9.28515625" style="53" customWidth="1"/>
    <col min="9218" max="9218" width="39.85546875" style="53" customWidth="1"/>
    <col min="9219" max="9219" width="18.28515625" style="53" customWidth="1"/>
    <col min="9220" max="9220" width="23.85546875" style="53" customWidth="1"/>
    <col min="9221" max="9221" width="16" style="53" bestFit="1" customWidth="1"/>
    <col min="9222" max="9222" width="13.7109375" style="53" bestFit="1" customWidth="1"/>
    <col min="9223" max="9223" width="15.7109375" style="53" bestFit="1" customWidth="1"/>
    <col min="9224" max="9224" width="13.140625" style="53" bestFit="1" customWidth="1"/>
    <col min="9225" max="9225" width="11.85546875" style="53" bestFit="1" customWidth="1"/>
    <col min="9226" max="9226" width="12.85546875" style="53" bestFit="1" customWidth="1"/>
    <col min="9227" max="9472" width="9.140625" style="53"/>
    <col min="9473" max="9473" width="9.28515625" style="53" customWidth="1"/>
    <col min="9474" max="9474" width="39.85546875" style="53" customWidth="1"/>
    <col min="9475" max="9475" width="18.28515625" style="53" customWidth="1"/>
    <col min="9476" max="9476" width="23.85546875" style="53" customWidth="1"/>
    <col min="9477" max="9477" width="16" style="53" bestFit="1" customWidth="1"/>
    <col min="9478" max="9478" width="13.7109375" style="53" bestFit="1" customWidth="1"/>
    <col min="9479" max="9479" width="15.7109375" style="53" bestFit="1" customWidth="1"/>
    <col min="9480" max="9480" width="13.140625" style="53" bestFit="1" customWidth="1"/>
    <col min="9481" max="9481" width="11.85546875" style="53" bestFit="1" customWidth="1"/>
    <col min="9482" max="9482" width="12.85546875" style="53" bestFit="1" customWidth="1"/>
    <col min="9483" max="9728" width="9.140625" style="53"/>
    <col min="9729" max="9729" width="9.28515625" style="53" customWidth="1"/>
    <col min="9730" max="9730" width="39.85546875" style="53" customWidth="1"/>
    <col min="9731" max="9731" width="18.28515625" style="53" customWidth="1"/>
    <col min="9732" max="9732" width="23.85546875" style="53" customWidth="1"/>
    <col min="9733" max="9733" width="16" style="53" bestFit="1" customWidth="1"/>
    <col min="9734" max="9734" width="13.7109375" style="53" bestFit="1" customWidth="1"/>
    <col min="9735" max="9735" width="15.7109375" style="53" bestFit="1" customWidth="1"/>
    <col min="9736" max="9736" width="13.140625" style="53" bestFit="1" customWidth="1"/>
    <col min="9737" max="9737" width="11.85546875" style="53" bestFit="1" customWidth="1"/>
    <col min="9738" max="9738" width="12.85546875" style="53" bestFit="1" customWidth="1"/>
    <col min="9739" max="9984" width="9.140625" style="53"/>
    <col min="9985" max="9985" width="9.28515625" style="53" customWidth="1"/>
    <col min="9986" max="9986" width="39.85546875" style="53" customWidth="1"/>
    <col min="9987" max="9987" width="18.28515625" style="53" customWidth="1"/>
    <col min="9988" max="9988" width="23.85546875" style="53" customWidth="1"/>
    <col min="9989" max="9989" width="16" style="53" bestFit="1" customWidth="1"/>
    <col min="9990" max="9990" width="13.7109375" style="53" bestFit="1" customWidth="1"/>
    <col min="9991" max="9991" width="15.7109375" style="53" bestFit="1" customWidth="1"/>
    <col min="9992" max="9992" width="13.140625" style="53" bestFit="1" customWidth="1"/>
    <col min="9993" max="9993" width="11.85546875" style="53" bestFit="1" customWidth="1"/>
    <col min="9994" max="9994" width="12.85546875" style="53" bestFit="1" customWidth="1"/>
    <col min="9995" max="10240" width="9.140625" style="53"/>
    <col min="10241" max="10241" width="9.28515625" style="53" customWidth="1"/>
    <col min="10242" max="10242" width="39.85546875" style="53" customWidth="1"/>
    <col min="10243" max="10243" width="18.28515625" style="53" customWidth="1"/>
    <col min="10244" max="10244" width="23.85546875" style="53" customWidth="1"/>
    <col min="10245" max="10245" width="16" style="53" bestFit="1" customWidth="1"/>
    <col min="10246" max="10246" width="13.7109375" style="53" bestFit="1" customWidth="1"/>
    <col min="10247" max="10247" width="15.7109375" style="53" bestFit="1" customWidth="1"/>
    <col min="10248" max="10248" width="13.140625" style="53" bestFit="1" customWidth="1"/>
    <col min="10249" max="10249" width="11.85546875" style="53" bestFit="1" customWidth="1"/>
    <col min="10250" max="10250" width="12.85546875" style="53" bestFit="1" customWidth="1"/>
    <col min="10251" max="10496" width="9.140625" style="53"/>
    <col min="10497" max="10497" width="9.28515625" style="53" customWidth="1"/>
    <col min="10498" max="10498" width="39.85546875" style="53" customWidth="1"/>
    <col min="10499" max="10499" width="18.28515625" style="53" customWidth="1"/>
    <col min="10500" max="10500" width="23.85546875" style="53" customWidth="1"/>
    <col min="10501" max="10501" width="16" style="53" bestFit="1" customWidth="1"/>
    <col min="10502" max="10502" width="13.7109375" style="53" bestFit="1" customWidth="1"/>
    <col min="10503" max="10503" width="15.7109375" style="53" bestFit="1" customWidth="1"/>
    <col min="10504" max="10504" width="13.140625" style="53" bestFit="1" customWidth="1"/>
    <col min="10505" max="10505" width="11.85546875" style="53" bestFit="1" customWidth="1"/>
    <col min="10506" max="10506" width="12.85546875" style="53" bestFit="1" customWidth="1"/>
    <col min="10507" max="10752" width="9.140625" style="53"/>
    <col min="10753" max="10753" width="9.28515625" style="53" customWidth="1"/>
    <col min="10754" max="10754" width="39.85546875" style="53" customWidth="1"/>
    <col min="10755" max="10755" width="18.28515625" style="53" customWidth="1"/>
    <col min="10756" max="10756" width="23.85546875" style="53" customWidth="1"/>
    <col min="10757" max="10757" width="16" style="53" bestFit="1" customWidth="1"/>
    <col min="10758" max="10758" width="13.7109375" style="53" bestFit="1" customWidth="1"/>
    <col min="10759" max="10759" width="15.7109375" style="53" bestFit="1" customWidth="1"/>
    <col min="10760" max="10760" width="13.140625" style="53" bestFit="1" customWidth="1"/>
    <col min="10761" max="10761" width="11.85546875" style="53" bestFit="1" customWidth="1"/>
    <col min="10762" max="10762" width="12.85546875" style="53" bestFit="1" customWidth="1"/>
    <col min="10763" max="11008" width="9.140625" style="53"/>
    <col min="11009" max="11009" width="9.28515625" style="53" customWidth="1"/>
    <col min="11010" max="11010" width="39.85546875" style="53" customWidth="1"/>
    <col min="11011" max="11011" width="18.28515625" style="53" customWidth="1"/>
    <col min="11012" max="11012" width="23.85546875" style="53" customWidth="1"/>
    <col min="11013" max="11013" width="16" style="53" bestFit="1" customWidth="1"/>
    <col min="11014" max="11014" width="13.7109375" style="53" bestFit="1" customWidth="1"/>
    <col min="11015" max="11015" width="15.7109375" style="53" bestFit="1" customWidth="1"/>
    <col min="11016" max="11016" width="13.140625" style="53" bestFit="1" customWidth="1"/>
    <col min="11017" max="11017" width="11.85546875" style="53" bestFit="1" customWidth="1"/>
    <col min="11018" max="11018" width="12.85546875" style="53" bestFit="1" customWidth="1"/>
    <col min="11019" max="11264" width="9.140625" style="53"/>
    <col min="11265" max="11265" width="9.28515625" style="53" customWidth="1"/>
    <col min="11266" max="11266" width="39.85546875" style="53" customWidth="1"/>
    <col min="11267" max="11267" width="18.28515625" style="53" customWidth="1"/>
    <col min="11268" max="11268" width="23.85546875" style="53" customWidth="1"/>
    <col min="11269" max="11269" width="16" style="53" bestFit="1" customWidth="1"/>
    <col min="11270" max="11270" width="13.7109375" style="53" bestFit="1" customWidth="1"/>
    <col min="11271" max="11271" width="15.7109375" style="53" bestFit="1" customWidth="1"/>
    <col min="11272" max="11272" width="13.140625" style="53" bestFit="1" customWidth="1"/>
    <col min="11273" max="11273" width="11.85546875" style="53" bestFit="1" customWidth="1"/>
    <col min="11274" max="11274" width="12.85546875" style="53" bestFit="1" customWidth="1"/>
    <col min="11275" max="11520" width="9.140625" style="53"/>
    <col min="11521" max="11521" width="9.28515625" style="53" customWidth="1"/>
    <col min="11522" max="11522" width="39.85546875" style="53" customWidth="1"/>
    <col min="11523" max="11523" width="18.28515625" style="53" customWidth="1"/>
    <col min="11524" max="11524" width="23.85546875" style="53" customWidth="1"/>
    <col min="11525" max="11525" width="16" style="53" bestFit="1" customWidth="1"/>
    <col min="11526" max="11526" width="13.7109375" style="53" bestFit="1" customWidth="1"/>
    <col min="11527" max="11527" width="15.7109375" style="53" bestFit="1" customWidth="1"/>
    <col min="11528" max="11528" width="13.140625" style="53" bestFit="1" customWidth="1"/>
    <col min="11529" max="11529" width="11.85546875" style="53" bestFit="1" customWidth="1"/>
    <col min="11530" max="11530" width="12.85546875" style="53" bestFit="1" customWidth="1"/>
    <col min="11531" max="11776" width="9.140625" style="53"/>
    <col min="11777" max="11777" width="9.28515625" style="53" customWidth="1"/>
    <col min="11778" max="11778" width="39.85546875" style="53" customWidth="1"/>
    <col min="11779" max="11779" width="18.28515625" style="53" customWidth="1"/>
    <col min="11780" max="11780" width="23.85546875" style="53" customWidth="1"/>
    <col min="11781" max="11781" width="16" style="53" bestFit="1" customWidth="1"/>
    <col min="11782" max="11782" width="13.7109375" style="53" bestFit="1" customWidth="1"/>
    <col min="11783" max="11783" width="15.7109375" style="53" bestFit="1" customWidth="1"/>
    <col min="11784" max="11784" width="13.140625" style="53" bestFit="1" customWidth="1"/>
    <col min="11785" max="11785" width="11.85546875" style="53" bestFit="1" customWidth="1"/>
    <col min="11786" max="11786" width="12.85546875" style="53" bestFit="1" customWidth="1"/>
    <col min="11787" max="12032" width="9.140625" style="53"/>
    <col min="12033" max="12033" width="9.28515625" style="53" customWidth="1"/>
    <col min="12034" max="12034" width="39.85546875" style="53" customWidth="1"/>
    <col min="12035" max="12035" width="18.28515625" style="53" customWidth="1"/>
    <col min="12036" max="12036" width="23.85546875" style="53" customWidth="1"/>
    <col min="12037" max="12037" width="16" style="53" bestFit="1" customWidth="1"/>
    <col min="12038" max="12038" width="13.7109375" style="53" bestFit="1" customWidth="1"/>
    <col min="12039" max="12039" width="15.7109375" style="53" bestFit="1" customWidth="1"/>
    <col min="12040" max="12040" width="13.140625" style="53" bestFit="1" customWidth="1"/>
    <col min="12041" max="12041" width="11.85546875" style="53" bestFit="1" customWidth="1"/>
    <col min="12042" max="12042" width="12.85546875" style="53" bestFit="1" customWidth="1"/>
    <col min="12043" max="12288" width="9.140625" style="53"/>
    <col min="12289" max="12289" width="9.28515625" style="53" customWidth="1"/>
    <col min="12290" max="12290" width="39.85546875" style="53" customWidth="1"/>
    <col min="12291" max="12291" width="18.28515625" style="53" customWidth="1"/>
    <col min="12292" max="12292" width="23.85546875" style="53" customWidth="1"/>
    <col min="12293" max="12293" width="16" style="53" bestFit="1" customWidth="1"/>
    <col min="12294" max="12294" width="13.7109375" style="53" bestFit="1" customWidth="1"/>
    <col min="12295" max="12295" width="15.7109375" style="53" bestFit="1" customWidth="1"/>
    <col min="12296" max="12296" width="13.140625" style="53" bestFit="1" customWidth="1"/>
    <col min="12297" max="12297" width="11.85546875" style="53" bestFit="1" customWidth="1"/>
    <col min="12298" max="12298" width="12.85546875" style="53" bestFit="1" customWidth="1"/>
    <col min="12299" max="12544" width="9.140625" style="53"/>
    <col min="12545" max="12545" width="9.28515625" style="53" customWidth="1"/>
    <col min="12546" max="12546" width="39.85546875" style="53" customWidth="1"/>
    <col min="12547" max="12547" width="18.28515625" style="53" customWidth="1"/>
    <col min="12548" max="12548" width="23.85546875" style="53" customWidth="1"/>
    <col min="12549" max="12549" width="16" style="53" bestFit="1" customWidth="1"/>
    <col min="12550" max="12550" width="13.7109375" style="53" bestFit="1" customWidth="1"/>
    <col min="12551" max="12551" width="15.7109375" style="53" bestFit="1" customWidth="1"/>
    <col min="12552" max="12552" width="13.140625" style="53" bestFit="1" customWidth="1"/>
    <col min="12553" max="12553" width="11.85546875" style="53" bestFit="1" customWidth="1"/>
    <col min="12554" max="12554" width="12.85546875" style="53" bestFit="1" customWidth="1"/>
    <col min="12555" max="12800" width="9.140625" style="53"/>
    <col min="12801" max="12801" width="9.28515625" style="53" customWidth="1"/>
    <col min="12802" max="12802" width="39.85546875" style="53" customWidth="1"/>
    <col min="12803" max="12803" width="18.28515625" style="53" customWidth="1"/>
    <col min="12804" max="12804" width="23.85546875" style="53" customWidth="1"/>
    <col min="12805" max="12805" width="16" style="53" bestFit="1" customWidth="1"/>
    <col min="12806" max="12806" width="13.7109375" style="53" bestFit="1" customWidth="1"/>
    <col min="12807" max="12807" width="15.7109375" style="53" bestFit="1" customWidth="1"/>
    <col min="12808" max="12808" width="13.140625" style="53" bestFit="1" customWidth="1"/>
    <col min="12809" max="12809" width="11.85546875" style="53" bestFit="1" customWidth="1"/>
    <col min="12810" max="12810" width="12.85546875" style="53" bestFit="1" customWidth="1"/>
    <col min="12811" max="13056" width="9.140625" style="53"/>
    <col min="13057" max="13057" width="9.28515625" style="53" customWidth="1"/>
    <col min="13058" max="13058" width="39.85546875" style="53" customWidth="1"/>
    <col min="13059" max="13059" width="18.28515625" style="53" customWidth="1"/>
    <col min="13060" max="13060" width="23.85546875" style="53" customWidth="1"/>
    <col min="13061" max="13061" width="16" style="53" bestFit="1" customWidth="1"/>
    <col min="13062" max="13062" width="13.7109375" style="53" bestFit="1" customWidth="1"/>
    <col min="13063" max="13063" width="15.7109375" style="53" bestFit="1" customWidth="1"/>
    <col min="13064" max="13064" width="13.140625" style="53" bestFit="1" customWidth="1"/>
    <col min="13065" max="13065" width="11.85546875" style="53" bestFit="1" customWidth="1"/>
    <col min="13066" max="13066" width="12.85546875" style="53" bestFit="1" customWidth="1"/>
    <col min="13067" max="13312" width="9.140625" style="53"/>
    <col min="13313" max="13313" width="9.28515625" style="53" customWidth="1"/>
    <col min="13314" max="13314" width="39.85546875" style="53" customWidth="1"/>
    <col min="13315" max="13315" width="18.28515625" style="53" customWidth="1"/>
    <col min="13316" max="13316" width="23.85546875" style="53" customWidth="1"/>
    <col min="13317" max="13317" width="16" style="53" bestFit="1" customWidth="1"/>
    <col min="13318" max="13318" width="13.7109375" style="53" bestFit="1" customWidth="1"/>
    <col min="13319" max="13319" width="15.7109375" style="53" bestFit="1" customWidth="1"/>
    <col min="13320" max="13320" width="13.140625" style="53" bestFit="1" customWidth="1"/>
    <col min="13321" max="13321" width="11.85546875" style="53" bestFit="1" customWidth="1"/>
    <col min="13322" max="13322" width="12.85546875" style="53" bestFit="1" customWidth="1"/>
    <col min="13323" max="13568" width="9.140625" style="53"/>
    <col min="13569" max="13569" width="9.28515625" style="53" customWidth="1"/>
    <col min="13570" max="13570" width="39.85546875" style="53" customWidth="1"/>
    <col min="13571" max="13571" width="18.28515625" style="53" customWidth="1"/>
    <col min="13572" max="13572" width="23.85546875" style="53" customWidth="1"/>
    <col min="13573" max="13573" width="16" style="53" bestFit="1" customWidth="1"/>
    <col min="13574" max="13574" width="13.7109375" style="53" bestFit="1" customWidth="1"/>
    <col min="13575" max="13575" width="15.7109375" style="53" bestFit="1" customWidth="1"/>
    <col min="13576" max="13576" width="13.140625" style="53" bestFit="1" customWidth="1"/>
    <col min="13577" max="13577" width="11.85546875" style="53" bestFit="1" customWidth="1"/>
    <col min="13578" max="13578" width="12.85546875" style="53" bestFit="1" customWidth="1"/>
    <col min="13579" max="13824" width="9.140625" style="53"/>
    <col min="13825" max="13825" width="9.28515625" style="53" customWidth="1"/>
    <col min="13826" max="13826" width="39.85546875" style="53" customWidth="1"/>
    <col min="13827" max="13827" width="18.28515625" style="53" customWidth="1"/>
    <col min="13828" max="13828" width="23.85546875" style="53" customWidth="1"/>
    <col min="13829" max="13829" width="16" style="53" bestFit="1" customWidth="1"/>
    <col min="13830" max="13830" width="13.7109375" style="53" bestFit="1" customWidth="1"/>
    <col min="13831" max="13831" width="15.7109375" style="53" bestFit="1" customWidth="1"/>
    <col min="13832" max="13832" width="13.140625" style="53" bestFit="1" customWidth="1"/>
    <col min="13833" max="13833" width="11.85546875" style="53" bestFit="1" customWidth="1"/>
    <col min="13834" max="13834" width="12.85546875" style="53" bestFit="1" customWidth="1"/>
    <col min="13835" max="14080" width="9.140625" style="53"/>
    <col min="14081" max="14081" width="9.28515625" style="53" customWidth="1"/>
    <col min="14082" max="14082" width="39.85546875" style="53" customWidth="1"/>
    <col min="14083" max="14083" width="18.28515625" style="53" customWidth="1"/>
    <col min="14084" max="14084" width="23.85546875" style="53" customWidth="1"/>
    <col min="14085" max="14085" width="16" style="53" bestFit="1" customWidth="1"/>
    <col min="14086" max="14086" width="13.7109375" style="53" bestFit="1" customWidth="1"/>
    <col min="14087" max="14087" width="15.7109375" style="53" bestFit="1" customWidth="1"/>
    <col min="14088" max="14088" width="13.140625" style="53" bestFit="1" customWidth="1"/>
    <col min="14089" max="14089" width="11.85546875" style="53" bestFit="1" customWidth="1"/>
    <col min="14090" max="14090" width="12.85546875" style="53" bestFit="1" customWidth="1"/>
    <col min="14091" max="14336" width="9.140625" style="53"/>
    <col min="14337" max="14337" width="9.28515625" style="53" customWidth="1"/>
    <col min="14338" max="14338" width="39.85546875" style="53" customWidth="1"/>
    <col min="14339" max="14339" width="18.28515625" style="53" customWidth="1"/>
    <col min="14340" max="14340" width="23.85546875" style="53" customWidth="1"/>
    <col min="14341" max="14341" width="16" style="53" bestFit="1" customWidth="1"/>
    <col min="14342" max="14342" width="13.7109375" style="53" bestFit="1" customWidth="1"/>
    <col min="14343" max="14343" width="15.7109375" style="53" bestFit="1" customWidth="1"/>
    <col min="14344" max="14344" width="13.140625" style="53" bestFit="1" customWidth="1"/>
    <col min="14345" max="14345" width="11.85546875" style="53" bestFit="1" customWidth="1"/>
    <col min="14346" max="14346" width="12.85546875" style="53" bestFit="1" customWidth="1"/>
    <col min="14347" max="14592" width="9.140625" style="53"/>
    <col min="14593" max="14593" width="9.28515625" style="53" customWidth="1"/>
    <col min="14594" max="14594" width="39.85546875" style="53" customWidth="1"/>
    <col min="14595" max="14595" width="18.28515625" style="53" customWidth="1"/>
    <col min="14596" max="14596" width="23.85546875" style="53" customWidth="1"/>
    <col min="14597" max="14597" width="16" style="53" bestFit="1" customWidth="1"/>
    <col min="14598" max="14598" width="13.7109375" style="53" bestFit="1" customWidth="1"/>
    <col min="14599" max="14599" width="15.7109375" style="53" bestFit="1" customWidth="1"/>
    <col min="14600" max="14600" width="13.140625" style="53" bestFit="1" customWidth="1"/>
    <col min="14601" max="14601" width="11.85546875" style="53" bestFit="1" customWidth="1"/>
    <col min="14602" max="14602" width="12.85546875" style="53" bestFit="1" customWidth="1"/>
    <col min="14603" max="14848" width="9.140625" style="53"/>
    <col min="14849" max="14849" width="9.28515625" style="53" customWidth="1"/>
    <col min="14850" max="14850" width="39.85546875" style="53" customWidth="1"/>
    <col min="14851" max="14851" width="18.28515625" style="53" customWidth="1"/>
    <col min="14852" max="14852" width="23.85546875" style="53" customWidth="1"/>
    <col min="14853" max="14853" width="16" style="53" bestFit="1" customWidth="1"/>
    <col min="14854" max="14854" width="13.7109375" style="53" bestFit="1" customWidth="1"/>
    <col min="14855" max="14855" width="15.7109375" style="53" bestFit="1" customWidth="1"/>
    <col min="14856" max="14856" width="13.140625" style="53" bestFit="1" customWidth="1"/>
    <col min="14857" max="14857" width="11.85546875" style="53" bestFit="1" customWidth="1"/>
    <col min="14858" max="14858" width="12.85546875" style="53" bestFit="1" customWidth="1"/>
    <col min="14859" max="15104" width="9.140625" style="53"/>
    <col min="15105" max="15105" width="9.28515625" style="53" customWidth="1"/>
    <col min="15106" max="15106" width="39.85546875" style="53" customWidth="1"/>
    <col min="15107" max="15107" width="18.28515625" style="53" customWidth="1"/>
    <col min="15108" max="15108" width="23.85546875" style="53" customWidth="1"/>
    <col min="15109" max="15109" width="16" style="53" bestFit="1" customWidth="1"/>
    <col min="15110" max="15110" width="13.7109375" style="53" bestFit="1" customWidth="1"/>
    <col min="15111" max="15111" width="15.7109375" style="53" bestFit="1" customWidth="1"/>
    <col min="15112" max="15112" width="13.140625" style="53" bestFit="1" customWidth="1"/>
    <col min="15113" max="15113" width="11.85546875" style="53" bestFit="1" customWidth="1"/>
    <col min="15114" max="15114" width="12.85546875" style="53" bestFit="1" customWidth="1"/>
    <col min="15115" max="15360" width="9.140625" style="53"/>
    <col min="15361" max="15361" width="9.28515625" style="53" customWidth="1"/>
    <col min="15362" max="15362" width="39.85546875" style="53" customWidth="1"/>
    <col min="15363" max="15363" width="18.28515625" style="53" customWidth="1"/>
    <col min="15364" max="15364" width="23.85546875" style="53" customWidth="1"/>
    <col min="15365" max="15365" width="16" style="53" bestFit="1" customWidth="1"/>
    <col min="15366" max="15366" width="13.7109375" style="53" bestFit="1" customWidth="1"/>
    <col min="15367" max="15367" width="15.7109375" style="53" bestFit="1" customWidth="1"/>
    <col min="15368" max="15368" width="13.140625" style="53" bestFit="1" customWidth="1"/>
    <col min="15369" max="15369" width="11.85546875" style="53" bestFit="1" customWidth="1"/>
    <col min="15370" max="15370" width="12.85546875" style="53" bestFit="1" customWidth="1"/>
    <col min="15371" max="15616" width="9.140625" style="53"/>
    <col min="15617" max="15617" width="9.28515625" style="53" customWidth="1"/>
    <col min="15618" max="15618" width="39.85546875" style="53" customWidth="1"/>
    <col min="15619" max="15619" width="18.28515625" style="53" customWidth="1"/>
    <col min="15620" max="15620" width="23.85546875" style="53" customWidth="1"/>
    <col min="15621" max="15621" width="16" style="53" bestFit="1" customWidth="1"/>
    <col min="15622" max="15622" width="13.7109375" style="53" bestFit="1" customWidth="1"/>
    <col min="15623" max="15623" width="15.7109375" style="53" bestFit="1" customWidth="1"/>
    <col min="15624" max="15624" width="13.140625" style="53" bestFit="1" customWidth="1"/>
    <col min="15625" max="15625" width="11.85546875" style="53" bestFit="1" customWidth="1"/>
    <col min="15626" max="15626" width="12.85546875" style="53" bestFit="1" customWidth="1"/>
    <col min="15627" max="15872" width="9.140625" style="53"/>
    <col min="15873" max="15873" width="9.28515625" style="53" customWidth="1"/>
    <col min="15874" max="15874" width="39.85546875" style="53" customWidth="1"/>
    <col min="15875" max="15875" width="18.28515625" style="53" customWidth="1"/>
    <col min="15876" max="15876" width="23.85546875" style="53" customWidth="1"/>
    <col min="15877" max="15877" width="16" style="53" bestFit="1" customWidth="1"/>
    <col min="15878" max="15878" width="13.7109375" style="53" bestFit="1" customWidth="1"/>
    <col min="15879" max="15879" width="15.7109375" style="53" bestFit="1" customWidth="1"/>
    <col min="15880" max="15880" width="13.140625" style="53" bestFit="1" customWidth="1"/>
    <col min="15881" max="15881" width="11.85546875" style="53" bestFit="1" customWidth="1"/>
    <col min="15882" max="15882" width="12.85546875" style="53" bestFit="1" customWidth="1"/>
    <col min="15883" max="16128" width="9.140625" style="53"/>
    <col min="16129" max="16129" width="9.28515625" style="53" customWidth="1"/>
    <col min="16130" max="16130" width="39.85546875" style="53" customWidth="1"/>
    <col min="16131" max="16131" width="18.28515625" style="53" customWidth="1"/>
    <col min="16132" max="16132" width="23.85546875" style="53" customWidth="1"/>
    <col min="16133" max="16133" width="16" style="53" bestFit="1" customWidth="1"/>
    <col min="16134" max="16134" width="13.7109375" style="53" bestFit="1" customWidth="1"/>
    <col min="16135" max="16135" width="15.7109375" style="53" bestFit="1" customWidth="1"/>
    <col min="16136" max="16136" width="13.140625" style="53" bestFit="1" customWidth="1"/>
    <col min="16137" max="16137" width="11.85546875" style="53" bestFit="1" customWidth="1"/>
    <col min="16138" max="16138" width="12.85546875" style="53" bestFit="1" customWidth="1"/>
    <col min="16139" max="16384" width="9.140625" style="53"/>
  </cols>
  <sheetData>
    <row r="3" spans="1:7" ht="15.75" customHeight="1">
      <c r="A3" s="543" t="s">
        <v>255</v>
      </c>
      <c r="B3" s="543"/>
      <c r="C3" s="543"/>
      <c r="D3" s="543"/>
      <c r="E3" s="52"/>
      <c r="F3" s="52"/>
      <c r="G3" s="52"/>
    </row>
    <row r="4" spans="1:7">
      <c r="A4" s="543"/>
      <c r="B4" s="543"/>
      <c r="C4" s="543"/>
      <c r="D4" s="543"/>
      <c r="E4" s="52"/>
      <c r="F4" s="52"/>
      <c r="G4" s="52"/>
    </row>
    <row r="5" spans="1:7">
      <c r="A5" s="54"/>
      <c r="B5" s="52"/>
      <c r="C5" s="52"/>
      <c r="D5" s="52"/>
      <c r="E5" s="52"/>
      <c r="F5" s="52"/>
      <c r="G5" s="52"/>
    </row>
    <row r="6" spans="1:7" ht="15.75" customHeight="1">
      <c r="A6" s="544" t="s">
        <v>550</v>
      </c>
      <c r="B6" s="544"/>
      <c r="C6" s="544"/>
      <c r="D6" s="544"/>
      <c r="E6" s="52"/>
      <c r="F6" s="52"/>
      <c r="G6" s="52"/>
    </row>
    <row r="7" spans="1:7">
      <c r="A7" s="522"/>
      <c r="B7" s="522"/>
      <c r="C7" s="522"/>
      <c r="D7" s="522"/>
    </row>
    <row r="8" spans="1:7">
      <c r="A8" s="237" t="s">
        <v>551</v>
      </c>
      <c r="B8" s="238"/>
      <c r="C8" s="187"/>
      <c r="D8" s="187"/>
    </row>
    <row r="9" spans="1:7">
      <c r="A9" s="522"/>
      <c r="B9" s="522"/>
      <c r="C9" s="522"/>
      <c r="D9" s="522"/>
    </row>
    <row r="10" spans="1:7">
      <c r="A10" s="57" t="s">
        <v>256</v>
      </c>
      <c r="B10" s="188"/>
      <c r="C10" s="187"/>
      <c r="D10" s="187"/>
    </row>
    <row r="11" spans="1:7">
      <c r="A11" s="59" t="s">
        <v>257</v>
      </c>
      <c r="B11" s="541" t="s">
        <v>258</v>
      </c>
      <c r="C11" s="542"/>
      <c r="D11" s="239">
        <v>42550</v>
      </c>
    </row>
    <row r="12" spans="1:7">
      <c r="A12" s="59" t="s">
        <v>259</v>
      </c>
      <c r="B12" s="62" t="s">
        <v>260</v>
      </c>
      <c r="C12" s="63"/>
      <c r="D12" s="240" t="s">
        <v>374</v>
      </c>
    </row>
    <row r="13" spans="1:7">
      <c r="A13" s="59" t="s">
        <v>261</v>
      </c>
      <c r="B13" s="541" t="s">
        <v>262</v>
      </c>
      <c r="C13" s="542"/>
      <c r="D13" s="240">
        <v>2016</v>
      </c>
    </row>
    <row r="14" spans="1:7">
      <c r="A14" s="64" t="s">
        <v>263</v>
      </c>
      <c r="B14" s="65" t="s">
        <v>555</v>
      </c>
      <c r="C14" s="66"/>
      <c r="D14" s="239">
        <v>42625</v>
      </c>
    </row>
    <row r="16" spans="1:7">
      <c r="A16" s="190"/>
    </row>
    <row r="17" spans="1:7">
      <c r="A17" s="523"/>
      <c r="B17" s="523"/>
      <c r="C17" s="523"/>
      <c r="D17" s="523"/>
      <c r="E17" s="523"/>
      <c r="F17" s="523"/>
      <c r="G17" s="523"/>
    </row>
    <row r="18" spans="1:7" ht="35.25" customHeight="1">
      <c r="A18" s="545" t="s">
        <v>264</v>
      </c>
      <c r="B18" s="545"/>
      <c r="C18" s="67" t="s">
        <v>265</v>
      </c>
      <c r="D18" s="67" t="s">
        <v>266</v>
      </c>
    </row>
    <row r="19" spans="1:7">
      <c r="A19" s="241">
        <v>1</v>
      </c>
      <c r="B19" s="242" t="s">
        <v>560</v>
      </c>
      <c r="C19" s="241" t="s">
        <v>267</v>
      </c>
      <c r="D19" s="243">
        <v>3</v>
      </c>
    </row>
    <row r="20" spans="1:7">
      <c r="A20" s="68"/>
      <c r="B20" s="69"/>
      <c r="C20" s="68"/>
      <c r="D20" s="70"/>
    </row>
    <row r="21" spans="1:7">
      <c r="A21" s="522" t="s">
        <v>268</v>
      </c>
      <c r="B21" s="522"/>
      <c r="C21" s="522"/>
      <c r="D21" s="522"/>
      <c r="E21" s="522"/>
      <c r="F21" s="522"/>
      <c r="G21" s="522"/>
    </row>
    <row r="22" spans="1:7">
      <c r="A22" s="71"/>
    </row>
    <row r="23" spans="1:7">
      <c r="A23" s="57" t="s">
        <v>269</v>
      </c>
    </row>
    <row r="24" spans="1:7">
      <c r="A24" s="57" t="s">
        <v>270</v>
      </c>
    </row>
    <row r="25" spans="1:7">
      <c r="A25" s="72" t="s">
        <v>271</v>
      </c>
      <c r="B25" s="60"/>
      <c r="C25" s="60"/>
      <c r="D25" s="61"/>
    </row>
    <row r="26" spans="1:7" ht="40.5" customHeight="1">
      <c r="A26" s="73">
        <v>1</v>
      </c>
      <c r="B26" s="74" t="s">
        <v>272</v>
      </c>
      <c r="C26" s="74"/>
      <c r="D26" s="244" t="str">
        <f>B19</f>
        <v>OPERADOR DE MAQUINA</v>
      </c>
    </row>
    <row r="27" spans="1:7" ht="30.75" customHeight="1">
      <c r="A27" s="73">
        <v>2</v>
      </c>
      <c r="B27" s="539" t="s">
        <v>273</v>
      </c>
      <c r="C27" s="540"/>
      <c r="D27" s="175">
        <v>1393</v>
      </c>
    </row>
    <row r="28" spans="1:7" ht="31.5" customHeight="1">
      <c r="A28" s="73">
        <v>3</v>
      </c>
      <c r="B28" s="539" t="s">
        <v>274</v>
      </c>
      <c r="C28" s="540"/>
      <c r="D28" s="176" t="s">
        <v>375</v>
      </c>
    </row>
    <row r="29" spans="1:7">
      <c r="A29" s="75">
        <v>4</v>
      </c>
      <c r="B29" s="76" t="s">
        <v>275</v>
      </c>
      <c r="C29" s="76"/>
      <c r="D29" s="77">
        <v>42401</v>
      </c>
    </row>
    <row r="30" spans="1:7">
      <c r="A30" s="71"/>
    </row>
    <row r="31" spans="1:7">
      <c r="A31" s="71"/>
    </row>
    <row r="32" spans="1:7">
      <c r="A32" s="71"/>
    </row>
    <row r="33" spans="1:7" ht="16.5" customHeight="1" thickBot="1">
      <c r="A33" s="523" t="s">
        <v>276</v>
      </c>
      <c r="B33" s="523"/>
      <c r="C33" s="523"/>
      <c r="D33" s="523"/>
      <c r="E33" s="523"/>
      <c r="F33" s="52"/>
      <c r="G33" s="52"/>
    </row>
    <row r="34" spans="1:7" ht="16.5" thickBot="1">
      <c r="A34" s="78" t="s">
        <v>277</v>
      </c>
      <c r="B34" s="79" t="s">
        <v>278</v>
      </c>
      <c r="C34" s="80"/>
      <c r="D34" s="81" t="s">
        <v>279</v>
      </c>
    </row>
    <row r="35" spans="1:7">
      <c r="A35" s="82" t="s">
        <v>257</v>
      </c>
      <c r="B35" s="83" t="s">
        <v>280</v>
      </c>
      <c r="C35" s="84"/>
      <c r="D35" s="85">
        <f>ROUND(((D27/220)*(365.25/12)*(40/6)),2)</f>
        <v>1284.83</v>
      </c>
    </row>
    <row r="36" spans="1:7">
      <c r="A36" s="191" t="s">
        <v>259</v>
      </c>
      <c r="B36" s="87" t="s">
        <v>281</v>
      </c>
      <c r="C36" s="88"/>
      <c r="D36" s="89">
        <v>0</v>
      </c>
    </row>
    <row r="37" spans="1:7">
      <c r="A37" s="191" t="s">
        <v>261</v>
      </c>
      <c r="B37" s="87" t="s">
        <v>282</v>
      </c>
      <c r="C37" s="90"/>
      <c r="D37" s="89">
        <v>0</v>
      </c>
    </row>
    <row r="38" spans="1:7">
      <c r="A38" s="191" t="s">
        <v>263</v>
      </c>
      <c r="B38" s="91" t="s">
        <v>552</v>
      </c>
      <c r="C38" s="88"/>
      <c r="D38" s="89">
        <v>0</v>
      </c>
    </row>
    <row r="39" spans="1:7">
      <c r="A39" s="191" t="s">
        <v>284</v>
      </c>
      <c r="B39" s="91" t="s">
        <v>285</v>
      </c>
      <c r="C39" s="92"/>
      <c r="D39" s="89">
        <v>0</v>
      </c>
    </row>
    <row r="40" spans="1:7">
      <c r="A40" s="191" t="s">
        <v>286</v>
      </c>
      <c r="B40" s="93" t="s">
        <v>287</v>
      </c>
      <c r="C40" s="92"/>
      <c r="D40" s="89">
        <v>0</v>
      </c>
    </row>
    <row r="41" spans="1:7">
      <c r="A41" s="191" t="s">
        <v>288</v>
      </c>
      <c r="B41" s="93" t="s">
        <v>289</v>
      </c>
      <c r="C41" s="92"/>
      <c r="D41" s="89">
        <v>0</v>
      </c>
    </row>
    <row r="42" spans="1:7" ht="16.5" thickBot="1">
      <c r="A42" s="191" t="s">
        <v>290</v>
      </c>
      <c r="B42" s="94" t="s">
        <v>376</v>
      </c>
      <c r="C42" s="95"/>
      <c r="D42" s="89">
        <v>0</v>
      </c>
    </row>
    <row r="43" spans="1:7" ht="16.5" thickBot="1">
      <c r="A43" s="96"/>
      <c r="B43" s="97" t="s">
        <v>292</v>
      </c>
      <c r="C43" s="98"/>
      <c r="D43" s="99">
        <f>SUM(D35:D42)</f>
        <v>1284.83</v>
      </c>
    </row>
    <row r="44" spans="1:7">
      <c r="A44" s="190"/>
    </row>
    <row r="45" spans="1:7" ht="16.5" thickBot="1">
      <c r="A45" s="523" t="s">
        <v>293</v>
      </c>
      <c r="B45" s="523"/>
      <c r="C45" s="523"/>
      <c r="D45" s="523"/>
      <c r="E45" s="523"/>
      <c r="F45" s="523"/>
      <c r="G45" s="523"/>
    </row>
    <row r="46" spans="1:7" ht="16.5" thickBot="1">
      <c r="A46" s="100">
        <v>2</v>
      </c>
      <c r="B46" s="189" t="s">
        <v>294</v>
      </c>
      <c r="C46" s="102"/>
      <c r="D46" s="100" t="s">
        <v>279</v>
      </c>
    </row>
    <row r="47" spans="1:7">
      <c r="A47" s="82" t="s">
        <v>257</v>
      </c>
      <c r="B47" s="83" t="s">
        <v>295</v>
      </c>
      <c r="C47" s="103"/>
      <c r="D47" s="104">
        <f>(3.7*44)-(D35*6%)</f>
        <v>85.710200000000015</v>
      </c>
    </row>
    <row r="48" spans="1:7" ht="31.5">
      <c r="A48" s="105" t="s">
        <v>259</v>
      </c>
      <c r="B48" s="106" t="s">
        <v>296</v>
      </c>
      <c r="C48" s="90"/>
      <c r="D48" s="107">
        <f>330*(1-20%)</f>
        <v>264</v>
      </c>
    </row>
    <row r="49" spans="1:7">
      <c r="A49" s="191" t="s">
        <v>261</v>
      </c>
      <c r="B49" s="87" t="s">
        <v>389</v>
      </c>
      <c r="C49" s="90"/>
      <c r="D49" s="107">
        <v>50</v>
      </c>
    </row>
    <row r="50" spans="1:7">
      <c r="A50" s="191" t="s">
        <v>263</v>
      </c>
      <c r="B50" s="87" t="s">
        <v>297</v>
      </c>
      <c r="C50" s="88"/>
      <c r="D50" s="107">
        <v>0</v>
      </c>
    </row>
    <row r="51" spans="1:7">
      <c r="A51" s="191" t="s">
        <v>284</v>
      </c>
      <c r="B51" s="87" t="s">
        <v>390</v>
      </c>
      <c r="C51" s="92"/>
      <c r="D51" s="108">
        <v>16</v>
      </c>
    </row>
    <row r="52" spans="1:7" ht="16.5" customHeight="1">
      <c r="A52" s="191" t="s">
        <v>286</v>
      </c>
      <c r="B52" s="535" t="s">
        <v>377</v>
      </c>
      <c r="C52" s="536"/>
      <c r="D52" s="108">
        <v>16</v>
      </c>
    </row>
    <row r="53" spans="1:7" ht="16.5" thickBot="1">
      <c r="A53" s="109" t="s">
        <v>288</v>
      </c>
      <c r="B53" s="537" t="s">
        <v>291</v>
      </c>
      <c r="C53" s="538"/>
      <c r="D53" s="110">
        <v>0</v>
      </c>
    </row>
    <row r="54" spans="1:7" ht="16.5" thickBot="1">
      <c r="A54" s="111"/>
      <c r="B54" s="189" t="s">
        <v>298</v>
      </c>
      <c r="C54" s="112"/>
      <c r="D54" s="113">
        <f>SUM(D47:D53)</f>
        <v>431.71019999999999</v>
      </c>
    </row>
    <row r="55" spans="1:7" ht="33" customHeight="1">
      <c r="A55" s="522" t="s">
        <v>299</v>
      </c>
      <c r="B55" s="522"/>
      <c r="C55" s="522"/>
      <c r="D55" s="522"/>
    </row>
    <row r="56" spans="1:7">
      <c r="A56" s="190"/>
    </row>
    <row r="57" spans="1:7" ht="16.5" thickBot="1">
      <c r="A57" s="523" t="s">
        <v>300</v>
      </c>
      <c r="B57" s="523"/>
      <c r="C57" s="523"/>
      <c r="D57" s="523"/>
      <c r="E57" s="523"/>
      <c r="F57" s="523"/>
      <c r="G57" s="523"/>
    </row>
    <row r="58" spans="1:7" ht="16.5" thickBot="1">
      <c r="A58" s="114">
        <v>3</v>
      </c>
      <c r="B58" s="189" t="s">
        <v>301</v>
      </c>
      <c r="C58" s="102"/>
      <c r="D58" s="100" t="s">
        <v>279</v>
      </c>
    </row>
    <row r="59" spans="1:7">
      <c r="A59" s="82" t="s">
        <v>257</v>
      </c>
      <c r="B59" s="83" t="s">
        <v>302</v>
      </c>
      <c r="C59" s="115"/>
      <c r="D59" s="116">
        <f>'ANEXO IV'!D69</f>
        <v>43</v>
      </c>
    </row>
    <row r="60" spans="1:7">
      <c r="A60" s="105" t="s">
        <v>259</v>
      </c>
      <c r="B60" s="106" t="s">
        <v>15</v>
      </c>
      <c r="C60" s="90"/>
      <c r="D60" s="107">
        <f>Equipamentos!E7/11</f>
        <v>7.9090909090909092</v>
      </c>
    </row>
    <row r="61" spans="1:7">
      <c r="A61" s="191" t="s">
        <v>261</v>
      </c>
      <c r="B61" s="87" t="s">
        <v>21</v>
      </c>
      <c r="C61" s="90"/>
      <c r="D61" s="107">
        <v>10.84</v>
      </c>
    </row>
    <row r="62" spans="1:7">
      <c r="A62" s="191" t="s">
        <v>263</v>
      </c>
      <c r="B62" s="535" t="s">
        <v>18</v>
      </c>
      <c r="C62" s="536"/>
      <c r="D62" s="108">
        <f>Equipamentos!D140</f>
        <v>18.423333333333336</v>
      </c>
    </row>
    <row r="63" spans="1:7" ht="16.5" thickBot="1">
      <c r="A63" s="109" t="s">
        <v>284</v>
      </c>
      <c r="B63" s="537" t="s">
        <v>291</v>
      </c>
      <c r="C63" s="538"/>
      <c r="D63" s="110">
        <v>0</v>
      </c>
    </row>
    <row r="64" spans="1:7" ht="16.5" thickBot="1">
      <c r="A64" s="111"/>
      <c r="B64" s="189" t="s">
        <v>303</v>
      </c>
      <c r="C64" s="112"/>
      <c r="D64" s="113">
        <f>SUM(D59:D63)</f>
        <v>80.172424242424242</v>
      </c>
    </row>
    <row r="65" spans="1:7">
      <c r="A65" s="522" t="s">
        <v>304</v>
      </c>
      <c r="B65" s="522"/>
      <c r="C65" s="522"/>
      <c r="D65" s="522"/>
      <c r="E65" s="522"/>
      <c r="F65" s="522"/>
      <c r="G65" s="522"/>
    </row>
    <row r="66" spans="1:7">
      <c r="A66" s="190"/>
    </row>
    <row r="67" spans="1:7">
      <c r="A67" s="523" t="s">
        <v>305</v>
      </c>
      <c r="B67" s="523"/>
      <c r="C67" s="523"/>
      <c r="D67" s="523"/>
      <c r="E67" s="523"/>
      <c r="F67" s="523"/>
      <c r="G67" s="523"/>
    </row>
    <row r="68" spans="1:7" ht="16.5" thickBot="1">
      <c r="A68" s="523" t="s">
        <v>306</v>
      </c>
      <c r="B68" s="523"/>
      <c r="C68" s="523"/>
      <c r="D68" s="523"/>
      <c r="E68" s="523"/>
      <c r="F68" s="523"/>
      <c r="G68" s="523"/>
    </row>
    <row r="69" spans="1:7" ht="16.5" thickBot="1">
      <c r="A69" s="117" t="s">
        <v>307</v>
      </c>
      <c r="B69" s="118" t="s">
        <v>308</v>
      </c>
      <c r="C69" s="117" t="s">
        <v>4</v>
      </c>
      <c r="D69" s="117" t="s">
        <v>279</v>
      </c>
    </row>
    <row r="70" spans="1:7">
      <c r="A70" s="82" t="s">
        <v>257</v>
      </c>
      <c r="B70" s="119" t="s">
        <v>8</v>
      </c>
      <c r="C70" s="120">
        <v>0.2</v>
      </c>
      <c r="D70" s="104">
        <f t="shared" ref="D70:D77" si="0">ROUND($D$43*C70,2)</f>
        <v>256.97000000000003</v>
      </c>
    </row>
    <row r="71" spans="1:7">
      <c r="A71" s="105" t="s">
        <v>259</v>
      </c>
      <c r="B71" s="121" t="s">
        <v>309</v>
      </c>
      <c r="C71" s="122">
        <v>1.4999999999999999E-2</v>
      </c>
      <c r="D71" s="107">
        <f t="shared" si="0"/>
        <v>19.27</v>
      </c>
    </row>
    <row r="72" spans="1:7">
      <c r="A72" s="191" t="s">
        <v>261</v>
      </c>
      <c r="B72" s="123" t="s">
        <v>310</v>
      </c>
      <c r="C72" s="122">
        <v>0.01</v>
      </c>
      <c r="D72" s="107">
        <f t="shared" si="0"/>
        <v>12.85</v>
      </c>
    </row>
    <row r="73" spans="1:7">
      <c r="A73" s="105" t="s">
        <v>263</v>
      </c>
      <c r="B73" s="121" t="s">
        <v>9</v>
      </c>
      <c r="C73" s="122">
        <v>2E-3</v>
      </c>
      <c r="D73" s="107">
        <f t="shared" si="0"/>
        <v>2.57</v>
      </c>
    </row>
    <row r="74" spans="1:7">
      <c r="A74" s="191" t="s">
        <v>284</v>
      </c>
      <c r="B74" s="123" t="s">
        <v>10</v>
      </c>
      <c r="C74" s="122">
        <v>2.5000000000000001E-2</v>
      </c>
      <c r="D74" s="107">
        <f t="shared" si="0"/>
        <v>32.119999999999997</v>
      </c>
    </row>
    <row r="75" spans="1:7">
      <c r="A75" s="105" t="s">
        <v>286</v>
      </c>
      <c r="B75" s="121" t="s">
        <v>11</v>
      </c>
      <c r="C75" s="122">
        <v>0.08</v>
      </c>
      <c r="D75" s="107">
        <f t="shared" si="0"/>
        <v>102.79</v>
      </c>
    </row>
    <row r="76" spans="1:7" ht="31.5">
      <c r="A76" s="191" t="s">
        <v>288</v>
      </c>
      <c r="B76" s="123" t="s">
        <v>378</v>
      </c>
      <c r="C76" s="141">
        <v>3.0499999999999999E-2</v>
      </c>
      <c r="D76" s="245">
        <f t="shared" si="0"/>
        <v>39.19</v>
      </c>
    </row>
    <row r="77" spans="1:7" ht="16.5" thickBot="1">
      <c r="A77" s="124" t="s">
        <v>290</v>
      </c>
      <c r="B77" s="125" t="s">
        <v>12</v>
      </c>
      <c r="C77" s="126">
        <v>6.0000000000000001E-3</v>
      </c>
      <c r="D77" s="110">
        <f t="shared" si="0"/>
        <v>7.71</v>
      </c>
    </row>
    <row r="78" spans="1:7" ht="16.5" thickBot="1">
      <c r="A78" s="530" t="s">
        <v>7</v>
      </c>
      <c r="B78" s="531"/>
      <c r="C78" s="127">
        <f>SUM(C70:C77)</f>
        <v>0.36850000000000005</v>
      </c>
      <c r="D78" s="113">
        <f>SUM(D70:D77)</f>
        <v>473.47</v>
      </c>
    </row>
    <row r="79" spans="1:7">
      <c r="A79" s="534" t="s">
        <v>311</v>
      </c>
      <c r="B79" s="534"/>
      <c r="C79" s="534"/>
      <c r="D79" s="534"/>
    </row>
    <row r="80" spans="1:7" ht="16.5" customHeight="1">
      <c r="A80" s="534" t="s">
        <v>312</v>
      </c>
      <c r="B80" s="534"/>
      <c r="C80" s="534"/>
      <c r="D80" s="534"/>
    </row>
    <row r="81" spans="1:7">
      <c r="A81" s="190"/>
    </row>
    <row r="82" spans="1:7" ht="16.5" thickBot="1">
      <c r="A82" s="523" t="s">
        <v>313</v>
      </c>
      <c r="B82" s="523"/>
      <c r="C82" s="523"/>
      <c r="D82" s="523"/>
      <c r="E82" s="523"/>
      <c r="F82" s="523"/>
      <c r="G82" s="523"/>
    </row>
    <row r="83" spans="1:7" ht="16.5" thickBot="1">
      <c r="A83" s="117" t="s">
        <v>314</v>
      </c>
      <c r="B83" s="118" t="s">
        <v>315</v>
      </c>
      <c r="C83" s="117" t="s">
        <v>4</v>
      </c>
      <c r="D83" s="117" t="s">
        <v>279</v>
      </c>
    </row>
    <row r="84" spans="1:7">
      <c r="A84" s="82" t="s">
        <v>257</v>
      </c>
      <c r="B84" s="119" t="s">
        <v>316</v>
      </c>
      <c r="C84" s="120">
        <f>((5/56)*100)/100</f>
        <v>8.9285714285714288E-2</v>
      </c>
      <c r="D84" s="104">
        <f>ROUND($D$43*C84,2)</f>
        <v>114.72</v>
      </c>
    </row>
    <row r="85" spans="1:7">
      <c r="A85" s="105" t="s">
        <v>259</v>
      </c>
      <c r="B85" s="121" t="s">
        <v>317</v>
      </c>
      <c r="C85" s="128">
        <f>(1/3)*(5/56)</f>
        <v>2.976190476190476E-2</v>
      </c>
      <c r="D85" s="129">
        <f>ROUND($D$43*C85,2)</f>
        <v>38.24</v>
      </c>
    </row>
    <row r="86" spans="1:7">
      <c r="A86" s="130" t="s">
        <v>318</v>
      </c>
      <c r="B86" s="121"/>
      <c r="C86" s="131">
        <f>SUM(C84:C85)</f>
        <v>0.11904761904761904</v>
      </c>
      <c r="D86" s="132">
        <f>SUM(D84:D85)</f>
        <v>152.96</v>
      </c>
    </row>
    <row r="87" spans="1:7" ht="32.25" thickBot="1">
      <c r="A87" s="105" t="s">
        <v>261</v>
      </c>
      <c r="B87" s="121" t="s">
        <v>319</v>
      </c>
      <c r="C87" s="122">
        <f>D87/D43</f>
        <v>4.3873508557552364E-2</v>
      </c>
      <c r="D87" s="107">
        <f>ROUND(D78*C86,2)</f>
        <v>56.37</v>
      </c>
    </row>
    <row r="88" spans="1:7" ht="16.5" thickBot="1">
      <c r="A88" s="530" t="s">
        <v>7</v>
      </c>
      <c r="B88" s="531"/>
      <c r="C88" s="127">
        <f>C87+C86</f>
        <v>0.16292112760517141</v>
      </c>
      <c r="D88" s="113">
        <f>D86+D87</f>
        <v>209.33</v>
      </c>
    </row>
    <row r="89" spans="1:7">
      <c r="A89" s="190"/>
    </row>
    <row r="90" spans="1:7" ht="16.5" thickBot="1">
      <c r="A90" s="523" t="s">
        <v>320</v>
      </c>
      <c r="B90" s="523"/>
      <c r="C90" s="523"/>
      <c r="D90" s="523"/>
      <c r="E90" s="523"/>
      <c r="F90" s="523"/>
      <c r="G90" s="523"/>
    </row>
    <row r="91" spans="1:7" ht="16.5" thickBot="1">
      <c r="A91" s="117" t="s">
        <v>321</v>
      </c>
      <c r="B91" s="118" t="s">
        <v>322</v>
      </c>
      <c r="C91" s="117" t="s">
        <v>4</v>
      </c>
      <c r="D91" s="117" t="s">
        <v>279</v>
      </c>
    </row>
    <row r="92" spans="1:7">
      <c r="A92" s="82" t="s">
        <v>257</v>
      </c>
      <c r="B92" s="133" t="s">
        <v>323</v>
      </c>
      <c r="C92" s="120">
        <f>0.1111*0.02*0.3333</f>
        <v>7.4059259999999997E-4</v>
      </c>
      <c r="D92" s="104">
        <f>ROUND($D$43*C92,2)</f>
        <v>0.95</v>
      </c>
    </row>
    <row r="93" spans="1:7" ht="32.25" thickBot="1">
      <c r="A93" s="109" t="s">
        <v>259</v>
      </c>
      <c r="B93" s="134" t="s">
        <v>324</v>
      </c>
      <c r="C93" s="126">
        <f>D93/D43</f>
        <v>2.7240957947744057E-4</v>
      </c>
      <c r="D93" s="110">
        <f>ROUND(D78*C92,2)</f>
        <v>0.35</v>
      </c>
    </row>
    <row r="94" spans="1:7" ht="16.5" thickBot="1">
      <c r="A94" s="530" t="s">
        <v>7</v>
      </c>
      <c r="B94" s="531"/>
      <c r="C94" s="127">
        <f>SUM(C92:C93)</f>
        <v>1.0130021794774405E-3</v>
      </c>
      <c r="D94" s="113">
        <f>SUM(D92:D93)</f>
        <v>1.2999999999999998</v>
      </c>
    </row>
    <row r="95" spans="1:7">
      <c r="A95" s="190"/>
    </row>
    <row r="96" spans="1:7">
      <c r="A96" s="190"/>
    </row>
    <row r="97" spans="1:7" ht="16.5" thickBot="1">
      <c r="A97" s="523" t="s">
        <v>325</v>
      </c>
      <c r="B97" s="523"/>
      <c r="C97" s="523"/>
      <c r="D97" s="523"/>
      <c r="E97" s="523"/>
      <c r="F97" s="523"/>
      <c r="G97" s="523"/>
    </row>
    <row r="98" spans="1:7" ht="16.5" thickBot="1">
      <c r="A98" s="117" t="s">
        <v>326</v>
      </c>
      <c r="B98" s="118" t="s">
        <v>327</v>
      </c>
      <c r="C98" s="117" t="s">
        <v>4</v>
      </c>
      <c r="D98" s="117" t="s">
        <v>279</v>
      </c>
    </row>
    <row r="99" spans="1:7">
      <c r="A99" s="82" t="s">
        <v>257</v>
      </c>
      <c r="B99" s="133" t="s">
        <v>328</v>
      </c>
      <c r="C99" s="135">
        <f>((1/12)*0.05)</f>
        <v>4.1666666666666666E-3</v>
      </c>
      <c r="D99" s="104">
        <f>ROUND($D$43*C99,2)</f>
        <v>5.35</v>
      </c>
    </row>
    <row r="100" spans="1:7" ht="31.5">
      <c r="A100" s="191" t="s">
        <v>259</v>
      </c>
      <c r="B100" s="91" t="s">
        <v>329</v>
      </c>
      <c r="C100" s="136">
        <f>D100/D43</f>
        <v>3.3467462621514129E-4</v>
      </c>
      <c r="D100" s="137">
        <f>ROUND(D75*C99,2)</f>
        <v>0.43</v>
      </c>
    </row>
    <row r="101" spans="1:7">
      <c r="A101" s="191" t="s">
        <v>261</v>
      </c>
      <c r="B101" s="138" t="s">
        <v>330</v>
      </c>
      <c r="C101" s="139">
        <f>0.08*0.5*0.9*(1+(5/56)+(5/56)+(1/3)*(5/56))</f>
        <v>4.3499999999999997E-2</v>
      </c>
      <c r="D101" s="107">
        <f>ROUND($D$43*C101,2)</f>
        <v>55.89</v>
      </c>
    </row>
    <row r="102" spans="1:7">
      <c r="A102" s="191" t="s">
        <v>263</v>
      </c>
      <c r="B102" s="138" t="s">
        <v>331</v>
      </c>
      <c r="C102" s="140">
        <f>(((7/30)/12))</f>
        <v>1.9444444444444445E-2</v>
      </c>
      <c r="D102" s="107">
        <f>ROUND($D$43*C102,2)</f>
        <v>24.98</v>
      </c>
    </row>
    <row r="103" spans="1:7" ht="31.5">
      <c r="A103" s="191" t="s">
        <v>284</v>
      </c>
      <c r="B103" s="138" t="s">
        <v>332</v>
      </c>
      <c r="C103" s="141">
        <f>D103/D43</f>
        <v>7.168263505677795E-3</v>
      </c>
      <c r="D103" s="107">
        <f>ROUND(D78*C102,2)</f>
        <v>9.2100000000000009</v>
      </c>
    </row>
    <row r="104" spans="1:7" ht="16.5" thickBot="1">
      <c r="A104" s="109" t="s">
        <v>286</v>
      </c>
      <c r="B104" s="134" t="s">
        <v>333</v>
      </c>
      <c r="C104" s="142">
        <f>(40%+10%)*C75*C102</f>
        <v>7.7777777777777784E-4</v>
      </c>
      <c r="D104" s="107">
        <f>ROUND($D$43*C104,2)</f>
        <v>1</v>
      </c>
    </row>
    <row r="105" spans="1:7" ht="16.5" thickBot="1">
      <c r="A105" s="525" t="s">
        <v>7</v>
      </c>
      <c r="B105" s="526"/>
      <c r="C105" s="127">
        <f>SUM(C99:C104)</f>
        <v>7.5391827020781829E-2</v>
      </c>
      <c r="D105" s="143">
        <f>SUM(D99:D104)</f>
        <v>96.860000000000014</v>
      </c>
    </row>
    <row r="106" spans="1:7">
      <c r="A106" s="71"/>
    </row>
    <row r="107" spans="1:7" ht="16.5" thickBot="1">
      <c r="A107" s="523" t="s">
        <v>334</v>
      </c>
      <c r="B107" s="523"/>
      <c r="C107" s="523"/>
      <c r="D107" s="523"/>
      <c r="E107" s="523"/>
      <c r="F107" s="523"/>
      <c r="G107" s="523"/>
    </row>
    <row r="108" spans="1:7" ht="32.25" thickBot="1">
      <c r="A108" s="117" t="s">
        <v>335</v>
      </c>
      <c r="B108" s="118" t="s">
        <v>336</v>
      </c>
      <c r="C108" s="117" t="s">
        <v>4</v>
      </c>
      <c r="D108" s="117" t="s">
        <v>279</v>
      </c>
    </row>
    <row r="109" spans="1:7">
      <c r="A109" s="82" t="s">
        <v>257</v>
      </c>
      <c r="B109" s="133" t="s">
        <v>13</v>
      </c>
      <c r="C109" s="144">
        <f>(5/56)</f>
        <v>8.9285714285714288E-2</v>
      </c>
      <c r="D109" s="107">
        <f t="shared" ref="D109:D114" si="1">ROUND($D$43*C109,2)</f>
        <v>114.72</v>
      </c>
    </row>
    <row r="110" spans="1:7">
      <c r="A110" s="191" t="s">
        <v>259</v>
      </c>
      <c r="B110" s="138" t="s">
        <v>379</v>
      </c>
      <c r="C110" s="122">
        <f>(10.96/30)/12</f>
        <v>3.0444444444444444E-2</v>
      </c>
      <c r="D110" s="107">
        <f t="shared" si="1"/>
        <v>39.119999999999997</v>
      </c>
      <c r="E110" s="184"/>
    </row>
    <row r="111" spans="1:7">
      <c r="A111" s="191" t="s">
        <v>261</v>
      </c>
      <c r="B111" s="138" t="s">
        <v>337</v>
      </c>
      <c r="C111" s="122">
        <f>((5/30)/12)*0.015</f>
        <v>2.0833333333333332E-4</v>
      </c>
      <c r="D111" s="107">
        <f t="shared" si="1"/>
        <v>0.27</v>
      </c>
    </row>
    <row r="112" spans="1:7">
      <c r="A112" s="191" t="s">
        <v>263</v>
      </c>
      <c r="B112" s="138" t="s">
        <v>338</v>
      </c>
      <c r="C112" s="122">
        <f>((1/30)/12)</f>
        <v>2.7777777777777779E-3</v>
      </c>
      <c r="D112" s="107">
        <f t="shared" si="1"/>
        <v>3.57</v>
      </c>
    </row>
    <row r="113" spans="1:7">
      <c r="A113" s="191" t="s">
        <v>284</v>
      </c>
      <c r="B113" s="138" t="s">
        <v>339</v>
      </c>
      <c r="C113" s="122">
        <f>((15/30)/12)*0.0078</f>
        <v>3.2499999999999999E-4</v>
      </c>
      <c r="D113" s="107">
        <f t="shared" si="1"/>
        <v>0.42</v>
      </c>
    </row>
    <row r="114" spans="1:7">
      <c r="A114" s="191" t="s">
        <v>286</v>
      </c>
      <c r="B114" s="138" t="s">
        <v>291</v>
      </c>
      <c r="C114" s="145"/>
      <c r="D114" s="107">
        <f t="shared" si="1"/>
        <v>0</v>
      </c>
    </row>
    <row r="115" spans="1:7">
      <c r="A115" s="532" t="s">
        <v>318</v>
      </c>
      <c r="B115" s="533"/>
      <c r="C115" s="122">
        <f>SUM(C109:C114)</f>
        <v>0.12304126984126985</v>
      </c>
      <c r="D115" s="107">
        <f>SUM(D109:D114)</f>
        <v>158.1</v>
      </c>
    </row>
    <row r="116" spans="1:7" ht="32.25" thickBot="1">
      <c r="A116" s="109" t="s">
        <v>288</v>
      </c>
      <c r="B116" s="134" t="s">
        <v>340</v>
      </c>
      <c r="C116" s="142">
        <f>D116/$D$43</f>
        <v>4.5344520286730541E-2</v>
      </c>
      <c r="D116" s="107">
        <f>ROUND(D78*C115,2)</f>
        <v>58.26</v>
      </c>
    </row>
    <row r="117" spans="1:7" ht="16.5" thickBot="1">
      <c r="A117" s="525" t="s">
        <v>7</v>
      </c>
      <c r="B117" s="526"/>
      <c r="C117" s="127">
        <f>C116+C115</f>
        <v>0.1683857901280004</v>
      </c>
      <c r="D117" s="146">
        <f>D116+D115</f>
        <v>216.35999999999999</v>
      </c>
    </row>
    <row r="118" spans="1:7">
      <c r="A118" s="190" t="s">
        <v>341</v>
      </c>
    </row>
    <row r="119" spans="1:7" ht="16.5" thickBot="1">
      <c r="A119" s="522" t="s">
        <v>342</v>
      </c>
      <c r="B119" s="522"/>
      <c r="C119" s="522"/>
      <c r="D119" s="522"/>
      <c r="E119" s="522"/>
      <c r="F119" s="522"/>
      <c r="G119" s="522"/>
    </row>
    <row r="120" spans="1:7" ht="32.25" customHeight="1" thickBot="1">
      <c r="A120" s="147">
        <v>4</v>
      </c>
      <c r="B120" s="148" t="s">
        <v>343</v>
      </c>
      <c r="C120" s="149" t="s">
        <v>4</v>
      </c>
      <c r="D120" s="150" t="s">
        <v>279</v>
      </c>
    </row>
    <row r="121" spans="1:7">
      <c r="A121" s="82" t="s">
        <v>307</v>
      </c>
      <c r="B121" s="133" t="s">
        <v>344</v>
      </c>
      <c r="C121" s="142">
        <f t="shared" ref="C121:C126" si="2">D121/$D$43</f>
        <v>0.16292427792003614</v>
      </c>
      <c r="D121" s="107">
        <f>D88</f>
        <v>209.33</v>
      </c>
    </row>
    <row r="122" spans="1:7">
      <c r="A122" s="191" t="s">
        <v>314</v>
      </c>
      <c r="B122" s="138" t="s">
        <v>308</v>
      </c>
      <c r="C122" s="142">
        <f t="shared" si="2"/>
        <v>0.36850789598623945</v>
      </c>
      <c r="D122" s="107">
        <f>D78</f>
        <v>473.47</v>
      </c>
    </row>
    <row r="123" spans="1:7">
      <c r="A123" s="191" t="s">
        <v>321</v>
      </c>
      <c r="B123" s="138" t="s">
        <v>323</v>
      </c>
      <c r="C123" s="142">
        <f t="shared" si="2"/>
        <v>1.0118070094876364E-3</v>
      </c>
      <c r="D123" s="107">
        <f>D94</f>
        <v>1.2999999999999998</v>
      </c>
    </row>
    <row r="124" spans="1:7">
      <c r="A124" s="151" t="s">
        <v>326</v>
      </c>
      <c r="B124" s="152" t="s">
        <v>345</v>
      </c>
      <c r="C124" s="142">
        <f t="shared" si="2"/>
        <v>7.5387405337671146E-2</v>
      </c>
      <c r="D124" s="107">
        <f>D105</f>
        <v>96.860000000000014</v>
      </c>
    </row>
    <row r="125" spans="1:7">
      <c r="A125" s="153" t="s">
        <v>335</v>
      </c>
      <c r="B125" s="154" t="s">
        <v>346</v>
      </c>
      <c r="C125" s="142">
        <f t="shared" si="2"/>
        <v>0.16839581890211155</v>
      </c>
      <c r="D125" s="107">
        <f>D117</f>
        <v>216.35999999999999</v>
      </c>
    </row>
    <row r="126" spans="1:7" ht="16.5" thickBot="1">
      <c r="A126" s="191" t="s">
        <v>347</v>
      </c>
      <c r="B126" s="138" t="s">
        <v>291</v>
      </c>
      <c r="C126" s="142">
        <f t="shared" si="2"/>
        <v>0</v>
      </c>
      <c r="D126" s="107">
        <v>0</v>
      </c>
    </row>
    <row r="127" spans="1:7" ht="37.5" customHeight="1" thickBot="1">
      <c r="A127" s="530" t="s">
        <v>348</v>
      </c>
      <c r="B127" s="531"/>
      <c r="C127" s="127">
        <f>SUM(C121:C126)</f>
        <v>0.776227205155546</v>
      </c>
      <c r="D127" s="113">
        <f>SUM(D121:D126)</f>
        <v>997.32</v>
      </c>
    </row>
    <row r="128" spans="1:7">
      <c r="A128" s="155"/>
      <c r="B128" s="155"/>
      <c r="C128" s="156"/>
      <c r="D128" s="157"/>
      <c r="E128" s="158"/>
      <c r="F128" s="159"/>
      <c r="G128" s="159"/>
    </row>
    <row r="129" spans="1:8" ht="16.5" thickBot="1">
      <c r="A129" s="522" t="s">
        <v>349</v>
      </c>
      <c r="B129" s="522"/>
      <c r="C129" s="522"/>
      <c r="D129" s="522"/>
      <c r="E129" s="522"/>
      <c r="F129" s="522"/>
      <c r="G129" s="522"/>
      <c r="H129" s="160"/>
    </row>
    <row r="130" spans="1:8" ht="16.5" thickBot="1">
      <c r="A130" s="147" t="s">
        <v>350</v>
      </c>
      <c r="B130" s="148" t="s">
        <v>351</v>
      </c>
      <c r="C130" s="149" t="s">
        <v>4</v>
      </c>
      <c r="D130" s="114" t="s">
        <v>279</v>
      </c>
      <c r="E130" s="161">
        <f>D43+D54+D64+D78+D88+D94+D105+D117</f>
        <v>2794.0326242424244</v>
      </c>
      <c r="G130" s="160"/>
    </row>
    <row r="131" spans="1:8">
      <c r="A131" s="82" t="s">
        <v>257</v>
      </c>
      <c r="B131" s="133" t="s">
        <v>352</v>
      </c>
      <c r="C131" s="162">
        <v>7.0080000000000003E-2</v>
      </c>
      <c r="D131" s="163">
        <f>E130*C131</f>
        <v>195.80580630690912</v>
      </c>
      <c r="G131" s="160"/>
    </row>
    <row r="132" spans="1:8">
      <c r="A132" s="191" t="s">
        <v>259</v>
      </c>
      <c r="B132" s="138" t="s">
        <v>353</v>
      </c>
      <c r="C132" s="142"/>
      <c r="D132" s="164"/>
      <c r="F132" s="165"/>
    </row>
    <row r="133" spans="1:8">
      <c r="A133" s="191"/>
      <c r="B133" s="138" t="s">
        <v>354</v>
      </c>
      <c r="C133" s="142"/>
      <c r="D133" s="129"/>
      <c r="F133" s="182"/>
      <c r="G133" s="160"/>
    </row>
    <row r="134" spans="1:8">
      <c r="A134" s="191"/>
      <c r="B134" s="138" t="s">
        <v>355</v>
      </c>
      <c r="C134" s="142">
        <v>7.5999999999999998E-2</v>
      </c>
      <c r="D134" s="107">
        <f>$D$152*C134</f>
        <v>270.28865390291469</v>
      </c>
      <c r="E134" s="165">
        <f>D152</f>
        <v>3556.4296566172989</v>
      </c>
      <c r="G134" s="160"/>
    </row>
    <row r="135" spans="1:8">
      <c r="A135" s="191"/>
      <c r="B135" s="138" t="s">
        <v>356</v>
      </c>
      <c r="C135" s="142">
        <v>1.6500000000000001E-2</v>
      </c>
      <c r="D135" s="107">
        <f>$D$152*C135</f>
        <v>58.681089334185437</v>
      </c>
      <c r="E135" s="246"/>
      <c r="G135" s="160"/>
    </row>
    <row r="136" spans="1:8">
      <c r="A136" s="191"/>
      <c r="B136" s="138" t="s">
        <v>357</v>
      </c>
      <c r="C136" s="142"/>
      <c r="D136" s="107"/>
    </row>
    <row r="137" spans="1:8">
      <c r="A137" s="191"/>
      <c r="B137" s="138" t="s">
        <v>358</v>
      </c>
      <c r="C137" s="142">
        <v>0.05</v>
      </c>
      <c r="D137" s="107">
        <f>$D$152*C137</f>
        <v>177.82148283086497</v>
      </c>
      <c r="G137" s="160"/>
    </row>
    <row r="138" spans="1:8">
      <c r="A138" s="191"/>
      <c r="B138" s="138" t="s">
        <v>359</v>
      </c>
      <c r="C138" s="142"/>
      <c r="D138" s="107"/>
    </row>
    <row r="139" spans="1:8" ht="16.5" thickBot="1">
      <c r="A139" s="191" t="s">
        <v>261</v>
      </c>
      <c r="B139" s="138" t="s">
        <v>360</v>
      </c>
      <c r="C139" s="142">
        <v>0.02</v>
      </c>
      <c r="D139" s="107">
        <f>ROUND(E139*C139,2)</f>
        <v>59.8</v>
      </c>
      <c r="E139" s="132">
        <f>E130+D131</f>
        <v>2989.8384305493337</v>
      </c>
    </row>
    <row r="140" spans="1:8" ht="33" customHeight="1" thickBot="1">
      <c r="A140" s="527" t="s">
        <v>361</v>
      </c>
      <c r="B140" s="528"/>
      <c r="C140" s="529"/>
      <c r="D140" s="166">
        <f>D131+D134+D135+D137+D139</f>
        <v>762.39703237487413</v>
      </c>
    </row>
    <row r="141" spans="1:8">
      <c r="A141" s="522" t="s">
        <v>362</v>
      </c>
      <c r="B141" s="522"/>
      <c r="C141" s="522"/>
      <c r="D141" s="522"/>
      <c r="E141" s="522"/>
      <c r="F141" s="522"/>
      <c r="G141" s="522"/>
    </row>
    <row r="142" spans="1:8">
      <c r="A142" s="522" t="s">
        <v>363</v>
      </c>
      <c r="B142" s="522"/>
      <c r="C142" s="522"/>
      <c r="D142" s="522"/>
      <c r="E142" s="522"/>
      <c r="F142" s="522"/>
      <c r="G142" s="522"/>
    </row>
    <row r="143" spans="1:8">
      <c r="A143" s="190"/>
    </row>
    <row r="144" spans="1:8" ht="16.5" thickBot="1">
      <c r="A144" s="523" t="s">
        <v>364</v>
      </c>
      <c r="B144" s="523"/>
      <c r="C144" s="523"/>
      <c r="D144" s="523"/>
      <c r="E144" s="523"/>
      <c r="F144" s="523"/>
      <c r="G144" s="523"/>
    </row>
    <row r="145" spans="1:8" ht="32.25" customHeight="1" thickBot="1">
      <c r="A145" s="147"/>
      <c r="B145" s="524" t="s">
        <v>365</v>
      </c>
      <c r="C145" s="524"/>
      <c r="D145" s="167" t="s">
        <v>366</v>
      </c>
    </row>
    <row r="146" spans="1:8">
      <c r="A146" s="191" t="s">
        <v>257</v>
      </c>
      <c r="B146" s="138" t="s">
        <v>367</v>
      </c>
      <c r="C146" s="122">
        <f t="shared" ref="C146:C151" si="3">D146/$D$152</f>
        <v>0.36126962264229545</v>
      </c>
      <c r="D146" s="129">
        <f>D43</f>
        <v>1284.83</v>
      </c>
    </row>
    <row r="147" spans="1:8">
      <c r="A147" s="191" t="s">
        <v>259</v>
      </c>
      <c r="B147" s="138" t="s">
        <v>368</v>
      </c>
      <c r="C147" s="122">
        <f t="shared" si="3"/>
        <v>0.12138865145181067</v>
      </c>
      <c r="D147" s="129">
        <f>D54</f>
        <v>431.71019999999999</v>
      </c>
    </row>
    <row r="148" spans="1:8" ht="31.5">
      <c r="A148" s="191" t="s">
        <v>261</v>
      </c>
      <c r="B148" s="138" t="s">
        <v>369</v>
      </c>
      <c r="C148" s="122">
        <f t="shared" si="3"/>
        <v>2.2542952337958038E-2</v>
      </c>
      <c r="D148" s="129">
        <f>D64</f>
        <v>80.172424242424242</v>
      </c>
      <c r="E148" s="165">
        <f>D150+D131+D139</f>
        <v>3049.6384305493339</v>
      </c>
    </row>
    <row r="149" spans="1:8" ht="31.5">
      <c r="A149" s="191" t="s">
        <v>263</v>
      </c>
      <c r="B149" s="138" t="s">
        <v>370</v>
      </c>
      <c r="C149" s="122">
        <f t="shared" si="3"/>
        <v>0.28042730949122774</v>
      </c>
      <c r="D149" s="129">
        <f>D127</f>
        <v>997.32</v>
      </c>
      <c r="E149" s="174">
        <f>C137+C135+C134</f>
        <v>0.14250000000000002</v>
      </c>
    </row>
    <row r="150" spans="1:8" ht="16.5" customHeight="1">
      <c r="A150" s="168" t="s">
        <v>371</v>
      </c>
      <c r="B150" s="169"/>
      <c r="C150" s="131">
        <f t="shared" si="3"/>
        <v>0.78562853592329196</v>
      </c>
      <c r="D150" s="170">
        <f>SUM(D146:D149)</f>
        <v>2794.0326242424244</v>
      </c>
      <c r="E150" s="174">
        <f>100%-E149</f>
        <v>0.85749999999999993</v>
      </c>
    </row>
    <row r="151" spans="1:8" ht="32.25" thickBot="1">
      <c r="A151" s="191" t="s">
        <v>284</v>
      </c>
      <c r="B151" s="138" t="s">
        <v>372</v>
      </c>
      <c r="C151" s="122">
        <f t="shared" si="3"/>
        <v>0.21437146407670796</v>
      </c>
      <c r="D151" s="129">
        <f>D140</f>
        <v>762.39703237487413</v>
      </c>
      <c r="G151" s="171"/>
    </row>
    <row r="152" spans="1:8" ht="16.5" customHeight="1" thickBot="1">
      <c r="A152" s="525" t="s">
        <v>373</v>
      </c>
      <c r="B152" s="526"/>
      <c r="C152" s="127">
        <f>C151+C150</f>
        <v>0.99999999999999989</v>
      </c>
      <c r="D152" s="166">
        <f>(D150+D139+D131)/0.8575</f>
        <v>3556.4296566172989</v>
      </c>
      <c r="E152" s="171"/>
      <c r="F152" s="165">
        <f>D150+D151</f>
        <v>3556.4296566172984</v>
      </c>
      <c r="H152" s="172"/>
    </row>
    <row r="153" spans="1:8">
      <c r="E153" s="171"/>
    </row>
    <row r="154" spans="1:8">
      <c r="A154" s="186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1.299212598425197" right="0.51181102362204722" top="2.1653543307086616" bottom="0.98425196850393704" header="0.31496062992125984" footer="0.31496062992125984"/>
  <pageSetup paperSize="9" scale="80" fitToHeight="4" orientation="portrait" r:id="rId1"/>
  <headerFooter alignWithMargins="0"/>
  <rowBreaks count="3" manualBreakCount="3">
    <brk id="43" max="3" man="1"/>
    <brk id="88" max="3" man="1"/>
    <brk id="128" max="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154"/>
  <sheetViews>
    <sheetView showGridLines="0" view="pageBreakPreview" topLeftCell="A26" zoomScale="90" zoomScaleSheetLayoutView="90" workbookViewId="0">
      <selection activeCell="D48" sqref="D48"/>
    </sheetView>
  </sheetViews>
  <sheetFormatPr defaultRowHeight="15.75"/>
  <cols>
    <col min="1" max="1" width="9.28515625" style="53" customWidth="1"/>
    <col min="2" max="2" width="39.85546875" style="53" customWidth="1"/>
    <col min="3" max="3" width="18.28515625" style="53" customWidth="1"/>
    <col min="4" max="4" width="23.85546875" style="53" customWidth="1"/>
    <col min="5" max="5" width="16" style="53" bestFit="1" customWidth="1"/>
    <col min="6" max="6" width="13.7109375" style="53" bestFit="1" customWidth="1"/>
    <col min="7" max="7" width="15.7109375" style="53" bestFit="1" customWidth="1"/>
    <col min="8" max="8" width="13.140625" style="53" bestFit="1" customWidth="1"/>
    <col min="9" max="9" width="11.85546875" style="53" bestFit="1" customWidth="1"/>
    <col min="10" max="10" width="12.85546875" style="53" bestFit="1" customWidth="1"/>
    <col min="11" max="256" width="9.140625" style="53"/>
    <col min="257" max="257" width="9.28515625" style="53" customWidth="1"/>
    <col min="258" max="258" width="39.85546875" style="53" customWidth="1"/>
    <col min="259" max="259" width="18.28515625" style="53" customWidth="1"/>
    <col min="260" max="260" width="23.85546875" style="53" customWidth="1"/>
    <col min="261" max="261" width="16" style="53" bestFit="1" customWidth="1"/>
    <col min="262" max="262" width="13.7109375" style="53" bestFit="1" customWidth="1"/>
    <col min="263" max="263" width="15.7109375" style="53" bestFit="1" customWidth="1"/>
    <col min="264" max="264" width="13.140625" style="53" bestFit="1" customWidth="1"/>
    <col min="265" max="265" width="11.85546875" style="53" bestFit="1" customWidth="1"/>
    <col min="266" max="266" width="12.85546875" style="53" bestFit="1" customWidth="1"/>
    <col min="267" max="512" width="9.140625" style="53"/>
    <col min="513" max="513" width="9.28515625" style="53" customWidth="1"/>
    <col min="514" max="514" width="39.85546875" style="53" customWidth="1"/>
    <col min="515" max="515" width="18.28515625" style="53" customWidth="1"/>
    <col min="516" max="516" width="23.85546875" style="53" customWidth="1"/>
    <col min="517" max="517" width="16" style="53" bestFit="1" customWidth="1"/>
    <col min="518" max="518" width="13.7109375" style="53" bestFit="1" customWidth="1"/>
    <col min="519" max="519" width="15.7109375" style="53" bestFit="1" customWidth="1"/>
    <col min="520" max="520" width="13.140625" style="53" bestFit="1" customWidth="1"/>
    <col min="521" max="521" width="11.85546875" style="53" bestFit="1" customWidth="1"/>
    <col min="522" max="522" width="12.85546875" style="53" bestFit="1" customWidth="1"/>
    <col min="523" max="768" width="9.140625" style="53"/>
    <col min="769" max="769" width="9.28515625" style="53" customWidth="1"/>
    <col min="770" max="770" width="39.85546875" style="53" customWidth="1"/>
    <col min="771" max="771" width="18.28515625" style="53" customWidth="1"/>
    <col min="772" max="772" width="23.85546875" style="53" customWidth="1"/>
    <col min="773" max="773" width="16" style="53" bestFit="1" customWidth="1"/>
    <col min="774" max="774" width="13.7109375" style="53" bestFit="1" customWidth="1"/>
    <col min="775" max="775" width="15.7109375" style="53" bestFit="1" customWidth="1"/>
    <col min="776" max="776" width="13.140625" style="53" bestFit="1" customWidth="1"/>
    <col min="777" max="777" width="11.85546875" style="53" bestFit="1" customWidth="1"/>
    <col min="778" max="778" width="12.85546875" style="53" bestFit="1" customWidth="1"/>
    <col min="779" max="1024" width="9.140625" style="53"/>
    <col min="1025" max="1025" width="9.28515625" style="53" customWidth="1"/>
    <col min="1026" max="1026" width="39.85546875" style="53" customWidth="1"/>
    <col min="1027" max="1027" width="18.28515625" style="53" customWidth="1"/>
    <col min="1028" max="1028" width="23.85546875" style="53" customWidth="1"/>
    <col min="1029" max="1029" width="16" style="53" bestFit="1" customWidth="1"/>
    <col min="1030" max="1030" width="13.7109375" style="53" bestFit="1" customWidth="1"/>
    <col min="1031" max="1031" width="15.7109375" style="53" bestFit="1" customWidth="1"/>
    <col min="1032" max="1032" width="13.140625" style="53" bestFit="1" customWidth="1"/>
    <col min="1033" max="1033" width="11.85546875" style="53" bestFit="1" customWidth="1"/>
    <col min="1034" max="1034" width="12.85546875" style="53" bestFit="1" customWidth="1"/>
    <col min="1035" max="1280" width="9.140625" style="53"/>
    <col min="1281" max="1281" width="9.28515625" style="53" customWidth="1"/>
    <col min="1282" max="1282" width="39.85546875" style="53" customWidth="1"/>
    <col min="1283" max="1283" width="18.28515625" style="53" customWidth="1"/>
    <col min="1284" max="1284" width="23.85546875" style="53" customWidth="1"/>
    <col min="1285" max="1285" width="16" style="53" bestFit="1" customWidth="1"/>
    <col min="1286" max="1286" width="13.7109375" style="53" bestFit="1" customWidth="1"/>
    <col min="1287" max="1287" width="15.7109375" style="53" bestFit="1" customWidth="1"/>
    <col min="1288" max="1288" width="13.140625" style="53" bestFit="1" customWidth="1"/>
    <col min="1289" max="1289" width="11.85546875" style="53" bestFit="1" customWidth="1"/>
    <col min="1290" max="1290" width="12.85546875" style="53" bestFit="1" customWidth="1"/>
    <col min="1291" max="1536" width="9.140625" style="53"/>
    <col min="1537" max="1537" width="9.28515625" style="53" customWidth="1"/>
    <col min="1538" max="1538" width="39.85546875" style="53" customWidth="1"/>
    <col min="1539" max="1539" width="18.28515625" style="53" customWidth="1"/>
    <col min="1540" max="1540" width="23.85546875" style="53" customWidth="1"/>
    <col min="1541" max="1541" width="16" style="53" bestFit="1" customWidth="1"/>
    <col min="1542" max="1542" width="13.7109375" style="53" bestFit="1" customWidth="1"/>
    <col min="1543" max="1543" width="15.7109375" style="53" bestFit="1" customWidth="1"/>
    <col min="1544" max="1544" width="13.140625" style="53" bestFit="1" customWidth="1"/>
    <col min="1545" max="1545" width="11.85546875" style="53" bestFit="1" customWidth="1"/>
    <col min="1546" max="1546" width="12.85546875" style="53" bestFit="1" customWidth="1"/>
    <col min="1547" max="1792" width="9.140625" style="53"/>
    <col min="1793" max="1793" width="9.28515625" style="53" customWidth="1"/>
    <col min="1794" max="1794" width="39.85546875" style="53" customWidth="1"/>
    <col min="1795" max="1795" width="18.28515625" style="53" customWidth="1"/>
    <col min="1796" max="1796" width="23.85546875" style="53" customWidth="1"/>
    <col min="1797" max="1797" width="16" style="53" bestFit="1" customWidth="1"/>
    <col min="1798" max="1798" width="13.7109375" style="53" bestFit="1" customWidth="1"/>
    <col min="1799" max="1799" width="15.7109375" style="53" bestFit="1" customWidth="1"/>
    <col min="1800" max="1800" width="13.140625" style="53" bestFit="1" customWidth="1"/>
    <col min="1801" max="1801" width="11.85546875" style="53" bestFit="1" customWidth="1"/>
    <col min="1802" max="1802" width="12.85546875" style="53" bestFit="1" customWidth="1"/>
    <col min="1803" max="2048" width="9.140625" style="53"/>
    <col min="2049" max="2049" width="9.28515625" style="53" customWidth="1"/>
    <col min="2050" max="2050" width="39.85546875" style="53" customWidth="1"/>
    <col min="2051" max="2051" width="18.28515625" style="53" customWidth="1"/>
    <col min="2052" max="2052" width="23.85546875" style="53" customWidth="1"/>
    <col min="2053" max="2053" width="16" style="53" bestFit="1" customWidth="1"/>
    <col min="2054" max="2054" width="13.7109375" style="53" bestFit="1" customWidth="1"/>
    <col min="2055" max="2055" width="15.7109375" style="53" bestFit="1" customWidth="1"/>
    <col min="2056" max="2056" width="13.140625" style="53" bestFit="1" customWidth="1"/>
    <col min="2057" max="2057" width="11.85546875" style="53" bestFit="1" customWidth="1"/>
    <col min="2058" max="2058" width="12.85546875" style="53" bestFit="1" customWidth="1"/>
    <col min="2059" max="2304" width="9.140625" style="53"/>
    <col min="2305" max="2305" width="9.28515625" style="53" customWidth="1"/>
    <col min="2306" max="2306" width="39.85546875" style="53" customWidth="1"/>
    <col min="2307" max="2307" width="18.28515625" style="53" customWidth="1"/>
    <col min="2308" max="2308" width="23.85546875" style="53" customWidth="1"/>
    <col min="2309" max="2309" width="16" style="53" bestFit="1" customWidth="1"/>
    <col min="2310" max="2310" width="13.7109375" style="53" bestFit="1" customWidth="1"/>
    <col min="2311" max="2311" width="15.7109375" style="53" bestFit="1" customWidth="1"/>
    <col min="2312" max="2312" width="13.140625" style="53" bestFit="1" customWidth="1"/>
    <col min="2313" max="2313" width="11.85546875" style="53" bestFit="1" customWidth="1"/>
    <col min="2314" max="2314" width="12.85546875" style="53" bestFit="1" customWidth="1"/>
    <col min="2315" max="2560" width="9.140625" style="53"/>
    <col min="2561" max="2561" width="9.28515625" style="53" customWidth="1"/>
    <col min="2562" max="2562" width="39.85546875" style="53" customWidth="1"/>
    <col min="2563" max="2563" width="18.28515625" style="53" customWidth="1"/>
    <col min="2564" max="2564" width="23.85546875" style="53" customWidth="1"/>
    <col min="2565" max="2565" width="16" style="53" bestFit="1" customWidth="1"/>
    <col min="2566" max="2566" width="13.7109375" style="53" bestFit="1" customWidth="1"/>
    <col min="2567" max="2567" width="15.7109375" style="53" bestFit="1" customWidth="1"/>
    <col min="2568" max="2568" width="13.140625" style="53" bestFit="1" customWidth="1"/>
    <col min="2569" max="2569" width="11.85546875" style="53" bestFit="1" customWidth="1"/>
    <col min="2570" max="2570" width="12.85546875" style="53" bestFit="1" customWidth="1"/>
    <col min="2571" max="2816" width="9.140625" style="53"/>
    <col min="2817" max="2817" width="9.28515625" style="53" customWidth="1"/>
    <col min="2818" max="2818" width="39.85546875" style="53" customWidth="1"/>
    <col min="2819" max="2819" width="18.28515625" style="53" customWidth="1"/>
    <col min="2820" max="2820" width="23.85546875" style="53" customWidth="1"/>
    <col min="2821" max="2821" width="16" style="53" bestFit="1" customWidth="1"/>
    <col min="2822" max="2822" width="13.7109375" style="53" bestFit="1" customWidth="1"/>
    <col min="2823" max="2823" width="15.7109375" style="53" bestFit="1" customWidth="1"/>
    <col min="2824" max="2824" width="13.140625" style="53" bestFit="1" customWidth="1"/>
    <col min="2825" max="2825" width="11.85546875" style="53" bestFit="1" customWidth="1"/>
    <col min="2826" max="2826" width="12.85546875" style="53" bestFit="1" customWidth="1"/>
    <col min="2827" max="3072" width="9.140625" style="53"/>
    <col min="3073" max="3073" width="9.28515625" style="53" customWidth="1"/>
    <col min="3074" max="3074" width="39.85546875" style="53" customWidth="1"/>
    <col min="3075" max="3075" width="18.28515625" style="53" customWidth="1"/>
    <col min="3076" max="3076" width="23.85546875" style="53" customWidth="1"/>
    <col min="3077" max="3077" width="16" style="53" bestFit="1" customWidth="1"/>
    <col min="3078" max="3078" width="13.7109375" style="53" bestFit="1" customWidth="1"/>
    <col min="3079" max="3079" width="15.7109375" style="53" bestFit="1" customWidth="1"/>
    <col min="3080" max="3080" width="13.140625" style="53" bestFit="1" customWidth="1"/>
    <col min="3081" max="3081" width="11.85546875" style="53" bestFit="1" customWidth="1"/>
    <col min="3082" max="3082" width="12.85546875" style="53" bestFit="1" customWidth="1"/>
    <col min="3083" max="3328" width="9.140625" style="53"/>
    <col min="3329" max="3329" width="9.28515625" style="53" customWidth="1"/>
    <col min="3330" max="3330" width="39.85546875" style="53" customWidth="1"/>
    <col min="3331" max="3331" width="18.28515625" style="53" customWidth="1"/>
    <col min="3332" max="3332" width="23.85546875" style="53" customWidth="1"/>
    <col min="3333" max="3333" width="16" style="53" bestFit="1" customWidth="1"/>
    <col min="3334" max="3334" width="13.7109375" style="53" bestFit="1" customWidth="1"/>
    <col min="3335" max="3335" width="15.7109375" style="53" bestFit="1" customWidth="1"/>
    <col min="3336" max="3336" width="13.140625" style="53" bestFit="1" customWidth="1"/>
    <col min="3337" max="3337" width="11.85546875" style="53" bestFit="1" customWidth="1"/>
    <col min="3338" max="3338" width="12.85546875" style="53" bestFit="1" customWidth="1"/>
    <col min="3339" max="3584" width="9.140625" style="53"/>
    <col min="3585" max="3585" width="9.28515625" style="53" customWidth="1"/>
    <col min="3586" max="3586" width="39.85546875" style="53" customWidth="1"/>
    <col min="3587" max="3587" width="18.28515625" style="53" customWidth="1"/>
    <col min="3588" max="3588" width="23.85546875" style="53" customWidth="1"/>
    <col min="3589" max="3589" width="16" style="53" bestFit="1" customWidth="1"/>
    <col min="3590" max="3590" width="13.7109375" style="53" bestFit="1" customWidth="1"/>
    <col min="3591" max="3591" width="15.7109375" style="53" bestFit="1" customWidth="1"/>
    <col min="3592" max="3592" width="13.140625" style="53" bestFit="1" customWidth="1"/>
    <col min="3593" max="3593" width="11.85546875" style="53" bestFit="1" customWidth="1"/>
    <col min="3594" max="3594" width="12.85546875" style="53" bestFit="1" customWidth="1"/>
    <col min="3595" max="3840" width="9.140625" style="53"/>
    <col min="3841" max="3841" width="9.28515625" style="53" customWidth="1"/>
    <col min="3842" max="3842" width="39.85546875" style="53" customWidth="1"/>
    <col min="3843" max="3843" width="18.28515625" style="53" customWidth="1"/>
    <col min="3844" max="3844" width="23.85546875" style="53" customWidth="1"/>
    <col min="3845" max="3845" width="16" style="53" bestFit="1" customWidth="1"/>
    <col min="3846" max="3846" width="13.7109375" style="53" bestFit="1" customWidth="1"/>
    <col min="3847" max="3847" width="15.7109375" style="53" bestFit="1" customWidth="1"/>
    <col min="3848" max="3848" width="13.140625" style="53" bestFit="1" customWidth="1"/>
    <col min="3849" max="3849" width="11.85546875" style="53" bestFit="1" customWidth="1"/>
    <col min="3850" max="3850" width="12.85546875" style="53" bestFit="1" customWidth="1"/>
    <col min="3851" max="4096" width="9.140625" style="53"/>
    <col min="4097" max="4097" width="9.28515625" style="53" customWidth="1"/>
    <col min="4098" max="4098" width="39.85546875" style="53" customWidth="1"/>
    <col min="4099" max="4099" width="18.28515625" style="53" customWidth="1"/>
    <col min="4100" max="4100" width="23.85546875" style="53" customWidth="1"/>
    <col min="4101" max="4101" width="16" style="53" bestFit="1" customWidth="1"/>
    <col min="4102" max="4102" width="13.7109375" style="53" bestFit="1" customWidth="1"/>
    <col min="4103" max="4103" width="15.7109375" style="53" bestFit="1" customWidth="1"/>
    <col min="4104" max="4104" width="13.140625" style="53" bestFit="1" customWidth="1"/>
    <col min="4105" max="4105" width="11.85546875" style="53" bestFit="1" customWidth="1"/>
    <col min="4106" max="4106" width="12.85546875" style="53" bestFit="1" customWidth="1"/>
    <col min="4107" max="4352" width="9.140625" style="53"/>
    <col min="4353" max="4353" width="9.28515625" style="53" customWidth="1"/>
    <col min="4354" max="4354" width="39.85546875" style="53" customWidth="1"/>
    <col min="4355" max="4355" width="18.28515625" style="53" customWidth="1"/>
    <col min="4356" max="4356" width="23.85546875" style="53" customWidth="1"/>
    <col min="4357" max="4357" width="16" style="53" bestFit="1" customWidth="1"/>
    <col min="4358" max="4358" width="13.7109375" style="53" bestFit="1" customWidth="1"/>
    <col min="4359" max="4359" width="15.7109375" style="53" bestFit="1" customWidth="1"/>
    <col min="4360" max="4360" width="13.140625" style="53" bestFit="1" customWidth="1"/>
    <col min="4361" max="4361" width="11.85546875" style="53" bestFit="1" customWidth="1"/>
    <col min="4362" max="4362" width="12.85546875" style="53" bestFit="1" customWidth="1"/>
    <col min="4363" max="4608" width="9.140625" style="53"/>
    <col min="4609" max="4609" width="9.28515625" style="53" customWidth="1"/>
    <col min="4610" max="4610" width="39.85546875" style="53" customWidth="1"/>
    <col min="4611" max="4611" width="18.28515625" style="53" customWidth="1"/>
    <col min="4612" max="4612" width="23.85546875" style="53" customWidth="1"/>
    <col min="4613" max="4613" width="16" style="53" bestFit="1" customWidth="1"/>
    <col min="4614" max="4614" width="13.7109375" style="53" bestFit="1" customWidth="1"/>
    <col min="4615" max="4615" width="15.7109375" style="53" bestFit="1" customWidth="1"/>
    <col min="4616" max="4616" width="13.140625" style="53" bestFit="1" customWidth="1"/>
    <col min="4617" max="4617" width="11.85546875" style="53" bestFit="1" customWidth="1"/>
    <col min="4618" max="4618" width="12.85546875" style="53" bestFit="1" customWidth="1"/>
    <col min="4619" max="4864" width="9.140625" style="53"/>
    <col min="4865" max="4865" width="9.28515625" style="53" customWidth="1"/>
    <col min="4866" max="4866" width="39.85546875" style="53" customWidth="1"/>
    <col min="4867" max="4867" width="18.28515625" style="53" customWidth="1"/>
    <col min="4868" max="4868" width="23.85546875" style="53" customWidth="1"/>
    <col min="4869" max="4869" width="16" style="53" bestFit="1" customWidth="1"/>
    <col min="4870" max="4870" width="13.7109375" style="53" bestFit="1" customWidth="1"/>
    <col min="4871" max="4871" width="15.7109375" style="53" bestFit="1" customWidth="1"/>
    <col min="4872" max="4872" width="13.140625" style="53" bestFit="1" customWidth="1"/>
    <col min="4873" max="4873" width="11.85546875" style="53" bestFit="1" customWidth="1"/>
    <col min="4874" max="4874" width="12.85546875" style="53" bestFit="1" customWidth="1"/>
    <col min="4875" max="5120" width="9.140625" style="53"/>
    <col min="5121" max="5121" width="9.28515625" style="53" customWidth="1"/>
    <col min="5122" max="5122" width="39.85546875" style="53" customWidth="1"/>
    <col min="5123" max="5123" width="18.28515625" style="53" customWidth="1"/>
    <col min="5124" max="5124" width="23.85546875" style="53" customWidth="1"/>
    <col min="5125" max="5125" width="16" style="53" bestFit="1" customWidth="1"/>
    <col min="5126" max="5126" width="13.7109375" style="53" bestFit="1" customWidth="1"/>
    <col min="5127" max="5127" width="15.7109375" style="53" bestFit="1" customWidth="1"/>
    <col min="5128" max="5128" width="13.140625" style="53" bestFit="1" customWidth="1"/>
    <col min="5129" max="5129" width="11.85546875" style="53" bestFit="1" customWidth="1"/>
    <col min="5130" max="5130" width="12.85546875" style="53" bestFit="1" customWidth="1"/>
    <col min="5131" max="5376" width="9.140625" style="53"/>
    <col min="5377" max="5377" width="9.28515625" style="53" customWidth="1"/>
    <col min="5378" max="5378" width="39.85546875" style="53" customWidth="1"/>
    <col min="5379" max="5379" width="18.28515625" style="53" customWidth="1"/>
    <col min="5380" max="5380" width="23.85546875" style="53" customWidth="1"/>
    <col min="5381" max="5381" width="16" style="53" bestFit="1" customWidth="1"/>
    <col min="5382" max="5382" width="13.7109375" style="53" bestFit="1" customWidth="1"/>
    <col min="5383" max="5383" width="15.7109375" style="53" bestFit="1" customWidth="1"/>
    <col min="5384" max="5384" width="13.140625" style="53" bestFit="1" customWidth="1"/>
    <col min="5385" max="5385" width="11.85546875" style="53" bestFit="1" customWidth="1"/>
    <col min="5386" max="5386" width="12.85546875" style="53" bestFit="1" customWidth="1"/>
    <col min="5387" max="5632" width="9.140625" style="53"/>
    <col min="5633" max="5633" width="9.28515625" style="53" customWidth="1"/>
    <col min="5634" max="5634" width="39.85546875" style="53" customWidth="1"/>
    <col min="5635" max="5635" width="18.28515625" style="53" customWidth="1"/>
    <col min="5636" max="5636" width="23.85546875" style="53" customWidth="1"/>
    <col min="5637" max="5637" width="16" style="53" bestFit="1" customWidth="1"/>
    <col min="5638" max="5638" width="13.7109375" style="53" bestFit="1" customWidth="1"/>
    <col min="5639" max="5639" width="15.7109375" style="53" bestFit="1" customWidth="1"/>
    <col min="5640" max="5640" width="13.140625" style="53" bestFit="1" customWidth="1"/>
    <col min="5641" max="5641" width="11.85546875" style="53" bestFit="1" customWidth="1"/>
    <col min="5642" max="5642" width="12.85546875" style="53" bestFit="1" customWidth="1"/>
    <col min="5643" max="5888" width="9.140625" style="53"/>
    <col min="5889" max="5889" width="9.28515625" style="53" customWidth="1"/>
    <col min="5890" max="5890" width="39.85546875" style="53" customWidth="1"/>
    <col min="5891" max="5891" width="18.28515625" style="53" customWidth="1"/>
    <col min="5892" max="5892" width="23.85546875" style="53" customWidth="1"/>
    <col min="5893" max="5893" width="16" style="53" bestFit="1" customWidth="1"/>
    <col min="5894" max="5894" width="13.7109375" style="53" bestFit="1" customWidth="1"/>
    <col min="5895" max="5895" width="15.7109375" style="53" bestFit="1" customWidth="1"/>
    <col min="5896" max="5896" width="13.140625" style="53" bestFit="1" customWidth="1"/>
    <col min="5897" max="5897" width="11.85546875" style="53" bestFit="1" customWidth="1"/>
    <col min="5898" max="5898" width="12.85546875" style="53" bestFit="1" customWidth="1"/>
    <col min="5899" max="6144" width="9.140625" style="53"/>
    <col min="6145" max="6145" width="9.28515625" style="53" customWidth="1"/>
    <col min="6146" max="6146" width="39.85546875" style="53" customWidth="1"/>
    <col min="6147" max="6147" width="18.28515625" style="53" customWidth="1"/>
    <col min="6148" max="6148" width="23.85546875" style="53" customWidth="1"/>
    <col min="6149" max="6149" width="16" style="53" bestFit="1" customWidth="1"/>
    <col min="6150" max="6150" width="13.7109375" style="53" bestFit="1" customWidth="1"/>
    <col min="6151" max="6151" width="15.7109375" style="53" bestFit="1" customWidth="1"/>
    <col min="6152" max="6152" width="13.140625" style="53" bestFit="1" customWidth="1"/>
    <col min="6153" max="6153" width="11.85546875" style="53" bestFit="1" customWidth="1"/>
    <col min="6154" max="6154" width="12.85546875" style="53" bestFit="1" customWidth="1"/>
    <col min="6155" max="6400" width="9.140625" style="53"/>
    <col min="6401" max="6401" width="9.28515625" style="53" customWidth="1"/>
    <col min="6402" max="6402" width="39.85546875" style="53" customWidth="1"/>
    <col min="6403" max="6403" width="18.28515625" style="53" customWidth="1"/>
    <col min="6404" max="6404" width="23.85546875" style="53" customWidth="1"/>
    <col min="6405" max="6405" width="16" style="53" bestFit="1" customWidth="1"/>
    <col min="6406" max="6406" width="13.7109375" style="53" bestFit="1" customWidth="1"/>
    <col min="6407" max="6407" width="15.7109375" style="53" bestFit="1" customWidth="1"/>
    <col min="6408" max="6408" width="13.140625" style="53" bestFit="1" customWidth="1"/>
    <col min="6409" max="6409" width="11.85546875" style="53" bestFit="1" customWidth="1"/>
    <col min="6410" max="6410" width="12.85546875" style="53" bestFit="1" customWidth="1"/>
    <col min="6411" max="6656" width="9.140625" style="53"/>
    <col min="6657" max="6657" width="9.28515625" style="53" customWidth="1"/>
    <col min="6658" max="6658" width="39.85546875" style="53" customWidth="1"/>
    <col min="6659" max="6659" width="18.28515625" style="53" customWidth="1"/>
    <col min="6660" max="6660" width="23.85546875" style="53" customWidth="1"/>
    <col min="6661" max="6661" width="16" style="53" bestFit="1" customWidth="1"/>
    <col min="6662" max="6662" width="13.7109375" style="53" bestFit="1" customWidth="1"/>
    <col min="6663" max="6663" width="15.7109375" style="53" bestFit="1" customWidth="1"/>
    <col min="6664" max="6664" width="13.140625" style="53" bestFit="1" customWidth="1"/>
    <col min="6665" max="6665" width="11.85546875" style="53" bestFit="1" customWidth="1"/>
    <col min="6666" max="6666" width="12.85546875" style="53" bestFit="1" customWidth="1"/>
    <col min="6667" max="6912" width="9.140625" style="53"/>
    <col min="6913" max="6913" width="9.28515625" style="53" customWidth="1"/>
    <col min="6914" max="6914" width="39.85546875" style="53" customWidth="1"/>
    <col min="6915" max="6915" width="18.28515625" style="53" customWidth="1"/>
    <col min="6916" max="6916" width="23.85546875" style="53" customWidth="1"/>
    <col min="6917" max="6917" width="16" style="53" bestFit="1" customWidth="1"/>
    <col min="6918" max="6918" width="13.7109375" style="53" bestFit="1" customWidth="1"/>
    <col min="6919" max="6919" width="15.7109375" style="53" bestFit="1" customWidth="1"/>
    <col min="6920" max="6920" width="13.140625" style="53" bestFit="1" customWidth="1"/>
    <col min="6921" max="6921" width="11.85546875" style="53" bestFit="1" customWidth="1"/>
    <col min="6922" max="6922" width="12.85546875" style="53" bestFit="1" customWidth="1"/>
    <col min="6923" max="7168" width="9.140625" style="53"/>
    <col min="7169" max="7169" width="9.28515625" style="53" customWidth="1"/>
    <col min="7170" max="7170" width="39.85546875" style="53" customWidth="1"/>
    <col min="7171" max="7171" width="18.28515625" style="53" customWidth="1"/>
    <col min="7172" max="7172" width="23.85546875" style="53" customWidth="1"/>
    <col min="7173" max="7173" width="16" style="53" bestFit="1" customWidth="1"/>
    <col min="7174" max="7174" width="13.7109375" style="53" bestFit="1" customWidth="1"/>
    <col min="7175" max="7175" width="15.7109375" style="53" bestFit="1" customWidth="1"/>
    <col min="7176" max="7176" width="13.140625" style="53" bestFit="1" customWidth="1"/>
    <col min="7177" max="7177" width="11.85546875" style="53" bestFit="1" customWidth="1"/>
    <col min="7178" max="7178" width="12.85546875" style="53" bestFit="1" customWidth="1"/>
    <col min="7179" max="7424" width="9.140625" style="53"/>
    <col min="7425" max="7425" width="9.28515625" style="53" customWidth="1"/>
    <col min="7426" max="7426" width="39.85546875" style="53" customWidth="1"/>
    <col min="7427" max="7427" width="18.28515625" style="53" customWidth="1"/>
    <col min="7428" max="7428" width="23.85546875" style="53" customWidth="1"/>
    <col min="7429" max="7429" width="16" style="53" bestFit="1" customWidth="1"/>
    <col min="7430" max="7430" width="13.7109375" style="53" bestFit="1" customWidth="1"/>
    <col min="7431" max="7431" width="15.7109375" style="53" bestFit="1" customWidth="1"/>
    <col min="7432" max="7432" width="13.140625" style="53" bestFit="1" customWidth="1"/>
    <col min="7433" max="7433" width="11.85546875" style="53" bestFit="1" customWidth="1"/>
    <col min="7434" max="7434" width="12.85546875" style="53" bestFit="1" customWidth="1"/>
    <col min="7435" max="7680" width="9.140625" style="53"/>
    <col min="7681" max="7681" width="9.28515625" style="53" customWidth="1"/>
    <col min="7682" max="7682" width="39.85546875" style="53" customWidth="1"/>
    <col min="7683" max="7683" width="18.28515625" style="53" customWidth="1"/>
    <col min="7684" max="7684" width="23.85546875" style="53" customWidth="1"/>
    <col min="7685" max="7685" width="16" style="53" bestFit="1" customWidth="1"/>
    <col min="7686" max="7686" width="13.7109375" style="53" bestFit="1" customWidth="1"/>
    <col min="7687" max="7687" width="15.7109375" style="53" bestFit="1" customWidth="1"/>
    <col min="7688" max="7688" width="13.140625" style="53" bestFit="1" customWidth="1"/>
    <col min="7689" max="7689" width="11.85546875" style="53" bestFit="1" customWidth="1"/>
    <col min="7690" max="7690" width="12.85546875" style="53" bestFit="1" customWidth="1"/>
    <col min="7691" max="7936" width="9.140625" style="53"/>
    <col min="7937" max="7937" width="9.28515625" style="53" customWidth="1"/>
    <col min="7938" max="7938" width="39.85546875" style="53" customWidth="1"/>
    <col min="7939" max="7939" width="18.28515625" style="53" customWidth="1"/>
    <col min="7940" max="7940" width="23.85546875" style="53" customWidth="1"/>
    <col min="7941" max="7941" width="16" style="53" bestFit="1" customWidth="1"/>
    <col min="7942" max="7942" width="13.7109375" style="53" bestFit="1" customWidth="1"/>
    <col min="7943" max="7943" width="15.7109375" style="53" bestFit="1" customWidth="1"/>
    <col min="7944" max="7944" width="13.140625" style="53" bestFit="1" customWidth="1"/>
    <col min="7945" max="7945" width="11.85546875" style="53" bestFit="1" customWidth="1"/>
    <col min="7946" max="7946" width="12.85546875" style="53" bestFit="1" customWidth="1"/>
    <col min="7947" max="8192" width="9.140625" style="53"/>
    <col min="8193" max="8193" width="9.28515625" style="53" customWidth="1"/>
    <col min="8194" max="8194" width="39.85546875" style="53" customWidth="1"/>
    <col min="8195" max="8195" width="18.28515625" style="53" customWidth="1"/>
    <col min="8196" max="8196" width="23.85546875" style="53" customWidth="1"/>
    <col min="8197" max="8197" width="16" style="53" bestFit="1" customWidth="1"/>
    <col min="8198" max="8198" width="13.7109375" style="53" bestFit="1" customWidth="1"/>
    <col min="8199" max="8199" width="15.7109375" style="53" bestFit="1" customWidth="1"/>
    <col min="8200" max="8200" width="13.140625" style="53" bestFit="1" customWidth="1"/>
    <col min="8201" max="8201" width="11.85546875" style="53" bestFit="1" customWidth="1"/>
    <col min="8202" max="8202" width="12.85546875" style="53" bestFit="1" customWidth="1"/>
    <col min="8203" max="8448" width="9.140625" style="53"/>
    <col min="8449" max="8449" width="9.28515625" style="53" customWidth="1"/>
    <col min="8450" max="8450" width="39.85546875" style="53" customWidth="1"/>
    <col min="8451" max="8451" width="18.28515625" style="53" customWidth="1"/>
    <col min="8452" max="8452" width="23.85546875" style="53" customWidth="1"/>
    <col min="8453" max="8453" width="16" style="53" bestFit="1" customWidth="1"/>
    <col min="8454" max="8454" width="13.7109375" style="53" bestFit="1" customWidth="1"/>
    <col min="8455" max="8455" width="15.7109375" style="53" bestFit="1" customWidth="1"/>
    <col min="8456" max="8456" width="13.140625" style="53" bestFit="1" customWidth="1"/>
    <col min="8457" max="8457" width="11.85546875" style="53" bestFit="1" customWidth="1"/>
    <col min="8458" max="8458" width="12.85546875" style="53" bestFit="1" customWidth="1"/>
    <col min="8459" max="8704" width="9.140625" style="53"/>
    <col min="8705" max="8705" width="9.28515625" style="53" customWidth="1"/>
    <col min="8706" max="8706" width="39.85546875" style="53" customWidth="1"/>
    <col min="8707" max="8707" width="18.28515625" style="53" customWidth="1"/>
    <col min="8708" max="8708" width="23.85546875" style="53" customWidth="1"/>
    <col min="8709" max="8709" width="16" style="53" bestFit="1" customWidth="1"/>
    <col min="8710" max="8710" width="13.7109375" style="53" bestFit="1" customWidth="1"/>
    <col min="8711" max="8711" width="15.7109375" style="53" bestFit="1" customWidth="1"/>
    <col min="8712" max="8712" width="13.140625" style="53" bestFit="1" customWidth="1"/>
    <col min="8713" max="8713" width="11.85546875" style="53" bestFit="1" customWidth="1"/>
    <col min="8714" max="8714" width="12.85546875" style="53" bestFit="1" customWidth="1"/>
    <col min="8715" max="8960" width="9.140625" style="53"/>
    <col min="8961" max="8961" width="9.28515625" style="53" customWidth="1"/>
    <col min="8962" max="8962" width="39.85546875" style="53" customWidth="1"/>
    <col min="8963" max="8963" width="18.28515625" style="53" customWidth="1"/>
    <col min="8964" max="8964" width="23.85546875" style="53" customWidth="1"/>
    <col min="8965" max="8965" width="16" style="53" bestFit="1" customWidth="1"/>
    <col min="8966" max="8966" width="13.7109375" style="53" bestFit="1" customWidth="1"/>
    <col min="8967" max="8967" width="15.7109375" style="53" bestFit="1" customWidth="1"/>
    <col min="8968" max="8968" width="13.140625" style="53" bestFit="1" customWidth="1"/>
    <col min="8969" max="8969" width="11.85546875" style="53" bestFit="1" customWidth="1"/>
    <col min="8970" max="8970" width="12.85546875" style="53" bestFit="1" customWidth="1"/>
    <col min="8971" max="9216" width="9.140625" style="53"/>
    <col min="9217" max="9217" width="9.28515625" style="53" customWidth="1"/>
    <col min="9218" max="9218" width="39.85546875" style="53" customWidth="1"/>
    <col min="9219" max="9219" width="18.28515625" style="53" customWidth="1"/>
    <col min="9220" max="9220" width="23.85546875" style="53" customWidth="1"/>
    <col min="9221" max="9221" width="16" style="53" bestFit="1" customWidth="1"/>
    <col min="9222" max="9222" width="13.7109375" style="53" bestFit="1" customWidth="1"/>
    <col min="9223" max="9223" width="15.7109375" style="53" bestFit="1" customWidth="1"/>
    <col min="9224" max="9224" width="13.140625" style="53" bestFit="1" customWidth="1"/>
    <col min="9225" max="9225" width="11.85546875" style="53" bestFit="1" customWidth="1"/>
    <col min="9226" max="9226" width="12.85546875" style="53" bestFit="1" customWidth="1"/>
    <col min="9227" max="9472" width="9.140625" style="53"/>
    <col min="9473" max="9473" width="9.28515625" style="53" customWidth="1"/>
    <col min="9474" max="9474" width="39.85546875" style="53" customWidth="1"/>
    <col min="9475" max="9475" width="18.28515625" style="53" customWidth="1"/>
    <col min="9476" max="9476" width="23.85546875" style="53" customWidth="1"/>
    <col min="9477" max="9477" width="16" style="53" bestFit="1" customWidth="1"/>
    <col min="9478" max="9478" width="13.7109375" style="53" bestFit="1" customWidth="1"/>
    <col min="9479" max="9479" width="15.7109375" style="53" bestFit="1" customWidth="1"/>
    <col min="9480" max="9480" width="13.140625" style="53" bestFit="1" customWidth="1"/>
    <col min="9481" max="9481" width="11.85546875" style="53" bestFit="1" customWidth="1"/>
    <col min="9482" max="9482" width="12.85546875" style="53" bestFit="1" customWidth="1"/>
    <col min="9483" max="9728" width="9.140625" style="53"/>
    <col min="9729" max="9729" width="9.28515625" style="53" customWidth="1"/>
    <col min="9730" max="9730" width="39.85546875" style="53" customWidth="1"/>
    <col min="9731" max="9731" width="18.28515625" style="53" customWidth="1"/>
    <col min="9732" max="9732" width="23.85546875" style="53" customWidth="1"/>
    <col min="9733" max="9733" width="16" style="53" bestFit="1" customWidth="1"/>
    <col min="9734" max="9734" width="13.7109375" style="53" bestFit="1" customWidth="1"/>
    <col min="9735" max="9735" width="15.7109375" style="53" bestFit="1" customWidth="1"/>
    <col min="9736" max="9736" width="13.140625" style="53" bestFit="1" customWidth="1"/>
    <col min="9737" max="9737" width="11.85546875" style="53" bestFit="1" customWidth="1"/>
    <col min="9738" max="9738" width="12.85546875" style="53" bestFit="1" customWidth="1"/>
    <col min="9739" max="9984" width="9.140625" style="53"/>
    <col min="9985" max="9985" width="9.28515625" style="53" customWidth="1"/>
    <col min="9986" max="9986" width="39.85546875" style="53" customWidth="1"/>
    <col min="9987" max="9987" width="18.28515625" style="53" customWidth="1"/>
    <col min="9988" max="9988" width="23.85546875" style="53" customWidth="1"/>
    <col min="9989" max="9989" width="16" style="53" bestFit="1" customWidth="1"/>
    <col min="9990" max="9990" width="13.7109375" style="53" bestFit="1" customWidth="1"/>
    <col min="9991" max="9991" width="15.7109375" style="53" bestFit="1" customWidth="1"/>
    <col min="9992" max="9992" width="13.140625" style="53" bestFit="1" customWidth="1"/>
    <col min="9993" max="9993" width="11.85546875" style="53" bestFit="1" customWidth="1"/>
    <col min="9994" max="9994" width="12.85546875" style="53" bestFit="1" customWidth="1"/>
    <col min="9995" max="10240" width="9.140625" style="53"/>
    <col min="10241" max="10241" width="9.28515625" style="53" customWidth="1"/>
    <col min="10242" max="10242" width="39.85546875" style="53" customWidth="1"/>
    <col min="10243" max="10243" width="18.28515625" style="53" customWidth="1"/>
    <col min="10244" max="10244" width="23.85546875" style="53" customWidth="1"/>
    <col min="10245" max="10245" width="16" style="53" bestFit="1" customWidth="1"/>
    <col min="10246" max="10246" width="13.7109375" style="53" bestFit="1" customWidth="1"/>
    <col min="10247" max="10247" width="15.7109375" style="53" bestFit="1" customWidth="1"/>
    <col min="10248" max="10248" width="13.140625" style="53" bestFit="1" customWidth="1"/>
    <col min="10249" max="10249" width="11.85546875" style="53" bestFit="1" customWidth="1"/>
    <col min="10250" max="10250" width="12.85546875" style="53" bestFit="1" customWidth="1"/>
    <col min="10251" max="10496" width="9.140625" style="53"/>
    <col min="10497" max="10497" width="9.28515625" style="53" customWidth="1"/>
    <col min="10498" max="10498" width="39.85546875" style="53" customWidth="1"/>
    <col min="10499" max="10499" width="18.28515625" style="53" customWidth="1"/>
    <col min="10500" max="10500" width="23.85546875" style="53" customWidth="1"/>
    <col min="10501" max="10501" width="16" style="53" bestFit="1" customWidth="1"/>
    <col min="10502" max="10502" width="13.7109375" style="53" bestFit="1" customWidth="1"/>
    <col min="10503" max="10503" width="15.7109375" style="53" bestFit="1" customWidth="1"/>
    <col min="10504" max="10504" width="13.140625" style="53" bestFit="1" customWidth="1"/>
    <col min="10505" max="10505" width="11.85546875" style="53" bestFit="1" customWidth="1"/>
    <col min="10506" max="10506" width="12.85546875" style="53" bestFit="1" customWidth="1"/>
    <col min="10507" max="10752" width="9.140625" style="53"/>
    <col min="10753" max="10753" width="9.28515625" style="53" customWidth="1"/>
    <col min="10754" max="10754" width="39.85546875" style="53" customWidth="1"/>
    <col min="10755" max="10755" width="18.28515625" style="53" customWidth="1"/>
    <col min="10756" max="10756" width="23.85546875" style="53" customWidth="1"/>
    <col min="10757" max="10757" width="16" style="53" bestFit="1" customWidth="1"/>
    <col min="10758" max="10758" width="13.7109375" style="53" bestFit="1" customWidth="1"/>
    <col min="10759" max="10759" width="15.7109375" style="53" bestFit="1" customWidth="1"/>
    <col min="10760" max="10760" width="13.140625" style="53" bestFit="1" customWidth="1"/>
    <col min="10761" max="10761" width="11.85546875" style="53" bestFit="1" customWidth="1"/>
    <col min="10762" max="10762" width="12.85546875" style="53" bestFit="1" customWidth="1"/>
    <col min="10763" max="11008" width="9.140625" style="53"/>
    <col min="11009" max="11009" width="9.28515625" style="53" customWidth="1"/>
    <col min="11010" max="11010" width="39.85546875" style="53" customWidth="1"/>
    <col min="11011" max="11011" width="18.28515625" style="53" customWidth="1"/>
    <col min="11012" max="11012" width="23.85546875" style="53" customWidth="1"/>
    <col min="11013" max="11013" width="16" style="53" bestFit="1" customWidth="1"/>
    <col min="11014" max="11014" width="13.7109375" style="53" bestFit="1" customWidth="1"/>
    <col min="11015" max="11015" width="15.7109375" style="53" bestFit="1" customWidth="1"/>
    <col min="11016" max="11016" width="13.140625" style="53" bestFit="1" customWidth="1"/>
    <col min="11017" max="11017" width="11.85546875" style="53" bestFit="1" customWidth="1"/>
    <col min="11018" max="11018" width="12.85546875" style="53" bestFit="1" customWidth="1"/>
    <col min="11019" max="11264" width="9.140625" style="53"/>
    <col min="11265" max="11265" width="9.28515625" style="53" customWidth="1"/>
    <col min="11266" max="11266" width="39.85546875" style="53" customWidth="1"/>
    <col min="11267" max="11267" width="18.28515625" style="53" customWidth="1"/>
    <col min="11268" max="11268" width="23.85546875" style="53" customWidth="1"/>
    <col min="11269" max="11269" width="16" style="53" bestFit="1" customWidth="1"/>
    <col min="11270" max="11270" width="13.7109375" style="53" bestFit="1" customWidth="1"/>
    <col min="11271" max="11271" width="15.7109375" style="53" bestFit="1" customWidth="1"/>
    <col min="11272" max="11272" width="13.140625" style="53" bestFit="1" customWidth="1"/>
    <col min="11273" max="11273" width="11.85546875" style="53" bestFit="1" customWidth="1"/>
    <col min="11274" max="11274" width="12.85546875" style="53" bestFit="1" customWidth="1"/>
    <col min="11275" max="11520" width="9.140625" style="53"/>
    <col min="11521" max="11521" width="9.28515625" style="53" customWidth="1"/>
    <col min="11522" max="11522" width="39.85546875" style="53" customWidth="1"/>
    <col min="11523" max="11523" width="18.28515625" style="53" customWidth="1"/>
    <col min="11524" max="11524" width="23.85546875" style="53" customWidth="1"/>
    <col min="11525" max="11525" width="16" style="53" bestFit="1" customWidth="1"/>
    <col min="11526" max="11526" width="13.7109375" style="53" bestFit="1" customWidth="1"/>
    <col min="11527" max="11527" width="15.7109375" style="53" bestFit="1" customWidth="1"/>
    <col min="11528" max="11528" width="13.140625" style="53" bestFit="1" customWidth="1"/>
    <col min="11529" max="11529" width="11.85546875" style="53" bestFit="1" customWidth="1"/>
    <col min="11530" max="11530" width="12.85546875" style="53" bestFit="1" customWidth="1"/>
    <col min="11531" max="11776" width="9.140625" style="53"/>
    <col min="11777" max="11777" width="9.28515625" style="53" customWidth="1"/>
    <col min="11778" max="11778" width="39.85546875" style="53" customWidth="1"/>
    <col min="11779" max="11779" width="18.28515625" style="53" customWidth="1"/>
    <col min="11780" max="11780" width="23.85546875" style="53" customWidth="1"/>
    <col min="11781" max="11781" width="16" style="53" bestFit="1" customWidth="1"/>
    <col min="11782" max="11782" width="13.7109375" style="53" bestFit="1" customWidth="1"/>
    <col min="11783" max="11783" width="15.7109375" style="53" bestFit="1" customWidth="1"/>
    <col min="11784" max="11784" width="13.140625" style="53" bestFit="1" customWidth="1"/>
    <col min="11785" max="11785" width="11.85546875" style="53" bestFit="1" customWidth="1"/>
    <col min="11786" max="11786" width="12.85546875" style="53" bestFit="1" customWidth="1"/>
    <col min="11787" max="12032" width="9.140625" style="53"/>
    <col min="12033" max="12033" width="9.28515625" style="53" customWidth="1"/>
    <col min="12034" max="12034" width="39.85546875" style="53" customWidth="1"/>
    <col min="12035" max="12035" width="18.28515625" style="53" customWidth="1"/>
    <col min="12036" max="12036" width="23.85546875" style="53" customWidth="1"/>
    <col min="12037" max="12037" width="16" style="53" bestFit="1" customWidth="1"/>
    <col min="12038" max="12038" width="13.7109375" style="53" bestFit="1" customWidth="1"/>
    <col min="12039" max="12039" width="15.7109375" style="53" bestFit="1" customWidth="1"/>
    <col min="12040" max="12040" width="13.140625" style="53" bestFit="1" customWidth="1"/>
    <col min="12041" max="12041" width="11.85546875" style="53" bestFit="1" customWidth="1"/>
    <col min="12042" max="12042" width="12.85546875" style="53" bestFit="1" customWidth="1"/>
    <col min="12043" max="12288" width="9.140625" style="53"/>
    <col min="12289" max="12289" width="9.28515625" style="53" customWidth="1"/>
    <col min="12290" max="12290" width="39.85546875" style="53" customWidth="1"/>
    <col min="12291" max="12291" width="18.28515625" style="53" customWidth="1"/>
    <col min="12292" max="12292" width="23.85546875" style="53" customWidth="1"/>
    <col min="12293" max="12293" width="16" style="53" bestFit="1" customWidth="1"/>
    <col min="12294" max="12294" width="13.7109375" style="53" bestFit="1" customWidth="1"/>
    <col min="12295" max="12295" width="15.7109375" style="53" bestFit="1" customWidth="1"/>
    <col min="12296" max="12296" width="13.140625" style="53" bestFit="1" customWidth="1"/>
    <col min="12297" max="12297" width="11.85546875" style="53" bestFit="1" customWidth="1"/>
    <col min="12298" max="12298" width="12.85546875" style="53" bestFit="1" customWidth="1"/>
    <col min="12299" max="12544" width="9.140625" style="53"/>
    <col min="12545" max="12545" width="9.28515625" style="53" customWidth="1"/>
    <col min="12546" max="12546" width="39.85546875" style="53" customWidth="1"/>
    <col min="12547" max="12547" width="18.28515625" style="53" customWidth="1"/>
    <col min="12548" max="12548" width="23.85546875" style="53" customWidth="1"/>
    <col min="12549" max="12549" width="16" style="53" bestFit="1" customWidth="1"/>
    <col min="12550" max="12550" width="13.7109375" style="53" bestFit="1" customWidth="1"/>
    <col min="12551" max="12551" width="15.7109375" style="53" bestFit="1" customWidth="1"/>
    <col min="12552" max="12552" width="13.140625" style="53" bestFit="1" customWidth="1"/>
    <col min="12553" max="12553" width="11.85546875" style="53" bestFit="1" customWidth="1"/>
    <col min="12554" max="12554" width="12.85546875" style="53" bestFit="1" customWidth="1"/>
    <col min="12555" max="12800" width="9.140625" style="53"/>
    <col min="12801" max="12801" width="9.28515625" style="53" customWidth="1"/>
    <col min="12802" max="12802" width="39.85546875" style="53" customWidth="1"/>
    <col min="12803" max="12803" width="18.28515625" style="53" customWidth="1"/>
    <col min="12804" max="12804" width="23.85546875" style="53" customWidth="1"/>
    <col min="12805" max="12805" width="16" style="53" bestFit="1" customWidth="1"/>
    <col min="12806" max="12806" width="13.7109375" style="53" bestFit="1" customWidth="1"/>
    <col min="12807" max="12807" width="15.7109375" style="53" bestFit="1" customWidth="1"/>
    <col min="12808" max="12808" width="13.140625" style="53" bestFit="1" customWidth="1"/>
    <col min="12809" max="12809" width="11.85546875" style="53" bestFit="1" customWidth="1"/>
    <col min="12810" max="12810" width="12.85546875" style="53" bestFit="1" customWidth="1"/>
    <col min="12811" max="13056" width="9.140625" style="53"/>
    <col min="13057" max="13057" width="9.28515625" style="53" customWidth="1"/>
    <col min="13058" max="13058" width="39.85546875" style="53" customWidth="1"/>
    <col min="13059" max="13059" width="18.28515625" style="53" customWidth="1"/>
    <col min="13060" max="13060" width="23.85546875" style="53" customWidth="1"/>
    <col min="13061" max="13061" width="16" style="53" bestFit="1" customWidth="1"/>
    <col min="13062" max="13062" width="13.7109375" style="53" bestFit="1" customWidth="1"/>
    <col min="13063" max="13063" width="15.7109375" style="53" bestFit="1" customWidth="1"/>
    <col min="13064" max="13064" width="13.140625" style="53" bestFit="1" customWidth="1"/>
    <col min="13065" max="13065" width="11.85546875" style="53" bestFit="1" customWidth="1"/>
    <col min="13066" max="13066" width="12.85546875" style="53" bestFit="1" customWidth="1"/>
    <col min="13067" max="13312" width="9.140625" style="53"/>
    <col min="13313" max="13313" width="9.28515625" style="53" customWidth="1"/>
    <col min="13314" max="13314" width="39.85546875" style="53" customWidth="1"/>
    <col min="13315" max="13315" width="18.28515625" style="53" customWidth="1"/>
    <col min="13316" max="13316" width="23.85546875" style="53" customWidth="1"/>
    <col min="13317" max="13317" width="16" style="53" bestFit="1" customWidth="1"/>
    <col min="13318" max="13318" width="13.7109375" style="53" bestFit="1" customWidth="1"/>
    <col min="13319" max="13319" width="15.7109375" style="53" bestFit="1" customWidth="1"/>
    <col min="13320" max="13320" width="13.140625" style="53" bestFit="1" customWidth="1"/>
    <col min="13321" max="13321" width="11.85546875" style="53" bestFit="1" customWidth="1"/>
    <col min="13322" max="13322" width="12.85546875" style="53" bestFit="1" customWidth="1"/>
    <col min="13323" max="13568" width="9.140625" style="53"/>
    <col min="13569" max="13569" width="9.28515625" style="53" customWidth="1"/>
    <col min="13570" max="13570" width="39.85546875" style="53" customWidth="1"/>
    <col min="13571" max="13571" width="18.28515625" style="53" customWidth="1"/>
    <col min="13572" max="13572" width="23.85546875" style="53" customWidth="1"/>
    <col min="13573" max="13573" width="16" style="53" bestFit="1" customWidth="1"/>
    <col min="13574" max="13574" width="13.7109375" style="53" bestFit="1" customWidth="1"/>
    <col min="13575" max="13575" width="15.7109375" style="53" bestFit="1" customWidth="1"/>
    <col min="13576" max="13576" width="13.140625" style="53" bestFit="1" customWidth="1"/>
    <col min="13577" max="13577" width="11.85546875" style="53" bestFit="1" customWidth="1"/>
    <col min="13578" max="13578" width="12.85546875" style="53" bestFit="1" customWidth="1"/>
    <col min="13579" max="13824" width="9.140625" style="53"/>
    <col min="13825" max="13825" width="9.28515625" style="53" customWidth="1"/>
    <col min="13826" max="13826" width="39.85546875" style="53" customWidth="1"/>
    <col min="13827" max="13827" width="18.28515625" style="53" customWidth="1"/>
    <col min="13828" max="13828" width="23.85546875" style="53" customWidth="1"/>
    <col min="13829" max="13829" width="16" style="53" bestFit="1" customWidth="1"/>
    <col min="13830" max="13830" width="13.7109375" style="53" bestFit="1" customWidth="1"/>
    <col min="13831" max="13831" width="15.7109375" style="53" bestFit="1" customWidth="1"/>
    <col min="13832" max="13832" width="13.140625" style="53" bestFit="1" customWidth="1"/>
    <col min="13833" max="13833" width="11.85546875" style="53" bestFit="1" customWidth="1"/>
    <col min="13834" max="13834" width="12.85546875" style="53" bestFit="1" customWidth="1"/>
    <col min="13835" max="14080" width="9.140625" style="53"/>
    <col min="14081" max="14081" width="9.28515625" style="53" customWidth="1"/>
    <col min="14082" max="14082" width="39.85546875" style="53" customWidth="1"/>
    <col min="14083" max="14083" width="18.28515625" style="53" customWidth="1"/>
    <col min="14084" max="14084" width="23.85546875" style="53" customWidth="1"/>
    <col min="14085" max="14085" width="16" style="53" bestFit="1" customWidth="1"/>
    <col min="14086" max="14086" width="13.7109375" style="53" bestFit="1" customWidth="1"/>
    <col min="14087" max="14087" width="15.7109375" style="53" bestFit="1" customWidth="1"/>
    <col min="14088" max="14088" width="13.140625" style="53" bestFit="1" customWidth="1"/>
    <col min="14089" max="14089" width="11.85546875" style="53" bestFit="1" customWidth="1"/>
    <col min="14090" max="14090" width="12.85546875" style="53" bestFit="1" customWidth="1"/>
    <col min="14091" max="14336" width="9.140625" style="53"/>
    <col min="14337" max="14337" width="9.28515625" style="53" customWidth="1"/>
    <col min="14338" max="14338" width="39.85546875" style="53" customWidth="1"/>
    <col min="14339" max="14339" width="18.28515625" style="53" customWidth="1"/>
    <col min="14340" max="14340" width="23.85546875" style="53" customWidth="1"/>
    <col min="14341" max="14341" width="16" style="53" bestFit="1" customWidth="1"/>
    <col min="14342" max="14342" width="13.7109375" style="53" bestFit="1" customWidth="1"/>
    <col min="14343" max="14343" width="15.7109375" style="53" bestFit="1" customWidth="1"/>
    <col min="14344" max="14344" width="13.140625" style="53" bestFit="1" customWidth="1"/>
    <col min="14345" max="14345" width="11.85546875" style="53" bestFit="1" customWidth="1"/>
    <col min="14346" max="14346" width="12.85546875" style="53" bestFit="1" customWidth="1"/>
    <col min="14347" max="14592" width="9.140625" style="53"/>
    <col min="14593" max="14593" width="9.28515625" style="53" customWidth="1"/>
    <col min="14594" max="14594" width="39.85546875" style="53" customWidth="1"/>
    <col min="14595" max="14595" width="18.28515625" style="53" customWidth="1"/>
    <col min="14596" max="14596" width="23.85546875" style="53" customWidth="1"/>
    <col min="14597" max="14597" width="16" style="53" bestFit="1" customWidth="1"/>
    <col min="14598" max="14598" width="13.7109375" style="53" bestFit="1" customWidth="1"/>
    <col min="14599" max="14599" width="15.7109375" style="53" bestFit="1" customWidth="1"/>
    <col min="14600" max="14600" width="13.140625" style="53" bestFit="1" customWidth="1"/>
    <col min="14601" max="14601" width="11.85546875" style="53" bestFit="1" customWidth="1"/>
    <col min="14602" max="14602" width="12.85546875" style="53" bestFit="1" customWidth="1"/>
    <col min="14603" max="14848" width="9.140625" style="53"/>
    <col min="14849" max="14849" width="9.28515625" style="53" customWidth="1"/>
    <col min="14850" max="14850" width="39.85546875" style="53" customWidth="1"/>
    <col min="14851" max="14851" width="18.28515625" style="53" customWidth="1"/>
    <col min="14852" max="14852" width="23.85546875" style="53" customWidth="1"/>
    <col min="14853" max="14853" width="16" style="53" bestFit="1" customWidth="1"/>
    <col min="14854" max="14854" width="13.7109375" style="53" bestFit="1" customWidth="1"/>
    <col min="14855" max="14855" width="15.7109375" style="53" bestFit="1" customWidth="1"/>
    <col min="14856" max="14856" width="13.140625" style="53" bestFit="1" customWidth="1"/>
    <col min="14857" max="14857" width="11.85546875" style="53" bestFit="1" customWidth="1"/>
    <col min="14858" max="14858" width="12.85546875" style="53" bestFit="1" customWidth="1"/>
    <col min="14859" max="15104" width="9.140625" style="53"/>
    <col min="15105" max="15105" width="9.28515625" style="53" customWidth="1"/>
    <col min="15106" max="15106" width="39.85546875" style="53" customWidth="1"/>
    <col min="15107" max="15107" width="18.28515625" style="53" customWidth="1"/>
    <col min="15108" max="15108" width="23.85546875" style="53" customWidth="1"/>
    <col min="15109" max="15109" width="16" style="53" bestFit="1" customWidth="1"/>
    <col min="15110" max="15110" width="13.7109375" style="53" bestFit="1" customWidth="1"/>
    <col min="15111" max="15111" width="15.7109375" style="53" bestFit="1" customWidth="1"/>
    <col min="15112" max="15112" width="13.140625" style="53" bestFit="1" customWidth="1"/>
    <col min="15113" max="15113" width="11.85546875" style="53" bestFit="1" customWidth="1"/>
    <col min="15114" max="15114" width="12.85546875" style="53" bestFit="1" customWidth="1"/>
    <col min="15115" max="15360" width="9.140625" style="53"/>
    <col min="15361" max="15361" width="9.28515625" style="53" customWidth="1"/>
    <col min="15362" max="15362" width="39.85546875" style="53" customWidth="1"/>
    <col min="15363" max="15363" width="18.28515625" style="53" customWidth="1"/>
    <col min="15364" max="15364" width="23.85546875" style="53" customWidth="1"/>
    <col min="15365" max="15365" width="16" style="53" bestFit="1" customWidth="1"/>
    <col min="15366" max="15366" width="13.7109375" style="53" bestFit="1" customWidth="1"/>
    <col min="15367" max="15367" width="15.7109375" style="53" bestFit="1" customWidth="1"/>
    <col min="15368" max="15368" width="13.140625" style="53" bestFit="1" customWidth="1"/>
    <col min="15369" max="15369" width="11.85546875" style="53" bestFit="1" customWidth="1"/>
    <col min="15370" max="15370" width="12.85546875" style="53" bestFit="1" customWidth="1"/>
    <col min="15371" max="15616" width="9.140625" style="53"/>
    <col min="15617" max="15617" width="9.28515625" style="53" customWidth="1"/>
    <col min="15618" max="15618" width="39.85546875" style="53" customWidth="1"/>
    <col min="15619" max="15619" width="18.28515625" style="53" customWidth="1"/>
    <col min="15620" max="15620" width="23.85546875" style="53" customWidth="1"/>
    <col min="15621" max="15621" width="16" style="53" bestFit="1" customWidth="1"/>
    <col min="15622" max="15622" width="13.7109375" style="53" bestFit="1" customWidth="1"/>
    <col min="15623" max="15623" width="15.7109375" style="53" bestFit="1" customWidth="1"/>
    <col min="15624" max="15624" width="13.140625" style="53" bestFit="1" customWidth="1"/>
    <col min="15625" max="15625" width="11.85546875" style="53" bestFit="1" customWidth="1"/>
    <col min="15626" max="15626" width="12.85546875" style="53" bestFit="1" customWidth="1"/>
    <col min="15627" max="15872" width="9.140625" style="53"/>
    <col min="15873" max="15873" width="9.28515625" style="53" customWidth="1"/>
    <col min="15874" max="15874" width="39.85546875" style="53" customWidth="1"/>
    <col min="15875" max="15875" width="18.28515625" style="53" customWidth="1"/>
    <col min="15876" max="15876" width="23.85546875" style="53" customWidth="1"/>
    <col min="15877" max="15877" width="16" style="53" bestFit="1" customWidth="1"/>
    <col min="15878" max="15878" width="13.7109375" style="53" bestFit="1" customWidth="1"/>
    <col min="15879" max="15879" width="15.7109375" style="53" bestFit="1" customWidth="1"/>
    <col min="15880" max="15880" width="13.140625" style="53" bestFit="1" customWidth="1"/>
    <col min="15881" max="15881" width="11.85546875" style="53" bestFit="1" customWidth="1"/>
    <col min="15882" max="15882" width="12.85546875" style="53" bestFit="1" customWidth="1"/>
    <col min="15883" max="16128" width="9.140625" style="53"/>
    <col min="16129" max="16129" width="9.28515625" style="53" customWidth="1"/>
    <col min="16130" max="16130" width="39.85546875" style="53" customWidth="1"/>
    <col min="16131" max="16131" width="18.28515625" style="53" customWidth="1"/>
    <col min="16132" max="16132" width="23.85546875" style="53" customWidth="1"/>
    <col min="16133" max="16133" width="16" style="53" bestFit="1" customWidth="1"/>
    <col min="16134" max="16134" width="13.7109375" style="53" bestFit="1" customWidth="1"/>
    <col min="16135" max="16135" width="15.7109375" style="53" bestFit="1" customWidth="1"/>
    <col min="16136" max="16136" width="13.140625" style="53" bestFit="1" customWidth="1"/>
    <col min="16137" max="16137" width="11.85546875" style="53" bestFit="1" customWidth="1"/>
    <col min="16138" max="16138" width="12.85546875" style="53" bestFit="1" customWidth="1"/>
    <col min="16139" max="16384" width="9.140625" style="53"/>
  </cols>
  <sheetData>
    <row r="3" spans="1:7" ht="15.75" customHeight="1">
      <c r="A3" s="543" t="s">
        <v>255</v>
      </c>
      <c r="B3" s="543"/>
      <c r="C3" s="543"/>
      <c r="D3" s="543"/>
      <c r="E3" s="52"/>
      <c r="F3" s="52"/>
      <c r="G3" s="52"/>
    </row>
    <row r="4" spans="1:7">
      <c r="A4" s="543"/>
      <c r="B4" s="543"/>
      <c r="C4" s="543"/>
      <c r="D4" s="543"/>
      <c r="E4" s="52"/>
      <c r="F4" s="52"/>
      <c r="G4" s="52"/>
    </row>
    <row r="5" spans="1:7">
      <c r="A5" s="54"/>
      <c r="B5" s="52"/>
      <c r="C5" s="52"/>
      <c r="D5" s="52"/>
      <c r="E5" s="52"/>
      <c r="F5" s="52"/>
      <c r="G5" s="52"/>
    </row>
    <row r="6" spans="1:7" ht="15.75" customHeight="1">
      <c r="A6" s="544" t="s">
        <v>550</v>
      </c>
      <c r="B6" s="544"/>
      <c r="C6" s="544"/>
      <c r="D6" s="544"/>
      <c r="E6" s="52"/>
      <c r="F6" s="52"/>
      <c r="G6" s="52"/>
    </row>
    <row r="7" spans="1:7">
      <c r="A7" s="522"/>
      <c r="B7" s="522"/>
      <c r="C7" s="522"/>
      <c r="D7" s="522"/>
    </row>
    <row r="8" spans="1:7">
      <c r="A8" s="237" t="s">
        <v>551</v>
      </c>
      <c r="B8" s="238"/>
      <c r="C8" s="187"/>
      <c r="D8" s="187"/>
    </row>
    <row r="9" spans="1:7">
      <c r="A9" s="522"/>
      <c r="B9" s="522"/>
      <c r="C9" s="522"/>
      <c r="D9" s="522"/>
    </row>
    <row r="10" spans="1:7">
      <c r="A10" s="57" t="s">
        <v>256</v>
      </c>
      <c r="B10" s="188"/>
      <c r="C10" s="187"/>
      <c r="D10" s="187"/>
    </row>
    <row r="11" spans="1:7">
      <c r="A11" s="59" t="s">
        <v>257</v>
      </c>
      <c r="B11" s="541" t="s">
        <v>258</v>
      </c>
      <c r="C11" s="542"/>
      <c r="D11" s="239">
        <v>42550</v>
      </c>
    </row>
    <row r="12" spans="1:7">
      <c r="A12" s="59" t="s">
        <v>259</v>
      </c>
      <c r="B12" s="62" t="s">
        <v>260</v>
      </c>
      <c r="C12" s="63"/>
      <c r="D12" s="240" t="s">
        <v>374</v>
      </c>
    </row>
    <row r="13" spans="1:7">
      <c r="A13" s="59" t="s">
        <v>261</v>
      </c>
      <c r="B13" s="541" t="s">
        <v>262</v>
      </c>
      <c r="C13" s="542"/>
      <c r="D13" s="240">
        <v>2016</v>
      </c>
    </row>
    <row r="14" spans="1:7">
      <c r="A14" s="64" t="s">
        <v>263</v>
      </c>
      <c r="B14" s="65" t="s">
        <v>555</v>
      </c>
      <c r="C14" s="66"/>
      <c r="D14" s="239">
        <v>42625</v>
      </c>
    </row>
    <row r="16" spans="1:7">
      <c r="A16" s="190"/>
    </row>
    <row r="17" spans="1:7">
      <c r="A17" s="523"/>
      <c r="B17" s="523"/>
      <c r="C17" s="523"/>
      <c r="D17" s="523"/>
      <c r="E17" s="523"/>
      <c r="F17" s="523"/>
      <c r="G17" s="523"/>
    </row>
    <row r="18" spans="1:7" ht="35.25" customHeight="1">
      <c r="A18" s="545" t="s">
        <v>264</v>
      </c>
      <c r="B18" s="545"/>
      <c r="C18" s="67" t="s">
        <v>265</v>
      </c>
      <c r="D18" s="67" t="s">
        <v>266</v>
      </c>
    </row>
    <row r="19" spans="1:7">
      <c r="A19" s="241">
        <v>1</v>
      </c>
      <c r="B19" s="242" t="s">
        <v>561</v>
      </c>
      <c r="C19" s="241" t="s">
        <v>267</v>
      </c>
      <c r="D19" s="243">
        <v>2</v>
      </c>
    </row>
    <row r="20" spans="1:7">
      <c r="A20" s="68"/>
      <c r="B20" s="69"/>
      <c r="C20" s="68"/>
      <c r="D20" s="70"/>
    </row>
    <row r="21" spans="1:7">
      <c r="A21" s="522" t="s">
        <v>268</v>
      </c>
      <c r="B21" s="522"/>
      <c r="C21" s="522"/>
      <c r="D21" s="522"/>
      <c r="E21" s="522"/>
      <c r="F21" s="522"/>
      <c r="G21" s="522"/>
    </row>
    <row r="22" spans="1:7">
      <c r="A22" s="71"/>
    </row>
    <row r="23" spans="1:7">
      <c r="A23" s="57" t="s">
        <v>269</v>
      </c>
    </row>
    <row r="24" spans="1:7">
      <c r="A24" s="57" t="s">
        <v>270</v>
      </c>
    </row>
    <row r="25" spans="1:7">
      <c r="A25" s="72" t="s">
        <v>271</v>
      </c>
      <c r="B25" s="60"/>
      <c r="C25" s="60"/>
      <c r="D25" s="61"/>
    </row>
    <row r="26" spans="1:7">
      <c r="A26" s="73">
        <v>1</v>
      </c>
      <c r="B26" s="74" t="s">
        <v>272</v>
      </c>
      <c r="C26" s="74"/>
      <c r="D26" s="244" t="str">
        <f>B19</f>
        <v>JARDINEIRO</v>
      </c>
    </row>
    <row r="27" spans="1:7" ht="30.75" customHeight="1">
      <c r="A27" s="73">
        <v>2</v>
      </c>
      <c r="B27" s="539" t="s">
        <v>273</v>
      </c>
      <c r="C27" s="540"/>
      <c r="D27" s="175">
        <v>1176</v>
      </c>
    </row>
    <row r="28" spans="1:7" ht="31.5" customHeight="1">
      <c r="A28" s="73">
        <v>3</v>
      </c>
      <c r="B28" s="539" t="s">
        <v>274</v>
      </c>
      <c r="C28" s="540"/>
      <c r="D28" s="176" t="s">
        <v>375</v>
      </c>
    </row>
    <row r="29" spans="1:7">
      <c r="A29" s="75">
        <v>4</v>
      </c>
      <c r="B29" s="76" t="s">
        <v>275</v>
      </c>
      <c r="C29" s="76"/>
      <c r="D29" s="77">
        <v>42401</v>
      </c>
    </row>
    <row r="30" spans="1:7">
      <c r="A30" s="71"/>
    </row>
    <row r="31" spans="1:7">
      <c r="A31" s="71"/>
    </row>
    <row r="32" spans="1:7">
      <c r="A32" s="71"/>
    </row>
    <row r="33" spans="1:7" ht="16.5" customHeight="1" thickBot="1">
      <c r="A33" s="523" t="s">
        <v>276</v>
      </c>
      <c r="B33" s="523"/>
      <c r="C33" s="523"/>
      <c r="D33" s="523"/>
      <c r="E33" s="523"/>
      <c r="F33" s="52"/>
      <c r="G33" s="52"/>
    </row>
    <row r="34" spans="1:7" ht="16.5" thickBot="1">
      <c r="A34" s="78" t="s">
        <v>277</v>
      </c>
      <c r="B34" s="79" t="s">
        <v>278</v>
      </c>
      <c r="C34" s="80"/>
      <c r="D34" s="81" t="s">
        <v>279</v>
      </c>
    </row>
    <row r="35" spans="1:7">
      <c r="A35" s="82" t="s">
        <v>257</v>
      </c>
      <c r="B35" s="83" t="s">
        <v>280</v>
      </c>
      <c r="C35" s="84"/>
      <c r="D35" s="85">
        <f>ROUND(((D27/220)*(365.25/12)*(40/6)),2)</f>
        <v>1084.68</v>
      </c>
    </row>
    <row r="36" spans="1:7">
      <c r="A36" s="191" t="s">
        <v>259</v>
      </c>
      <c r="B36" s="87" t="s">
        <v>281</v>
      </c>
      <c r="C36" s="88"/>
      <c r="D36" s="89">
        <v>0</v>
      </c>
    </row>
    <row r="37" spans="1:7">
      <c r="A37" s="191" t="s">
        <v>261</v>
      </c>
      <c r="B37" s="87" t="s">
        <v>282</v>
      </c>
      <c r="C37" s="90"/>
      <c r="D37" s="89">
        <v>0</v>
      </c>
    </row>
    <row r="38" spans="1:7">
      <c r="A38" s="191" t="s">
        <v>263</v>
      </c>
      <c r="B38" s="91" t="s">
        <v>552</v>
      </c>
      <c r="C38" s="88"/>
      <c r="D38" s="89">
        <v>0</v>
      </c>
    </row>
    <row r="39" spans="1:7">
      <c r="A39" s="191" t="s">
        <v>284</v>
      </c>
      <c r="B39" s="91" t="s">
        <v>285</v>
      </c>
      <c r="C39" s="92"/>
      <c r="D39" s="89">
        <v>0</v>
      </c>
    </row>
    <row r="40" spans="1:7">
      <c r="A40" s="191" t="s">
        <v>286</v>
      </c>
      <c r="B40" s="93" t="s">
        <v>287</v>
      </c>
      <c r="C40" s="92"/>
      <c r="D40" s="89">
        <v>0</v>
      </c>
    </row>
    <row r="41" spans="1:7">
      <c r="A41" s="191" t="s">
        <v>288</v>
      </c>
      <c r="B41" s="93" t="s">
        <v>289</v>
      </c>
      <c r="C41" s="92"/>
      <c r="D41" s="89">
        <v>0</v>
      </c>
    </row>
    <row r="42" spans="1:7" ht="16.5" thickBot="1">
      <c r="A42" s="191" t="s">
        <v>290</v>
      </c>
      <c r="B42" s="94" t="s">
        <v>376</v>
      </c>
      <c r="C42" s="95"/>
      <c r="D42" s="89">
        <v>0</v>
      </c>
    </row>
    <row r="43" spans="1:7" ht="16.5" thickBot="1">
      <c r="A43" s="96"/>
      <c r="B43" s="97" t="s">
        <v>292</v>
      </c>
      <c r="C43" s="98"/>
      <c r="D43" s="99">
        <f>SUM(D35:D42)</f>
        <v>1084.68</v>
      </c>
    </row>
    <row r="44" spans="1:7">
      <c r="A44" s="190"/>
    </row>
    <row r="45" spans="1:7" ht="16.5" thickBot="1">
      <c r="A45" s="523" t="s">
        <v>293</v>
      </c>
      <c r="B45" s="523"/>
      <c r="C45" s="523"/>
      <c r="D45" s="523"/>
      <c r="E45" s="523"/>
      <c r="F45" s="523"/>
      <c r="G45" s="523"/>
    </row>
    <row r="46" spans="1:7" ht="16.5" thickBot="1">
      <c r="A46" s="100">
        <v>2</v>
      </c>
      <c r="B46" s="189" t="s">
        <v>294</v>
      </c>
      <c r="C46" s="102"/>
      <c r="D46" s="100" t="s">
        <v>279</v>
      </c>
    </row>
    <row r="47" spans="1:7">
      <c r="A47" s="82" t="s">
        <v>257</v>
      </c>
      <c r="B47" s="83" t="s">
        <v>295</v>
      </c>
      <c r="C47" s="103"/>
      <c r="D47" s="104">
        <f>(3.7*44)-(D35*6%)</f>
        <v>97.719200000000015</v>
      </c>
    </row>
    <row r="48" spans="1:7" ht="31.5">
      <c r="A48" s="105" t="s">
        <v>259</v>
      </c>
      <c r="B48" s="106" t="s">
        <v>296</v>
      </c>
      <c r="C48" s="90"/>
      <c r="D48" s="107">
        <f>330*(1-20%)</f>
        <v>264</v>
      </c>
    </row>
    <row r="49" spans="1:7">
      <c r="A49" s="191" t="s">
        <v>261</v>
      </c>
      <c r="B49" s="87" t="s">
        <v>389</v>
      </c>
      <c r="C49" s="90"/>
      <c r="D49" s="107">
        <v>50</v>
      </c>
    </row>
    <row r="50" spans="1:7">
      <c r="A50" s="191" t="s">
        <v>263</v>
      </c>
      <c r="B50" s="87" t="s">
        <v>297</v>
      </c>
      <c r="C50" s="88"/>
      <c r="D50" s="107">
        <v>0</v>
      </c>
    </row>
    <row r="51" spans="1:7">
      <c r="A51" s="191" t="s">
        <v>284</v>
      </c>
      <c r="B51" s="87" t="s">
        <v>390</v>
      </c>
      <c r="C51" s="92"/>
      <c r="D51" s="108">
        <v>16</v>
      </c>
    </row>
    <row r="52" spans="1:7" ht="16.5" customHeight="1">
      <c r="A52" s="191" t="s">
        <v>286</v>
      </c>
      <c r="B52" s="535" t="s">
        <v>377</v>
      </c>
      <c r="C52" s="536"/>
      <c r="D52" s="108">
        <v>16</v>
      </c>
    </row>
    <row r="53" spans="1:7" ht="16.5" thickBot="1">
      <c r="A53" s="109" t="s">
        <v>288</v>
      </c>
      <c r="B53" s="537" t="s">
        <v>291</v>
      </c>
      <c r="C53" s="538"/>
      <c r="D53" s="110">
        <v>0</v>
      </c>
    </row>
    <row r="54" spans="1:7" ht="16.5" thickBot="1">
      <c r="A54" s="111"/>
      <c r="B54" s="189" t="s">
        <v>298</v>
      </c>
      <c r="C54" s="112"/>
      <c r="D54" s="113">
        <f>SUM(D47:D53)</f>
        <v>443.7192</v>
      </c>
    </row>
    <row r="55" spans="1:7" ht="33" customHeight="1">
      <c r="A55" s="522" t="s">
        <v>299</v>
      </c>
      <c r="B55" s="522"/>
      <c r="C55" s="522"/>
      <c r="D55" s="522"/>
    </row>
    <row r="56" spans="1:7">
      <c r="A56" s="190"/>
    </row>
    <row r="57" spans="1:7" ht="16.5" thickBot="1">
      <c r="A57" s="523" t="s">
        <v>300</v>
      </c>
      <c r="B57" s="523"/>
      <c r="C57" s="523"/>
      <c r="D57" s="523"/>
      <c r="E57" s="523"/>
      <c r="F57" s="523"/>
      <c r="G57" s="523"/>
    </row>
    <row r="58" spans="1:7" ht="16.5" thickBot="1">
      <c r="A58" s="114">
        <v>3</v>
      </c>
      <c r="B58" s="189" t="s">
        <v>301</v>
      </c>
      <c r="C58" s="102"/>
      <c r="D58" s="100" t="s">
        <v>279</v>
      </c>
    </row>
    <row r="59" spans="1:7">
      <c r="A59" s="82" t="s">
        <v>257</v>
      </c>
      <c r="B59" s="83" t="s">
        <v>302</v>
      </c>
      <c r="C59" s="115"/>
      <c r="D59" s="116">
        <f>'ANEXO IV'!D55</f>
        <v>33.333333333333336</v>
      </c>
    </row>
    <row r="60" spans="1:7">
      <c r="A60" s="105" t="s">
        <v>259</v>
      </c>
      <c r="B60" s="106" t="s">
        <v>15</v>
      </c>
      <c r="C60" s="90"/>
      <c r="D60" s="107">
        <v>0</v>
      </c>
    </row>
    <row r="61" spans="1:7">
      <c r="A61" s="191" t="s">
        <v>261</v>
      </c>
      <c r="B61" s="87" t="s">
        <v>21</v>
      </c>
      <c r="C61" s="90"/>
      <c r="D61" s="107">
        <v>16.91</v>
      </c>
    </row>
    <row r="62" spans="1:7">
      <c r="A62" s="191" t="s">
        <v>263</v>
      </c>
      <c r="B62" s="535" t="s">
        <v>18</v>
      </c>
      <c r="C62" s="536"/>
      <c r="D62" s="108">
        <f>Equipamentos!D140</f>
        <v>18.423333333333336</v>
      </c>
    </row>
    <row r="63" spans="1:7" ht="16.5" thickBot="1">
      <c r="A63" s="109" t="s">
        <v>284</v>
      </c>
      <c r="B63" s="537" t="s">
        <v>291</v>
      </c>
      <c r="C63" s="538"/>
      <c r="D63" s="110">
        <v>0</v>
      </c>
    </row>
    <row r="64" spans="1:7" ht="16.5" thickBot="1">
      <c r="A64" s="111"/>
      <c r="B64" s="189" t="s">
        <v>303</v>
      </c>
      <c r="C64" s="112"/>
      <c r="D64" s="113">
        <f>SUM(D59:D63)</f>
        <v>68.666666666666671</v>
      </c>
    </row>
    <row r="65" spans="1:7">
      <c r="A65" s="522" t="s">
        <v>304</v>
      </c>
      <c r="B65" s="522"/>
      <c r="C65" s="522"/>
      <c r="D65" s="522"/>
      <c r="E65" s="522"/>
      <c r="F65" s="522"/>
      <c r="G65" s="522"/>
    </row>
    <row r="66" spans="1:7">
      <c r="A66" s="190"/>
    </row>
    <row r="67" spans="1:7">
      <c r="A67" s="523" t="s">
        <v>305</v>
      </c>
      <c r="B67" s="523"/>
      <c r="C67" s="523"/>
      <c r="D67" s="523"/>
      <c r="E67" s="523"/>
      <c r="F67" s="523"/>
      <c r="G67" s="523"/>
    </row>
    <row r="68" spans="1:7" ht="16.5" thickBot="1">
      <c r="A68" s="523" t="s">
        <v>306</v>
      </c>
      <c r="B68" s="523"/>
      <c r="C68" s="523"/>
      <c r="D68" s="523"/>
      <c r="E68" s="523"/>
      <c r="F68" s="523"/>
      <c r="G68" s="523"/>
    </row>
    <row r="69" spans="1:7" ht="16.5" thickBot="1">
      <c r="A69" s="117" t="s">
        <v>307</v>
      </c>
      <c r="B69" s="118" t="s">
        <v>308</v>
      </c>
      <c r="C69" s="117" t="s">
        <v>4</v>
      </c>
      <c r="D69" s="117" t="s">
        <v>279</v>
      </c>
    </row>
    <row r="70" spans="1:7">
      <c r="A70" s="82" t="s">
        <v>257</v>
      </c>
      <c r="B70" s="119" t="s">
        <v>8</v>
      </c>
      <c r="C70" s="120">
        <v>0.2</v>
      </c>
      <c r="D70" s="104">
        <f t="shared" ref="D70:D77" si="0">ROUND($D$43*C70,2)</f>
        <v>216.94</v>
      </c>
    </row>
    <row r="71" spans="1:7">
      <c r="A71" s="105" t="s">
        <v>259</v>
      </c>
      <c r="B71" s="121" t="s">
        <v>309</v>
      </c>
      <c r="C71" s="122">
        <v>1.4999999999999999E-2</v>
      </c>
      <c r="D71" s="107">
        <f t="shared" si="0"/>
        <v>16.27</v>
      </c>
    </row>
    <row r="72" spans="1:7">
      <c r="A72" s="191" t="s">
        <v>261</v>
      </c>
      <c r="B72" s="123" t="s">
        <v>310</v>
      </c>
      <c r="C72" s="122">
        <v>0.01</v>
      </c>
      <c r="D72" s="107">
        <f t="shared" si="0"/>
        <v>10.85</v>
      </c>
    </row>
    <row r="73" spans="1:7">
      <c r="A73" s="105" t="s">
        <v>263</v>
      </c>
      <c r="B73" s="121" t="s">
        <v>9</v>
      </c>
      <c r="C73" s="122">
        <v>2E-3</v>
      </c>
      <c r="D73" s="107">
        <f t="shared" si="0"/>
        <v>2.17</v>
      </c>
    </row>
    <row r="74" spans="1:7">
      <c r="A74" s="191" t="s">
        <v>284</v>
      </c>
      <c r="B74" s="123" t="s">
        <v>10</v>
      </c>
      <c r="C74" s="122">
        <v>2.5000000000000001E-2</v>
      </c>
      <c r="D74" s="107">
        <f t="shared" si="0"/>
        <v>27.12</v>
      </c>
    </row>
    <row r="75" spans="1:7">
      <c r="A75" s="105" t="s">
        <v>286</v>
      </c>
      <c r="B75" s="121" t="s">
        <v>11</v>
      </c>
      <c r="C75" s="122">
        <v>0.08</v>
      </c>
      <c r="D75" s="107">
        <f t="shared" si="0"/>
        <v>86.77</v>
      </c>
    </row>
    <row r="76" spans="1:7" ht="31.5">
      <c r="A76" s="191" t="s">
        <v>288</v>
      </c>
      <c r="B76" s="123" t="s">
        <v>378</v>
      </c>
      <c r="C76" s="141">
        <v>3.0499999999999999E-2</v>
      </c>
      <c r="D76" s="245">
        <f t="shared" si="0"/>
        <v>33.08</v>
      </c>
    </row>
    <row r="77" spans="1:7" ht="16.5" thickBot="1">
      <c r="A77" s="124" t="s">
        <v>290</v>
      </c>
      <c r="B77" s="125" t="s">
        <v>12</v>
      </c>
      <c r="C77" s="126">
        <v>6.0000000000000001E-3</v>
      </c>
      <c r="D77" s="110">
        <f t="shared" si="0"/>
        <v>6.51</v>
      </c>
    </row>
    <row r="78" spans="1:7" ht="16.5" thickBot="1">
      <c r="A78" s="530" t="s">
        <v>7</v>
      </c>
      <c r="B78" s="531"/>
      <c r="C78" s="127">
        <f>SUM(C70:C77)</f>
        <v>0.36850000000000005</v>
      </c>
      <c r="D78" s="113">
        <f>SUM(D70:D77)</f>
        <v>399.70999999999992</v>
      </c>
    </row>
    <row r="79" spans="1:7">
      <c r="A79" s="534" t="s">
        <v>311</v>
      </c>
      <c r="B79" s="534"/>
      <c r="C79" s="534"/>
      <c r="D79" s="534"/>
    </row>
    <row r="80" spans="1:7" ht="16.5" customHeight="1">
      <c r="A80" s="534" t="s">
        <v>312</v>
      </c>
      <c r="B80" s="534"/>
      <c r="C80" s="534"/>
      <c r="D80" s="534"/>
    </row>
    <row r="81" spans="1:7">
      <c r="A81" s="190"/>
    </row>
    <row r="82" spans="1:7" ht="16.5" thickBot="1">
      <c r="A82" s="523" t="s">
        <v>313</v>
      </c>
      <c r="B82" s="523"/>
      <c r="C82" s="523"/>
      <c r="D82" s="523"/>
      <c r="E82" s="523"/>
      <c r="F82" s="523"/>
      <c r="G82" s="523"/>
    </row>
    <row r="83" spans="1:7" ht="16.5" thickBot="1">
      <c r="A83" s="117" t="s">
        <v>314</v>
      </c>
      <c r="B83" s="118" t="s">
        <v>315</v>
      </c>
      <c r="C83" s="117" t="s">
        <v>4</v>
      </c>
      <c r="D83" s="117" t="s">
        <v>279</v>
      </c>
    </row>
    <row r="84" spans="1:7">
      <c r="A84" s="82" t="s">
        <v>257</v>
      </c>
      <c r="B84" s="119" t="s">
        <v>316</v>
      </c>
      <c r="C84" s="120">
        <f>((5/56)*100)/100</f>
        <v>8.9285714285714288E-2</v>
      </c>
      <c r="D84" s="104">
        <f>ROUND($D$43*C84,2)</f>
        <v>96.85</v>
      </c>
    </row>
    <row r="85" spans="1:7">
      <c r="A85" s="105" t="s">
        <v>259</v>
      </c>
      <c r="B85" s="121" t="s">
        <v>317</v>
      </c>
      <c r="C85" s="128">
        <f>(1/3)*(5/56)</f>
        <v>2.976190476190476E-2</v>
      </c>
      <c r="D85" s="129">
        <f>ROUND($D$43*C85,2)</f>
        <v>32.28</v>
      </c>
    </row>
    <row r="86" spans="1:7">
      <c r="A86" s="130" t="s">
        <v>318</v>
      </c>
      <c r="B86" s="121"/>
      <c r="C86" s="131">
        <f>SUM(C84:C85)</f>
        <v>0.11904761904761904</v>
      </c>
      <c r="D86" s="132">
        <f>SUM(D84:D85)</f>
        <v>129.13</v>
      </c>
    </row>
    <row r="87" spans="1:7" ht="32.25" thickBot="1">
      <c r="A87" s="105" t="s">
        <v>261</v>
      </c>
      <c r="B87" s="121" t="s">
        <v>319</v>
      </c>
      <c r="C87" s="122">
        <f>D87/D43</f>
        <v>4.386547184423055E-2</v>
      </c>
      <c r="D87" s="107">
        <f>ROUND(D78*C86,2)</f>
        <v>47.58</v>
      </c>
    </row>
    <row r="88" spans="1:7" ht="16.5" thickBot="1">
      <c r="A88" s="530" t="s">
        <v>7</v>
      </c>
      <c r="B88" s="531"/>
      <c r="C88" s="127">
        <f>C87+C86</f>
        <v>0.16291309089184958</v>
      </c>
      <c r="D88" s="113">
        <f>D86+D87</f>
        <v>176.70999999999998</v>
      </c>
    </row>
    <row r="89" spans="1:7">
      <c r="A89" s="190"/>
    </row>
    <row r="90" spans="1:7" ht="16.5" thickBot="1">
      <c r="A90" s="523" t="s">
        <v>320</v>
      </c>
      <c r="B90" s="523"/>
      <c r="C90" s="523"/>
      <c r="D90" s="523"/>
      <c r="E90" s="523"/>
      <c r="F90" s="523"/>
      <c r="G90" s="523"/>
    </row>
    <row r="91" spans="1:7" ht="16.5" thickBot="1">
      <c r="A91" s="117" t="s">
        <v>321</v>
      </c>
      <c r="B91" s="118" t="s">
        <v>322</v>
      </c>
      <c r="C91" s="117" t="s">
        <v>4</v>
      </c>
      <c r="D91" s="117" t="s">
        <v>279</v>
      </c>
    </row>
    <row r="92" spans="1:7">
      <c r="A92" s="82" t="s">
        <v>257</v>
      </c>
      <c r="B92" s="133" t="s">
        <v>323</v>
      </c>
      <c r="C92" s="120">
        <f>0.1111*0.02*0.3333</f>
        <v>7.4059259999999997E-4</v>
      </c>
      <c r="D92" s="104">
        <f>ROUND($D$43*C92,2)</f>
        <v>0.8</v>
      </c>
    </row>
    <row r="93" spans="1:7" ht="32.25" thickBot="1">
      <c r="A93" s="109" t="s">
        <v>259</v>
      </c>
      <c r="B93" s="134" t="s">
        <v>324</v>
      </c>
      <c r="C93" s="126">
        <f>D93/D43</f>
        <v>2.7657926761809933E-4</v>
      </c>
      <c r="D93" s="110">
        <f>ROUND(D78*C92,2)</f>
        <v>0.3</v>
      </c>
    </row>
    <row r="94" spans="1:7" ht="16.5" thickBot="1">
      <c r="A94" s="530" t="s">
        <v>7</v>
      </c>
      <c r="B94" s="531"/>
      <c r="C94" s="127">
        <f>SUM(C92:C93)</f>
        <v>1.0171718676180992E-3</v>
      </c>
      <c r="D94" s="113">
        <f>SUM(D92:D93)</f>
        <v>1.1000000000000001</v>
      </c>
    </row>
    <row r="95" spans="1:7">
      <c r="A95" s="190"/>
    </row>
    <row r="96" spans="1:7">
      <c r="A96" s="190"/>
    </row>
    <row r="97" spans="1:7" ht="16.5" thickBot="1">
      <c r="A97" s="523" t="s">
        <v>325</v>
      </c>
      <c r="B97" s="523"/>
      <c r="C97" s="523"/>
      <c r="D97" s="523"/>
      <c r="E97" s="523"/>
      <c r="F97" s="523"/>
      <c r="G97" s="523"/>
    </row>
    <row r="98" spans="1:7" ht="16.5" thickBot="1">
      <c r="A98" s="117" t="s">
        <v>326</v>
      </c>
      <c r="B98" s="118" t="s">
        <v>327</v>
      </c>
      <c r="C98" s="117" t="s">
        <v>4</v>
      </c>
      <c r="D98" s="117" t="s">
        <v>279</v>
      </c>
    </row>
    <row r="99" spans="1:7">
      <c r="A99" s="82" t="s">
        <v>257</v>
      </c>
      <c r="B99" s="133" t="s">
        <v>328</v>
      </c>
      <c r="C99" s="135">
        <f>((1/12)*0.05)</f>
        <v>4.1666666666666666E-3</v>
      </c>
      <c r="D99" s="104">
        <f>ROUND($D$43*C99,2)</f>
        <v>4.5199999999999996</v>
      </c>
    </row>
    <row r="100" spans="1:7" ht="31.5">
      <c r="A100" s="191" t="s">
        <v>259</v>
      </c>
      <c r="B100" s="91" t="s">
        <v>329</v>
      </c>
      <c r="C100" s="136">
        <f>D100/D43</f>
        <v>3.3189512114171918E-4</v>
      </c>
      <c r="D100" s="137">
        <f>ROUND(D75*C99,2)</f>
        <v>0.36</v>
      </c>
    </row>
    <row r="101" spans="1:7">
      <c r="A101" s="191" t="s">
        <v>261</v>
      </c>
      <c r="B101" s="138" t="s">
        <v>330</v>
      </c>
      <c r="C101" s="139">
        <f>0.08*0.5*0.9*(1+(5/56)+(5/56)+(1/3)*(5/56))</f>
        <v>4.3499999999999997E-2</v>
      </c>
      <c r="D101" s="107">
        <f>ROUND($D$43*C101,2)</f>
        <v>47.18</v>
      </c>
    </row>
    <row r="102" spans="1:7">
      <c r="A102" s="191" t="s">
        <v>263</v>
      </c>
      <c r="B102" s="138" t="s">
        <v>331</v>
      </c>
      <c r="C102" s="140">
        <f>(((7/30)/12))</f>
        <v>1.9444444444444445E-2</v>
      </c>
      <c r="D102" s="107">
        <f>ROUND($D$43*C102,2)</f>
        <v>21.09</v>
      </c>
    </row>
    <row r="103" spans="1:7" ht="31.5">
      <c r="A103" s="191" t="s">
        <v>284</v>
      </c>
      <c r="B103" s="138" t="s">
        <v>332</v>
      </c>
      <c r="C103" s="141">
        <f>D103/D43</f>
        <v>7.163403031308772E-3</v>
      </c>
      <c r="D103" s="107">
        <f>ROUND(D78*C102,2)</f>
        <v>7.77</v>
      </c>
    </row>
    <row r="104" spans="1:7" ht="16.5" thickBot="1">
      <c r="A104" s="109" t="s">
        <v>286</v>
      </c>
      <c r="B104" s="134" t="s">
        <v>333</v>
      </c>
      <c r="C104" s="142">
        <f>(40%+10%)*C75*C102</f>
        <v>7.7777777777777784E-4</v>
      </c>
      <c r="D104" s="107">
        <f>ROUND($D$43*C104,2)</f>
        <v>0.84</v>
      </c>
    </row>
    <row r="105" spans="1:7" ht="16.5" thickBot="1">
      <c r="A105" s="525" t="s">
        <v>7</v>
      </c>
      <c r="B105" s="526"/>
      <c r="C105" s="127">
        <f>SUM(C99:C104)</f>
        <v>7.5384187041339382E-2</v>
      </c>
      <c r="D105" s="143">
        <f>SUM(D99:D104)</f>
        <v>81.760000000000005</v>
      </c>
    </row>
    <row r="106" spans="1:7">
      <c r="A106" s="71"/>
    </row>
    <row r="107" spans="1:7" ht="16.5" thickBot="1">
      <c r="A107" s="523" t="s">
        <v>334</v>
      </c>
      <c r="B107" s="523"/>
      <c r="C107" s="523"/>
      <c r="D107" s="523"/>
      <c r="E107" s="523"/>
      <c r="F107" s="523"/>
      <c r="G107" s="523"/>
    </row>
    <row r="108" spans="1:7" ht="32.25" thickBot="1">
      <c r="A108" s="117" t="s">
        <v>335</v>
      </c>
      <c r="B108" s="118" t="s">
        <v>336</v>
      </c>
      <c r="C108" s="117" t="s">
        <v>4</v>
      </c>
      <c r="D108" s="117" t="s">
        <v>279</v>
      </c>
    </row>
    <row r="109" spans="1:7">
      <c r="A109" s="82" t="s">
        <v>257</v>
      </c>
      <c r="B109" s="133" t="s">
        <v>13</v>
      </c>
      <c r="C109" s="144">
        <f>(5/56)</f>
        <v>8.9285714285714288E-2</v>
      </c>
      <c r="D109" s="107">
        <f t="shared" ref="D109:D114" si="1">ROUND($D$43*C109,2)</f>
        <v>96.85</v>
      </c>
    </row>
    <row r="110" spans="1:7">
      <c r="A110" s="191" t="s">
        <v>259</v>
      </c>
      <c r="B110" s="138" t="s">
        <v>379</v>
      </c>
      <c r="C110" s="122">
        <f>(10.96/30)/12</f>
        <v>3.0444444444444444E-2</v>
      </c>
      <c r="D110" s="107">
        <f t="shared" si="1"/>
        <v>33.020000000000003</v>
      </c>
      <c r="E110" s="184"/>
    </row>
    <row r="111" spans="1:7">
      <c r="A111" s="191" t="s">
        <v>261</v>
      </c>
      <c r="B111" s="138" t="s">
        <v>337</v>
      </c>
      <c r="C111" s="122">
        <f>((5/30)/12)*0.015</f>
        <v>2.0833333333333332E-4</v>
      </c>
      <c r="D111" s="107">
        <f t="shared" si="1"/>
        <v>0.23</v>
      </c>
    </row>
    <row r="112" spans="1:7">
      <c r="A112" s="191" t="s">
        <v>263</v>
      </c>
      <c r="B112" s="138" t="s">
        <v>338</v>
      </c>
      <c r="C112" s="122">
        <f>((1/30)/12)</f>
        <v>2.7777777777777779E-3</v>
      </c>
      <c r="D112" s="107">
        <f t="shared" si="1"/>
        <v>3.01</v>
      </c>
    </row>
    <row r="113" spans="1:7">
      <c r="A113" s="191" t="s">
        <v>284</v>
      </c>
      <c r="B113" s="138" t="s">
        <v>339</v>
      </c>
      <c r="C113" s="122">
        <f>((15/30)/12)*0.0078</f>
        <v>3.2499999999999999E-4</v>
      </c>
      <c r="D113" s="107">
        <f t="shared" si="1"/>
        <v>0.35</v>
      </c>
    </row>
    <row r="114" spans="1:7">
      <c r="A114" s="191" t="s">
        <v>286</v>
      </c>
      <c r="B114" s="138" t="s">
        <v>291</v>
      </c>
      <c r="C114" s="145"/>
      <c r="D114" s="107">
        <f t="shared" si="1"/>
        <v>0</v>
      </c>
    </row>
    <row r="115" spans="1:7">
      <c r="A115" s="532" t="s">
        <v>318</v>
      </c>
      <c r="B115" s="533"/>
      <c r="C115" s="122">
        <f>SUM(C109:C114)</f>
        <v>0.12304126984126985</v>
      </c>
      <c r="D115" s="107">
        <f>SUM(D109:D114)</f>
        <v>133.45999999999998</v>
      </c>
    </row>
    <row r="116" spans="1:7" ht="32.25" thickBot="1">
      <c r="A116" s="109" t="s">
        <v>288</v>
      </c>
      <c r="B116" s="134" t="s">
        <v>340</v>
      </c>
      <c r="C116" s="142">
        <f>D116/$D$43</f>
        <v>4.534056127152708E-2</v>
      </c>
      <c r="D116" s="107">
        <f>ROUND(D78*C115,2)</f>
        <v>49.18</v>
      </c>
    </row>
    <row r="117" spans="1:7" ht="16.5" thickBot="1">
      <c r="A117" s="525" t="s">
        <v>7</v>
      </c>
      <c r="B117" s="526"/>
      <c r="C117" s="127">
        <f>C116+C115</f>
        <v>0.16838183111279692</v>
      </c>
      <c r="D117" s="146">
        <f>D116+D115</f>
        <v>182.64</v>
      </c>
    </row>
    <row r="118" spans="1:7">
      <c r="A118" s="190" t="s">
        <v>341</v>
      </c>
    </row>
    <row r="119" spans="1:7" ht="16.5" thickBot="1">
      <c r="A119" s="522" t="s">
        <v>342</v>
      </c>
      <c r="B119" s="522"/>
      <c r="C119" s="522"/>
      <c r="D119" s="522"/>
      <c r="E119" s="522"/>
      <c r="F119" s="522"/>
      <c r="G119" s="522"/>
    </row>
    <row r="120" spans="1:7" ht="32.25" customHeight="1" thickBot="1">
      <c r="A120" s="147">
        <v>4</v>
      </c>
      <c r="B120" s="148" t="s">
        <v>343</v>
      </c>
      <c r="C120" s="149" t="s">
        <v>4</v>
      </c>
      <c r="D120" s="150" t="s">
        <v>279</v>
      </c>
    </row>
    <row r="121" spans="1:7">
      <c r="A121" s="82" t="s">
        <v>307</v>
      </c>
      <c r="B121" s="133" t="s">
        <v>344</v>
      </c>
      <c r="C121" s="142">
        <f t="shared" ref="C121:C126" si="2">D121/$D$43</f>
        <v>0.16291440793598108</v>
      </c>
      <c r="D121" s="107">
        <f>D88</f>
        <v>176.70999999999998</v>
      </c>
    </row>
    <row r="122" spans="1:7">
      <c r="A122" s="191" t="s">
        <v>314</v>
      </c>
      <c r="B122" s="138" t="s">
        <v>308</v>
      </c>
      <c r="C122" s="142">
        <f t="shared" si="2"/>
        <v>0.36850499686543486</v>
      </c>
      <c r="D122" s="107">
        <f>D78</f>
        <v>399.70999999999992</v>
      </c>
    </row>
    <row r="123" spans="1:7">
      <c r="A123" s="191" t="s">
        <v>321</v>
      </c>
      <c r="B123" s="138" t="s">
        <v>323</v>
      </c>
      <c r="C123" s="142">
        <f t="shared" si="2"/>
        <v>1.0141239812663642E-3</v>
      </c>
      <c r="D123" s="107">
        <f>D94</f>
        <v>1.1000000000000001</v>
      </c>
    </row>
    <row r="124" spans="1:7">
      <c r="A124" s="151" t="s">
        <v>326</v>
      </c>
      <c r="B124" s="152" t="s">
        <v>345</v>
      </c>
      <c r="C124" s="142">
        <f t="shared" si="2"/>
        <v>7.537706973485267E-2</v>
      </c>
      <c r="D124" s="107">
        <f>D105</f>
        <v>81.760000000000005</v>
      </c>
    </row>
    <row r="125" spans="1:7">
      <c r="A125" s="153" t="s">
        <v>335</v>
      </c>
      <c r="B125" s="154" t="s">
        <v>346</v>
      </c>
      <c r="C125" s="142">
        <f t="shared" si="2"/>
        <v>0.16838145812589886</v>
      </c>
      <c r="D125" s="107">
        <f>D117</f>
        <v>182.64</v>
      </c>
    </row>
    <row r="126" spans="1:7" ht="16.5" thickBot="1">
      <c r="A126" s="191" t="s">
        <v>347</v>
      </c>
      <c r="B126" s="138" t="s">
        <v>291</v>
      </c>
      <c r="C126" s="142">
        <f t="shared" si="2"/>
        <v>0</v>
      </c>
      <c r="D126" s="107">
        <v>0</v>
      </c>
    </row>
    <row r="127" spans="1:7" ht="37.5" customHeight="1" thickBot="1">
      <c r="A127" s="530" t="s">
        <v>348</v>
      </c>
      <c r="B127" s="531"/>
      <c r="C127" s="127">
        <f>SUM(C121:C126)</f>
        <v>0.77619205664343383</v>
      </c>
      <c r="D127" s="113">
        <f>SUM(D121:D126)</f>
        <v>841.91999999999985</v>
      </c>
    </row>
    <row r="128" spans="1:7">
      <c r="A128" s="155"/>
      <c r="B128" s="155"/>
      <c r="C128" s="156"/>
      <c r="D128" s="157"/>
      <c r="E128" s="158"/>
      <c r="F128" s="159"/>
      <c r="G128" s="159"/>
    </row>
    <row r="129" spans="1:8" ht="16.5" thickBot="1">
      <c r="A129" s="522" t="s">
        <v>349</v>
      </c>
      <c r="B129" s="522"/>
      <c r="C129" s="522"/>
      <c r="D129" s="522"/>
      <c r="E129" s="522"/>
      <c r="F129" s="522"/>
      <c r="G129" s="522"/>
      <c r="H129" s="160"/>
    </row>
    <row r="130" spans="1:8" ht="16.5" thickBot="1">
      <c r="A130" s="147" t="s">
        <v>350</v>
      </c>
      <c r="B130" s="148" t="s">
        <v>351</v>
      </c>
      <c r="C130" s="149" t="s">
        <v>4</v>
      </c>
      <c r="D130" s="114" t="s">
        <v>279</v>
      </c>
      <c r="E130" s="161">
        <f>D43+D54+D64+D78+D88+D94+D105+D117</f>
        <v>2438.9858666666669</v>
      </c>
      <c r="G130" s="160"/>
    </row>
    <row r="131" spans="1:8">
      <c r="A131" s="82" t="s">
        <v>257</v>
      </c>
      <c r="B131" s="133" t="s">
        <v>352</v>
      </c>
      <c r="C131" s="162">
        <v>6.9793999999999995E-2</v>
      </c>
      <c r="D131" s="163">
        <f>E130*C131</f>
        <v>170.22657957813334</v>
      </c>
      <c r="G131" s="160"/>
    </row>
    <row r="132" spans="1:8">
      <c r="A132" s="191" t="s">
        <v>259</v>
      </c>
      <c r="B132" s="138" t="s">
        <v>353</v>
      </c>
      <c r="C132" s="142"/>
      <c r="D132" s="164"/>
      <c r="F132" s="165"/>
    </row>
    <row r="133" spans="1:8">
      <c r="A133" s="191"/>
      <c r="B133" s="138" t="s">
        <v>354</v>
      </c>
      <c r="C133" s="142"/>
      <c r="D133" s="129"/>
      <c r="F133" s="182"/>
      <c r="G133" s="160"/>
    </row>
    <row r="134" spans="1:8">
      <c r="A134" s="191"/>
      <c r="B134" s="138" t="s">
        <v>355</v>
      </c>
      <c r="C134" s="142">
        <v>7.5999999999999998E-2</v>
      </c>
      <c r="D134" s="107">
        <f>$D$152*C134</f>
        <v>230.50236571464936</v>
      </c>
      <c r="E134" s="165">
        <f>D152</f>
        <v>3032.9258646664389</v>
      </c>
      <c r="G134" s="160"/>
    </row>
    <row r="135" spans="1:8">
      <c r="A135" s="191"/>
      <c r="B135" s="138" t="s">
        <v>356</v>
      </c>
      <c r="C135" s="142">
        <v>1.6500000000000001E-2</v>
      </c>
      <c r="D135" s="107">
        <f>$D$152*C135</f>
        <v>50.043276766996243</v>
      </c>
      <c r="E135" s="246" t="e">
        <f>#REF!</f>
        <v>#REF!</v>
      </c>
      <c r="G135" s="160"/>
    </row>
    <row r="136" spans="1:8">
      <c r="A136" s="191"/>
      <c r="B136" s="138" t="s">
        <v>357</v>
      </c>
      <c r="C136" s="142"/>
      <c r="D136" s="107"/>
    </row>
    <row r="137" spans="1:8">
      <c r="A137" s="191"/>
      <c r="B137" s="138" t="s">
        <v>358</v>
      </c>
      <c r="C137" s="142">
        <v>0.03</v>
      </c>
      <c r="D137" s="107">
        <f>$D$152*C137</f>
        <v>90.987775939993156</v>
      </c>
      <c r="G137" s="160"/>
    </row>
    <row r="138" spans="1:8">
      <c r="A138" s="191"/>
      <c r="B138" s="138" t="s">
        <v>359</v>
      </c>
      <c r="C138" s="142"/>
      <c r="D138" s="107"/>
    </row>
    <row r="139" spans="1:8" ht="16.5" thickBot="1">
      <c r="A139" s="191" t="s">
        <v>261</v>
      </c>
      <c r="B139" s="138" t="s">
        <v>360</v>
      </c>
      <c r="C139" s="142">
        <v>0.02</v>
      </c>
      <c r="D139" s="107">
        <f>ROUND(E139*C139,2)</f>
        <v>52.18</v>
      </c>
      <c r="E139" s="132">
        <f>E130+D131</f>
        <v>2609.2124462448</v>
      </c>
    </row>
    <row r="140" spans="1:8" ht="33" customHeight="1" thickBot="1">
      <c r="A140" s="527" t="s">
        <v>361</v>
      </c>
      <c r="B140" s="528"/>
      <c r="C140" s="529"/>
      <c r="D140" s="166">
        <f>D131+D134+D135+D137+D139</f>
        <v>593.939997999772</v>
      </c>
    </row>
    <row r="141" spans="1:8">
      <c r="A141" s="522" t="s">
        <v>362</v>
      </c>
      <c r="B141" s="522"/>
      <c r="C141" s="522"/>
      <c r="D141" s="522"/>
      <c r="E141" s="522"/>
      <c r="F141" s="522"/>
      <c r="G141" s="522"/>
    </row>
    <row r="142" spans="1:8">
      <c r="A142" s="522" t="s">
        <v>363</v>
      </c>
      <c r="B142" s="522"/>
      <c r="C142" s="522"/>
      <c r="D142" s="522"/>
      <c r="E142" s="522"/>
      <c r="F142" s="522"/>
      <c r="G142" s="522"/>
    </row>
    <row r="143" spans="1:8">
      <c r="A143" s="190"/>
    </row>
    <row r="144" spans="1:8" ht="16.5" thickBot="1">
      <c r="A144" s="523" t="s">
        <v>364</v>
      </c>
      <c r="B144" s="523"/>
      <c r="C144" s="523"/>
      <c r="D144" s="523"/>
      <c r="E144" s="523"/>
      <c r="F144" s="523"/>
      <c r="G144" s="523"/>
    </row>
    <row r="145" spans="1:8" ht="32.25" customHeight="1" thickBot="1">
      <c r="A145" s="147"/>
      <c r="B145" s="524" t="s">
        <v>365</v>
      </c>
      <c r="C145" s="524"/>
      <c r="D145" s="167" t="s">
        <v>366</v>
      </c>
    </row>
    <row r="146" spans="1:8">
      <c r="A146" s="191" t="s">
        <v>257</v>
      </c>
      <c r="B146" s="138" t="s">
        <v>367</v>
      </c>
      <c r="C146" s="122">
        <f t="shared" ref="C146:C151" si="3">D146/$D$152</f>
        <v>0.35763485439473253</v>
      </c>
      <c r="D146" s="129">
        <f>D43</f>
        <v>1084.68</v>
      </c>
    </row>
    <row r="147" spans="1:8">
      <c r="A147" s="191" t="s">
        <v>259</v>
      </c>
      <c r="B147" s="138" t="s">
        <v>368</v>
      </c>
      <c r="C147" s="122">
        <f t="shared" si="3"/>
        <v>0.14630070756734445</v>
      </c>
      <c r="D147" s="129">
        <f>D54</f>
        <v>443.7192</v>
      </c>
    </row>
    <row r="148" spans="1:8" ht="31.5">
      <c r="A148" s="191" t="s">
        <v>261</v>
      </c>
      <c r="B148" s="138" t="s">
        <v>369</v>
      </c>
      <c r="C148" s="122">
        <f t="shared" si="3"/>
        <v>2.2640403930288162E-2</v>
      </c>
      <c r="D148" s="129">
        <f>D64</f>
        <v>68.666666666666671</v>
      </c>
      <c r="E148" s="165">
        <f>D150+D131+D139</f>
        <v>2661.3924462447999</v>
      </c>
    </row>
    <row r="149" spans="1:8" ht="31.5">
      <c r="A149" s="191" t="s">
        <v>263</v>
      </c>
      <c r="B149" s="138" t="s">
        <v>370</v>
      </c>
      <c r="C149" s="122">
        <f t="shared" si="3"/>
        <v>0.27759333316002244</v>
      </c>
      <c r="D149" s="129">
        <f>D127</f>
        <v>841.91999999999985</v>
      </c>
      <c r="E149" s="174">
        <f>C137+C135+C134</f>
        <v>0.1225</v>
      </c>
    </row>
    <row r="150" spans="1:8" ht="16.5" customHeight="1">
      <c r="A150" s="168" t="s">
        <v>371</v>
      </c>
      <c r="B150" s="169"/>
      <c r="C150" s="131">
        <f t="shared" si="3"/>
        <v>0.80416929905238765</v>
      </c>
      <c r="D150" s="170">
        <f>SUM(D146:D149)</f>
        <v>2438.9858666666669</v>
      </c>
      <c r="E150" s="174">
        <f>100%-E149</f>
        <v>0.87749999999999995</v>
      </c>
    </row>
    <row r="151" spans="1:8" ht="32.25" thickBot="1">
      <c r="A151" s="191" t="s">
        <v>284</v>
      </c>
      <c r="B151" s="138" t="s">
        <v>372</v>
      </c>
      <c r="C151" s="122">
        <f t="shared" si="3"/>
        <v>0.19583070094761235</v>
      </c>
      <c r="D151" s="129">
        <f>D140</f>
        <v>593.939997999772</v>
      </c>
      <c r="G151" s="171"/>
    </row>
    <row r="152" spans="1:8" ht="16.5" customHeight="1" thickBot="1">
      <c r="A152" s="525" t="s">
        <v>373</v>
      </c>
      <c r="B152" s="526"/>
      <c r="C152" s="127">
        <f>C151+C150</f>
        <v>1</v>
      </c>
      <c r="D152" s="166">
        <f>(D150+D139+D131)/0.8775</f>
        <v>3032.9258646664389</v>
      </c>
      <c r="E152" s="171"/>
      <c r="F152" s="165">
        <f>D150+D151</f>
        <v>3032.9258646664389</v>
      </c>
      <c r="H152" s="172"/>
    </row>
    <row r="153" spans="1:8">
      <c r="E153" s="171"/>
    </row>
    <row r="154" spans="1:8">
      <c r="A154" s="186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1.299212598425197" right="0.51181102362204722" top="2.1653543307086616" bottom="0.98425196850393704" header="0.31496062992125984" footer="0.31496062992125984"/>
  <pageSetup paperSize="9" scale="79" fitToHeight="4" orientation="portrait" r:id="rId1"/>
  <headerFooter alignWithMargins="0"/>
  <rowBreaks count="3" manualBreakCount="3">
    <brk id="43" max="3" man="1"/>
    <brk id="88" max="3" man="1"/>
    <brk id="128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T209"/>
  <sheetViews>
    <sheetView showGridLines="0" tabSelected="1" topLeftCell="B40" zoomScale="70" zoomScaleNormal="70" zoomScaleSheetLayoutView="85" workbookViewId="0">
      <selection activeCell="AX24" sqref="AX24"/>
    </sheetView>
  </sheetViews>
  <sheetFormatPr defaultColWidth="9.140625" defaultRowHeight="15.75"/>
  <cols>
    <col min="1" max="1" width="9.140625" style="249" hidden="1" customWidth="1"/>
    <col min="2" max="2" width="34.140625" style="249" customWidth="1"/>
    <col min="3" max="3" width="25.28515625" style="249" customWidth="1"/>
    <col min="4" max="4" width="24.85546875" style="249" hidden="1" customWidth="1"/>
    <col min="5" max="5" width="18.5703125" style="249" hidden="1" customWidth="1"/>
    <col min="6" max="7" width="24.85546875" style="249" hidden="1" customWidth="1"/>
    <col min="8" max="10" width="19.7109375" style="249" hidden="1" customWidth="1"/>
    <col min="11" max="11" width="22" style="251" hidden="1" customWidth="1"/>
    <col min="12" max="12" width="24.28515625" style="249" hidden="1" customWidth="1"/>
    <col min="13" max="13" width="40.85546875" style="249" hidden="1" customWidth="1"/>
    <col min="14" max="14" width="123.42578125" style="249" hidden="1" customWidth="1"/>
    <col min="15" max="15" width="14.42578125" style="249" hidden="1" customWidth="1"/>
    <col min="16" max="16" width="21.85546875" style="249" hidden="1" customWidth="1"/>
    <col min="17" max="17" width="25.7109375" style="249" hidden="1" customWidth="1"/>
    <col min="18" max="18" width="14.5703125" style="249" hidden="1" customWidth="1"/>
    <col min="19" max="19" width="16.5703125" style="249" hidden="1" customWidth="1"/>
    <col min="20" max="20" width="9.140625" style="249" hidden="1" customWidth="1"/>
    <col min="21" max="21" width="20" style="249" hidden="1" customWidth="1"/>
    <col min="22" max="22" width="18" style="249" hidden="1" customWidth="1"/>
    <col min="23" max="23" width="14.5703125" style="249" hidden="1" customWidth="1"/>
    <col min="24" max="24" width="16.5703125" style="249" hidden="1" customWidth="1"/>
    <col min="25" max="25" width="9.140625" style="249" hidden="1" customWidth="1"/>
    <col min="26" max="26" width="23.5703125" style="249" hidden="1" customWidth="1"/>
    <col min="27" max="29" width="19.7109375" style="249" hidden="1" customWidth="1"/>
    <col min="30" max="30" width="112.85546875" style="249" hidden="1" customWidth="1"/>
    <col min="31" max="34" width="23.28515625" style="249" hidden="1" customWidth="1"/>
    <col min="35" max="35" width="112.85546875" style="249" hidden="1" customWidth="1"/>
    <col min="36" max="36" width="12.5703125" style="249" hidden="1" customWidth="1"/>
    <col min="37" max="37" width="46.5703125" style="249" hidden="1" customWidth="1"/>
    <col min="38" max="38" width="16" style="249" hidden="1" customWidth="1"/>
    <col min="39" max="39" width="25.5703125" style="249" hidden="1" customWidth="1"/>
    <col min="40" max="40" width="70.28515625" style="249" hidden="1" customWidth="1"/>
    <col min="41" max="41" width="23.5703125" style="249" hidden="1" customWidth="1"/>
    <col min="42" max="42" width="19.7109375" style="252" hidden="1" customWidth="1"/>
    <col min="43" max="43" width="22.5703125" style="249" hidden="1" customWidth="1"/>
    <col min="44" max="44" width="25.140625" style="249" hidden="1" customWidth="1"/>
    <col min="45" max="45" width="70.28515625" style="249" hidden="1" customWidth="1"/>
    <col min="46" max="46" width="23.5703125" style="249" hidden="1" customWidth="1"/>
    <col min="47" max="47" width="19.7109375" style="252" hidden="1" customWidth="1"/>
    <col min="48" max="48" width="22.5703125" style="249" hidden="1" customWidth="1"/>
    <col min="49" max="49" width="25.140625" style="249" hidden="1" customWidth="1"/>
    <col min="50" max="52" width="23.5703125" style="249" customWidth="1"/>
    <col min="53" max="53" width="19.7109375" style="252" customWidth="1"/>
    <col min="54" max="54" width="22.5703125" style="429" bestFit="1" customWidth="1"/>
    <col min="55" max="55" width="25.140625" style="249" bestFit="1" customWidth="1"/>
    <col min="56" max="56" width="18.42578125" style="391" customWidth="1"/>
    <col min="57" max="57" width="17" style="391" bestFit="1" customWidth="1"/>
    <col min="58" max="59" width="15.140625" style="391" bestFit="1" customWidth="1"/>
    <col min="60" max="61" width="9.140625" style="391"/>
    <col min="62" max="62" width="15.140625" style="391" bestFit="1" customWidth="1"/>
    <col min="63" max="63" width="9.140625" style="391"/>
    <col min="64" max="64" width="15.140625" style="391" bestFit="1" customWidth="1"/>
    <col min="65" max="176" width="9.140625" style="391"/>
    <col min="177" max="16384" width="9.140625" style="249"/>
  </cols>
  <sheetData>
    <row r="1" spans="2:55">
      <c r="C1" s="250" t="s">
        <v>567</v>
      </c>
      <c r="AK1" s="252"/>
    </row>
    <row r="2" spans="2:55">
      <c r="C2" s="253" t="s">
        <v>568</v>
      </c>
      <c r="AK2" s="252"/>
    </row>
    <row r="3" spans="2:55">
      <c r="C3" s="253" t="s">
        <v>569</v>
      </c>
      <c r="AK3" s="252"/>
    </row>
    <row r="4" spans="2:55">
      <c r="C4" s="253" t="s">
        <v>570</v>
      </c>
      <c r="AK4" s="252"/>
    </row>
    <row r="5" spans="2:55">
      <c r="C5" s="253"/>
      <c r="AK5" s="252"/>
    </row>
    <row r="6" spans="2:55">
      <c r="B6" s="331" t="s">
        <v>686</v>
      </c>
      <c r="C6" s="253"/>
      <c r="AK6" s="252"/>
    </row>
    <row r="7" spans="2:55" ht="47.25">
      <c r="B7" s="260" t="s">
        <v>581</v>
      </c>
      <c r="C7" s="261" t="s">
        <v>267</v>
      </c>
      <c r="D7" s="261" t="s">
        <v>582</v>
      </c>
      <c r="E7" s="261" t="s">
        <v>583</v>
      </c>
      <c r="F7" s="261" t="s">
        <v>584</v>
      </c>
      <c r="G7" s="261" t="s">
        <v>585</v>
      </c>
      <c r="H7" s="261" t="s">
        <v>583</v>
      </c>
      <c r="I7" s="261" t="s">
        <v>584</v>
      </c>
      <c r="J7" s="261" t="s">
        <v>585</v>
      </c>
      <c r="K7" s="261" t="s">
        <v>586</v>
      </c>
      <c r="L7" s="261" t="s">
        <v>587</v>
      </c>
      <c r="N7" s="249" t="s">
        <v>588</v>
      </c>
      <c r="P7" s="261" t="s">
        <v>582</v>
      </c>
      <c r="Q7" s="261" t="s">
        <v>589</v>
      </c>
      <c r="R7" s="261" t="s">
        <v>584</v>
      </c>
      <c r="S7" s="261" t="s">
        <v>585</v>
      </c>
      <c r="U7" s="261" t="s">
        <v>582</v>
      </c>
      <c r="V7" s="261" t="s">
        <v>583</v>
      </c>
      <c r="W7" s="261" t="s">
        <v>584</v>
      </c>
      <c r="X7" s="261" t="s">
        <v>585</v>
      </c>
      <c r="Z7" s="261" t="s">
        <v>590</v>
      </c>
      <c r="AA7" s="261" t="s">
        <v>583</v>
      </c>
      <c r="AB7" s="261" t="s">
        <v>584</v>
      </c>
      <c r="AC7" s="261" t="s">
        <v>585</v>
      </c>
      <c r="AE7" s="261" t="s">
        <v>566</v>
      </c>
      <c r="AF7" s="262" t="s">
        <v>583</v>
      </c>
      <c r="AG7" s="261" t="s">
        <v>584</v>
      </c>
      <c r="AH7" s="261" t="s">
        <v>585</v>
      </c>
      <c r="AJ7" s="261" t="s">
        <v>566</v>
      </c>
      <c r="AK7" s="262" t="s">
        <v>583</v>
      </c>
      <c r="AL7" s="261" t="s">
        <v>584</v>
      </c>
      <c r="AM7" s="261" t="s">
        <v>585</v>
      </c>
      <c r="AO7" s="261" t="s">
        <v>566</v>
      </c>
      <c r="AP7" s="262" t="s">
        <v>583</v>
      </c>
      <c r="AQ7" s="261" t="s">
        <v>584</v>
      </c>
      <c r="AR7" s="261" t="s">
        <v>585</v>
      </c>
      <c r="AT7" s="261" t="s">
        <v>566</v>
      </c>
      <c r="AU7" s="262" t="s">
        <v>583</v>
      </c>
      <c r="AV7" s="261" t="s">
        <v>584</v>
      </c>
      <c r="AW7" s="261" t="s">
        <v>585</v>
      </c>
      <c r="AX7" s="261" t="s">
        <v>687</v>
      </c>
      <c r="AY7" s="261" t="s">
        <v>688</v>
      </c>
      <c r="AZ7" s="261" t="s">
        <v>689</v>
      </c>
      <c r="BA7" s="262" t="s">
        <v>583</v>
      </c>
      <c r="BB7" s="430" t="s">
        <v>584</v>
      </c>
      <c r="BC7" s="261" t="s">
        <v>690</v>
      </c>
    </row>
    <row r="8" spans="2:55">
      <c r="B8" s="263">
        <v>1</v>
      </c>
      <c r="C8" s="264" t="s">
        <v>565</v>
      </c>
      <c r="D8" s="265">
        <v>1</v>
      </c>
      <c r="E8" s="266">
        <v>3436.83</v>
      </c>
      <c r="F8" s="267">
        <v>3436.83</v>
      </c>
      <c r="G8" s="267">
        <v>41241.96</v>
      </c>
      <c r="H8" s="266">
        <f>'[3]Super 2'!$D$137</f>
        <v>4482.8100000000004</v>
      </c>
      <c r="I8" s="267">
        <f>D8*H8</f>
        <v>4482.8100000000004</v>
      </c>
      <c r="J8" s="267">
        <f>I8*12</f>
        <v>53793.72</v>
      </c>
      <c r="K8" s="268">
        <f>I8*3</f>
        <v>13448.43</v>
      </c>
      <c r="L8" s="269" t="s">
        <v>591</v>
      </c>
      <c r="N8" s="249">
        <f>D21</f>
        <v>0</v>
      </c>
      <c r="P8" s="270">
        <v>0</v>
      </c>
      <c r="Q8" s="266">
        <v>0</v>
      </c>
      <c r="R8" s="267">
        <f>P8*Q8</f>
        <v>0</v>
      </c>
      <c r="S8" s="267">
        <f>R8*12</f>
        <v>0</v>
      </c>
      <c r="U8" s="270">
        <v>0</v>
      </c>
      <c r="V8" s="266">
        <f>'[3]Super 2'!$D$137</f>
        <v>4482.8100000000004</v>
      </c>
      <c r="W8" s="267">
        <f>U8*V8</f>
        <v>0</v>
      </c>
      <c r="X8" s="267">
        <f>W8*12</f>
        <v>0</v>
      </c>
      <c r="Z8" s="265">
        <v>1</v>
      </c>
      <c r="AA8" s="271">
        <v>3436.83</v>
      </c>
      <c r="AB8" s="271">
        <v>3436.83</v>
      </c>
      <c r="AC8" s="271">
        <v>41241.96</v>
      </c>
      <c r="AD8" s="267"/>
      <c r="AE8" s="265">
        <v>1</v>
      </c>
      <c r="AF8" s="271">
        <v>3875.84</v>
      </c>
      <c r="AG8" s="271">
        <v>3875.84</v>
      </c>
      <c r="AH8" s="271">
        <v>46510.080000000002</v>
      </c>
      <c r="AJ8" s="265">
        <v>1</v>
      </c>
      <c r="AK8" s="271">
        <v>3875.84</v>
      </c>
      <c r="AL8" s="271">
        <v>3875.84</v>
      </c>
      <c r="AM8" s="271">
        <v>46510.080000000002</v>
      </c>
      <c r="AO8" s="265">
        <v>1</v>
      </c>
      <c r="AP8" s="271">
        <v>3875.84</v>
      </c>
      <c r="AQ8" s="271">
        <v>3875.84</v>
      </c>
      <c r="AR8" s="271">
        <v>46510.080000000002</v>
      </c>
      <c r="AT8" s="265">
        <f>AT21</f>
        <v>0</v>
      </c>
      <c r="AU8" s="271" t="e">
        <f>'[3]Super 2'!D122</f>
        <v>#REF!</v>
      </c>
      <c r="AV8" s="271">
        <f>AV21</f>
        <v>0</v>
      </c>
      <c r="AW8" s="271">
        <f>AV8*12</f>
        <v>0</v>
      </c>
      <c r="AX8" s="265">
        <f>AX23</f>
        <v>1</v>
      </c>
      <c r="AY8" s="265">
        <f>AY23</f>
        <v>1</v>
      </c>
      <c r="AZ8" s="265">
        <f>AX8-AY8</f>
        <v>0</v>
      </c>
      <c r="BA8" s="271"/>
      <c r="BB8" s="431">
        <f>BB23</f>
        <v>5950.2903649118052</v>
      </c>
      <c r="BC8" s="271">
        <f>BB8*14</f>
        <v>83304.065108765266</v>
      </c>
    </row>
    <row r="9" spans="2:55">
      <c r="B9" s="472">
        <v>2</v>
      </c>
      <c r="C9" s="495" t="s">
        <v>1</v>
      </c>
      <c r="D9" s="496" t="e">
        <f>D22+D23+D33+D41+D45+D49+#REF!+D56+D62</f>
        <v>#VALUE!</v>
      </c>
      <c r="E9" s="475">
        <v>1970.65</v>
      </c>
      <c r="F9" s="481">
        <v>25618.45</v>
      </c>
      <c r="G9" s="481">
        <v>307421.40000000002</v>
      </c>
      <c r="H9" s="475">
        <f>'[3]Recepção 2'!$D$137</f>
        <v>2622.17</v>
      </c>
      <c r="I9" s="481" t="e">
        <f>D9*H9</f>
        <v>#VALUE!</v>
      </c>
      <c r="J9" s="481" t="e">
        <f>I9*12</f>
        <v>#VALUE!</v>
      </c>
      <c r="K9" s="498" t="s">
        <v>591</v>
      </c>
      <c r="L9" s="478" t="e">
        <f>I9*2</f>
        <v>#VALUE!</v>
      </c>
      <c r="M9" s="480"/>
      <c r="N9" s="480" t="e">
        <f>D22+D23+D33+D41+D45+D49+#REF!+D56+D62</f>
        <v>#VALUE!</v>
      </c>
      <c r="O9" s="480"/>
      <c r="P9" s="496">
        <v>12</v>
      </c>
      <c r="Q9" s="475">
        <f>R9/P9</f>
        <v>2084.75</v>
      </c>
      <c r="R9" s="481">
        <f>2110.7+(4*1999.16)+(2*2110.69)+2110.71+2110.78+2109.23+2109.2+2248.36</f>
        <v>25017</v>
      </c>
      <c r="S9" s="481">
        <f>R9*12</f>
        <v>300204</v>
      </c>
      <c r="T9" s="480"/>
      <c r="U9" s="496">
        <v>12</v>
      </c>
      <c r="V9" s="475">
        <f>'[3]Recepção 2'!$D$137</f>
        <v>2622.17</v>
      </c>
      <c r="W9" s="481">
        <f>U9*V9</f>
        <v>31466.04</v>
      </c>
      <c r="X9" s="481">
        <f>W9*12</f>
        <v>377592.48</v>
      </c>
      <c r="Y9" s="480"/>
      <c r="Z9" s="496">
        <v>13</v>
      </c>
      <c r="AA9" s="482">
        <v>1970.65</v>
      </c>
      <c r="AB9" s="482">
        <v>25618.45</v>
      </c>
      <c r="AC9" s="482">
        <v>307421.40000000002</v>
      </c>
      <c r="AD9" s="481"/>
      <c r="AE9" s="496">
        <v>13</v>
      </c>
      <c r="AF9" s="482">
        <v>2211.4299999999998</v>
      </c>
      <c r="AG9" s="482">
        <v>28748.589999999997</v>
      </c>
      <c r="AH9" s="482">
        <v>344983.07999999996</v>
      </c>
      <c r="AI9" s="480"/>
      <c r="AJ9" s="496">
        <v>13</v>
      </c>
      <c r="AK9" s="482">
        <v>2211.4299999999998</v>
      </c>
      <c r="AL9" s="482">
        <v>28748.589999999997</v>
      </c>
      <c r="AM9" s="482">
        <v>344983.07999999996</v>
      </c>
      <c r="AN9" s="480"/>
      <c r="AO9" s="496">
        <v>14</v>
      </c>
      <c r="AP9" s="482">
        <v>2211.4299999999998</v>
      </c>
      <c r="AQ9" s="482">
        <v>30960.019999999997</v>
      </c>
      <c r="AR9" s="482">
        <v>371520.24</v>
      </c>
      <c r="AS9" s="480"/>
      <c r="AT9" s="496" t="e">
        <f>AT22+AT23+AT33+AT41+AT45+AT49+#REF!+AT56+AT62+AT34</f>
        <v>#VALUE!</v>
      </c>
      <c r="AU9" s="482" t="e">
        <f>'[3]Recepção 2'!D122</f>
        <v>#REF!</v>
      </c>
      <c r="AV9" s="482" t="e">
        <f t="shared" ref="AV9:AV11" si="0">AU9*AT9</f>
        <v>#REF!</v>
      </c>
      <c r="AW9" s="482" t="e">
        <f t="shared" ref="AW9:AW11" si="1">AV9*12</f>
        <v>#REF!</v>
      </c>
      <c r="AX9" s="496">
        <f>AX24+AX85+AX103+AX115+AX122+AX128+AX135+AX143+AX150+AX161+AX168+AX172+AX188+AX198</f>
        <v>31</v>
      </c>
      <c r="AY9" s="496">
        <f>AY24+AY85+AY103+AY115+AY122+AY128+AY135+AY143+AY150+AY161+AY168+AY172+AY188+AY198</f>
        <v>26</v>
      </c>
      <c r="AZ9" s="496">
        <f t="shared" ref="AZ9:AZ17" si="2">AX9-AY9</f>
        <v>5</v>
      </c>
      <c r="BA9" s="482"/>
      <c r="BB9" s="500">
        <f>BB24+BB85+BB103+BB115+BB122+BB128+BB135+BB143+BB150+BB161+BB168+BB172+BB188+BB198</f>
        <v>98714.49310864092</v>
      </c>
      <c r="BC9" s="482">
        <f t="shared" ref="BC9:BC17" si="3">BB9*14</f>
        <v>1382002.9035209729</v>
      </c>
    </row>
    <row r="10" spans="2:55">
      <c r="B10" s="263">
        <v>3</v>
      </c>
      <c r="C10" s="264" t="s">
        <v>592</v>
      </c>
      <c r="D10" s="265">
        <v>5</v>
      </c>
      <c r="E10" s="266">
        <v>1420.39</v>
      </c>
      <c r="F10" s="267">
        <v>7101.9500000000007</v>
      </c>
      <c r="G10" s="267">
        <v>85223.400000000009</v>
      </c>
      <c r="H10" s="266">
        <f>'[3]Copeira 2'!$D$137</f>
        <v>2320.86</v>
      </c>
      <c r="I10" s="267">
        <f t="shared" ref="I10:I15" si="4">D10*H10</f>
        <v>11604.300000000001</v>
      </c>
      <c r="J10" s="267">
        <f t="shared" ref="J10:J16" si="5">I10*12</f>
        <v>139251.6</v>
      </c>
      <c r="K10" s="272" t="s">
        <v>591</v>
      </c>
      <c r="L10" s="269">
        <f>I10*2</f>
        <v>23208.600000000002</v>
      </c>
      <c r="N10" s="249">
        <f>D35+D36+D63</f>
        <v>5</v>
      </c>
      <c r="P10" s="265">
        <v>4</v>
      </c>
      <c r="Q10" s="266">
        <f>R10/P10</f>
        <v>1551.9799999999998</v>
      </c>
      <c r="R10" s="266">
        <f>(1573.85*3)+(1486.37)</f>
        <v>6207.9199999999992</v>
      </c>
      <c r="S10" s="267">
        <f t="shared" ref="S10:S16" si="6">R10*12</f>
        <v>74495.039999999994</v>
      </c>
      <c r="U10" s="270">
        <v>4</v>
      </c>
      <c r="V10" s="266">
        <f>'[3]Copeira 2'!$D$137</f>
        <v>2320.86</v>
      </c>
      <c r="W10" s="267">
        <f t="shared" ref="W10:W15" si="7">U10*V10</f>
        <v>9283.44</v>
      </c>
      <c r="X10" s="267">
        <f t="shared" ref="X10:X16" si="8">W10*12</f>
        <v>111401.28</v>
      </c>
      <c r="Z10" s="265">
        <v>5</v>
      </c>
      <c r="AA10" s="271">
        <v>1420.39</v>
      </c>
      <c r="AB10" s="271">
        <v>7101.9500000000007</v>
      </c>
      <c r="AC10" s="271">
        <v>85223.400000000009</v>
      </c>
      <c r="AD10" s="267">
        <f>AB36+AB35+AB63</f>
        <v>5911.9500000000007</v>
      </c>
      <c r="AE10" s="265">
        <v>5</v>
      </c>
      <c r="AF10" s="271">
        <v>1567.88</v>
      </c>
      <c r="AG10" s="271">
        <v>7839.4000000000005</v>
      </c>
      <c r="AH10" s="271">
        <v>94072.8</v>
      </c>
      <c r="AI10" s="274"/>
      <c r="AJ10" s="265">
        <v>5</v>
      </c>
      <c r="AK10" s="271">
        <v>1567.88</v>
      </c>
      <c r="AL10" s="271">
        <v>7839.4000000000005</v>
      </c>
      <c r="AM10" s="271">
        <v>94072.8</v>
      </c>
      <c r="AN10" s="274"/>
      <c r="AO10" s="265">
        <v>5</v>
      </c>
      <c r="AP10" s="271">
        <v>1567.88</v>
      </c>
      <c r="AQ10" s="271">
        <v>7839.4000000000005</v>
      </c>
      <c r="AR10" s="271">
        <v>94072.8</v>
      </c>
      <c r="AS10" s="274"/>
      <c r="AT10" s="265">
        <f>AT35+AT36+AT63</f>
        <v>3</v>
      </c>
      <c r="AU10" s="271" t="e">
        <f>'[3]Copeira 2'!D122</f>
        <v>#REF!</v>
      </c>
      <c r="AV10" s="271" t="e">
        <f t="shared" si="0"/>
        <v>#REF!</v>
      </c>
      <c r="AW10" s="271" t="e">
        <f t="shared" si="1"/>
        <v>#REF!</v>
      </c>
      <c r="AX10" s="265">
        <f>AX25+AX144+AX162</f>
        <v>7</v>
      </c>
      <c r="AY10" s="265">
        <f>AY25+AY144+AY162</f>
        <v>7</v>
      </c>
      <c r="AZ10" s="265">
        <f t="shared" si="2"/>
        <v>0</v>
      </c>
      <c r="BA10" s="271"/>
      <c r="BB10" s="431">
        <f>BB25+BB144+BB162</f>
        <v>16164.430452591516</v>
      </c>
      <c r="BC10" s="271">
        <f t="shared" si="3"/>
        <v>226302.02633628121</v>
      </c>
    </row>
    <row r="11" spans="2:55">
      <c r="B11" s="263">
        <v>4</v>
      </c>
      <c r="C11" s="264" t="s">
        <v>2</v>
      </c>
      <c r="D11" s="265">
        <v>4</v>
      </c>
      <c r="E11" s="266">
        <v>2469.9499999999998</v>
      </c>
      <c r="F11" s="267">
        <v>9879.7999999999993</v>
      </c>
      <c r="G11" s="267">
        <v>118557.59999999999</v>
      </c>
      <c r="H11" s="266">
        <f>'[3]Porteiro 2'!$D$137</f>
        <v>3292.56</v>
      </c>
      <c r="I11" s="267">
        <f t="shared" si="4"/>
        <v>13170.24</v>
      </c>
      <c r="J11" s="267">
        <f t="shared" si="5"/>
        <v>158042.88</v>
      </c>
      <c r="K11" s="272" t="s">
        <v>591</v>
      </c>
      <c r="L11" s="269">
        <f t="shared" ref="L11:L14" si="9">I11*2</f>
        <v>26340.48</v>
      </c>
      <c r="N11" s="249">
        <f>D64</f>
        <v>2</v>
      </c>
      <c r="P11" s="265">
        <v>4</v>
      </c>
      <c r="Q11" s="266">
        <f>R11/P11</f>
        <v>2687.9900000000002</v>
      </c>
      <c r="R11" s="267">
        <f>2676.02+(3*2691.98)</f>
        <v>10751.960000000001</v>
      </c>
      <c r="S11" s="267">
        <f t="shared" si="6"/>
        <v>129023.52000000002</v>
      </c>
      <c r="U11" s="270">
        <v>4</v>
      </c>
      <c r="V11" s="266">
        <f>'[3]Porteiro 2'!$D$137</f>
        <v>3292.56</v>
      </c>
      <c r="W11" s="267">
        <f t="shared" si="7"/>
        <v>13170.24</v>
      </c>
      <c r="X11" s="267">
        <f t="shared" si="8"/>
        <v>158042.88</v>
      </c>
      <c r="Z11" s="265">
        <v>4</v>
      </c>
      <c r="AA11" s="271">
        <v>2469.9499999999998</v>
      </c>
      <c r="AB11" s="271">
        <v>9879.7999999999993</v>
      </c>
      <c r="AC11" s="271">
        <v>118557.59999999999</v>
      </c>
      <c r="AD11" s="267"/>
      <c r="AE11" s="265">
        <v>4</v>
      </c>
      <c r="AF11" s="271">
        <v>2785.89</v>
      </c>
      <c r="AG11" s="271">
        <v>11143.56</v>
      </c>
      <c r="AH11" s="271">
        <v>133722.72</v>
      </c>
      <c r="AJ11" s="265">
        <v>4</v>
      </c>
      <c r="AK11" s="271">
        <v>2785.89</v>
      </c>
      <c r="AL11" s="271">
        <v>11143.56</v>
      </c>
      <c r="AM11" s="271">
        <v>133722.72</v>
      </c>
      <c r="AO11" s="265">
        <v>6</v>
      </c>
      <c r="AP11" s="271">
        <v>2785.89</v>
      </c>
      <c r="AQ11" s="271">
        <v>16715.34</v>
      </c>
      <c r="AR11" s="271">
        <v>200584.08000000002</v>
      </c>
      <c r="AT11" s="265">
        <f>AT64</f>
        <v>2</v>
      </c>
      <c r="AU11" s="271">
        <f>'[3]Porteiro 2'!$D$137</f>
        <v>3292.56</v>
      </c>
      <c r="AV11" s="271">
        <f t="shared" si="0"/>
        <v>6585.12</v>
      </c>
      <c r="AW11" s="271">
        <f t="shared" si="1"/>
        <v>79021.440000000002</v>
      </c>
      <c r="AX11" s="265">
        <f>AX26+AX86+AX91+AX97+AX104+AX109+AX116+AX129+AX136+AX151+AX163+AX208</f>
        <v>17</v>
      </c>
      <c r="AY11" s="265">
        <f>AY26+AY86+AY91+AY97+AY104+AY116+AY129+AY136+AY151+AY163+AY208</f>
        <v>16</v>
      </c>
      <c r="AZ11" s="328">
        <f t="shared" si="2"/>
        <v>1</v>
      </c>
      <c r="BA11" s="271"/>
      <c r="BB11" s="431">
        <f>BB26+BB86+BB91+BB97+BB104+BB116+BB129+BB136+BB151+BB163+BB109+BB208</f>
        <v>67665.646161117329</v>
      </c>
      <c r="BC11" s="271">
        <f t="shared" si="3"/>
        <v>947319.04625564255</v>
      </c>
    </row>
    <row r="12" spans="2:55">
      <c r="B12" s="472">
        <v>5</v>
      </c>
      <c r="C12" s="495" t="s">
        <v>562</v>
      </c>
      <c r="D12" s="496">
        <v>7</v>
      </c>
      <c r="E12" s="475">
        <v>1714.13</v>
      </c>
      <c r="F12" s="481">
        <v>11998.91</v>
      </c>
      <c r="G12" s="481">
        <v>143986.91999999998</v>
      </c>
      <c r="H12" s="475">
        <f>'[3]ASG 2'!$D$137</f>
        <v>2295.14</v>
      </c>
      <c r="I12" s="481">
        <f t="shared" si="4"/>
        <v>16065.98</v>
      </c>
      <c r="J12" s="481">
        <f t="shared" si="5"/>
        <v>192791.76</v>
      </c>
      <c r="K12" s="498" t="s">
        <v>591</v>
      </c>
      <c r="L12" s="478">
        <f t="shared" si="9"/>
        <v>32131.96</v>
      </c>
      <c r="M12" s="480"/>
      <c r="N12" s="480" t="e">
        <f>D24+D57+D65</f>
        <v>#VALUE!</v>
      </c>
      <c r="O12" s="480"/>
      <c r="P12" s="496">
        <v>5</v>
      </c>
      <c r="Q12" s="475">
        <f>R12/P12</f>
        <v>2386.09</v>
      </c>
      <c r="R12" s="481">
        <f>(2386.09*2)+(3*2386.09)</f>
        <v>11930.45</v>
      </c>
      <c r="S12" s="481">
        <f t="shared" si="6"/>
        <v>143165.40000000002</v>
      </c>
      <c r="T12" s="480"/>
      <c r="U12" s="496">
        <v>5</v>
      </c>
      <c r="V12" s="475">
        <f>'[3]ASG 2'!$D$137</f>
        <v>2295.14</v>
      </c>
      <c r="W12" s="481">
        <f t="shared" si="7"/>
        <v>11475.699999999999</v>
      </c>
      <c r="X12" s="481">
        <f t="shared" si="8"/>
        <v>137708.4</v>
      </c>
      <c r="Y12" s="480"/>
      <c r="Z12" s="496">
        <v>7</v>
      </c>
      <c r="AA12" s="482">
        <v>1714.13</v>
      </c>
      <c r="AB12" s="482">
        <v>11998.91</v>
      </c>
      <c r="AC12" s="482">
        <v>143986.91999999998</v>
      </c>
      <c r="AD12" s="481"/>
      <c r="AE12" s="496">
        <v>7</v>
      </c>
      <c r="AF12" s="482">
        <v>1912.22</v>
      </c>
      <c r="AG12" s="482">
        <v>13385.54</v>
      </c>
      <c r="AH12" s="482">
        <v>160626.48000000001</v>
      </c>
      <c r="AI12" s="480"/>
      <c r="AJ12" s="496">
        <v>8</v>
      </c>
      <c r="AK12" s="482">
        <v>1912.22</v>
      </c>
      <c r="AL12" s="482">
        <v>15297.76</v>
      </c>
      <c r="AM12" s="482">
        <v>183573.12</v>
      </c>
      <c r="AN12" s="501"/>
      <c r="AO12" s="496">
        <v>6</v>
      </c>
      <c r="AP12" s="482">
        <v>1912.22</v>
      </c>
      <c r="AQ12" s="482">
        <v>11473.32</v>
      </c>
      <c r="AR12" s="482">
        <v>137679.84</v>
      </c>
      <c r="AS12" s="501"/>
      <c r="AT12" s="496">
        <f>AT25+AT57+AT65</f>
        <v>5</v>
      </c>
      <c r="AU12" s="482">
        <f>'[3]ASG 2'!$D$137</f>
        <v>2295.14</v>
      </c>
      <c r="AV12" s="482">
        <f>AU12*AT12</f>
        <v>11475.699999999999</v>
      </c>
      <c r="AW12" s="482">
        <f>AV12*12</f>
        <v>137708.4</v>
      </c>
      <c r="AX12" s="496">
        <f>AX27+AX92+AX98+AX110+AX117+AX123+AX130+AX145+AX152+AX173+AX178+AX184+AX203</f>
        <v>17</v>
      </c>
      <c r="AY12" s="496">
        <f>AY27+AY92+AY98+AY110+AY123+AY130+AY145+AY152+AY173+AY178+AY184+AY203</f>
        <v>12</v>
      </c>
      <c r="AZ12" s="496">
        <f t="shared" si="2"/>
        <v>5</v>
      </c>
      <c r="BA12" s="482"/>
      <c r="BB12" s="500">
        <f>BB27+BB92+BB98+BB110+BB117+BB123+BB130+BB145+BB152+BB173+BB178+BB184+BB203</f>
        <v>47455.560547433633</v>
      </c>
      <c r="BC12" s="482">
        <f t="shared" si="3"/>
        <v>664377.8476640709</v>
      </c>
    </row>
    <row r="13" spans="2:55">
      <c r="B13" s="263">
        <v>7</v>
      </c>
      <c r="C13" s="264" t="s">
        <v>593</v>
      </c>
      <c r="D13" s="265">
        <v>1</v>
      </c>
      <c r="E13" s="266">
        <v>2466.3000000000002</v>
      </c>
      <c r="F13" s="267">
        <v>2466.3000000000002</v>
      </c>
      <c r="G13" s="267">
        <v>29595.600000000002</v>
      </c>
      <c r="H13" s="266">
        <f>'[3]Almoxarife 2'!$D$137</f>
        <v>3331.13</v>
      </c>
      <c r="I13" s="267">
        <f t="shared" si="4"/>
        <v>3331.13</v>
      </c>
      <c r="J13" s="267">
        <f t="shared" si="5"/>
        <v>39973.56</v>
      </c>
      <c r="K13" s="268" t="s">
        <v>591</v>
      </c>
      <c r="L13" s="269">
        <f t="shared" si="9"/>
        <v>6662.26</v>
      </c>
      <c r="N13" s="249">
        <f>D26</f>
        <v>4</v>
      </c>
      <c r="P13" s="265">
        <v>0</v>
      </c>
      <c r="Q13" s="266">
        <v>0</v>
      </c>
      <c r="R13" s="267">
        <f>P13*Q13</f>
        <v>0</v>
      </c>
      <c r="S13" s="267">
        <f t="shared" si="6"/>
        <v>0</v>
      </c>
      <c r="U13" s="270">
        <v>0</v>
      </c>
      <c r="V13" s="266">
        <f>'[3]Almoxarife 2'!$D$137</f>
        <v>3331.13</v>
      </c>
      <c r="W13" s="267">
        <f t="shared" si="7"/>
        <v>0</v>
      </c>
      <c r="X13" s="267">
        <f t="shared" si="8"/>
        <v>0</v>
      </c>
      <c r="Z13" s="265">
        <v>1</v>
      </c>
      <c r="AA13" s="271">
        <v>2814.05</v>
      </c>
      <c r="AB13" s="271">
        <v>2814.05</v>
      </c>
      <c r="AC13" s="271">
        <v>33768.600000000006</v>
      </c>
      <c r="AE13" s="265">
        <v>1</v>
      </c>
      <c r="AF13" s="271">
        <v>2814.05</v>
      </c>
      <c r="AG13" s="271">
        <v>2814.05</v>
      </c>
      <c r="AH13" s="271">
        <v>33768.600000000006</v>
      </c>
      <c r="AJ13" s="265">
        <v>1</v>
      </c>
      <c r="AK13" s="271">
        <v>2814.05</v>
      </c>
      <c r="AL13" s="271">
        <v>2814.05</v>
      </c>
      <c r="AM13" s="271">
        <v>33768.600000000006</v>
      </c>
      <c r="AO13" s="265">
        <v>1</v>
      </c>
      <c r="AP13" s="271">
        <v>2814.05</v>
      </c>
      <c r="AQ13" s="271">
        <v>2814.05</v>
      </c>
      <c r="AR13" s="271">
        <v>33768.600000000006</v>
      </c>
      <c r="AT13" s="265">
        <v>1</v>
      </c>
      <c r="AU13" s="271">
        <f>'[3]Almoxarife 2'!$D$137</f>
        <v>3331.13</v>
      </c>
      <c r="AV13" s="271">
        <f t="shared" ref="AV13:AV16" si="10">AU13*AT13</f>
        <v>3331.13</v>
      </c>
      <c r="AW13" s="271">
        <f t="shared" ref="AW13:AW17" si="11">AV13*12</f>
        <v>39973.56</v>
      </c>
      <c r="AX13" s="265">
        <f>AX28</f>
        <v>1</v>
      </c>
      <c r="AY13" s="265">
        <f>AY28</f>
        <v>1</v>
      </c>
      <c r="AZ13" s="265">
        <f t="shared" si="2"/>
        <v>0</v>
      </c>
      <c r="BA13" s="271"/>
      <c r="BB13" s="431">
        <f>BB28</f>
        <v>4011.6735086424928</v>
      </c>
      <c r="BC13" s="271">
        <f t="shared" si="3"/>
        <v>56163.429120994901</v>
      </c>
    </row>
    <row r="14" spans="2:55">
      <c r="B14" s="344">
        <v>6</v>
      </c>
      <c r="C14" s="333" t="s">
        <v>667</v>
      </c>
      <c r="D14" s="334">
        <v>1</v>
      </c>
      <c r="E14" s="335">
        <v>2981.85</v>
      </c>
      <c r="F14" s="335">
        <v>2981.85</v>
      </c>
      <c r="G14" s="335">
        <v>35782.199999999997</v>
      </c>
      <c r="H14" s="335">
        <f>'[3]Caldereiro 3'!$D$136</f>
        <v>3902.63</v>
      </c>
      <c r="I14" s="335">
        <f t="shared" ref="I14" si="12">H14*D14</f>
        <v>3902.63</v>
      </c>
      <c r="J14" s="335">
        <f t="shared" si="5"/>
        <v>46831.56</v>
      </c>
      <c r="L14" s="269">
        <f t="shared" si="9"/>
        <v>7805.26</v>
      </c>
      <c r="M14" s="288">
        <v>802066</v>
      </c>
      <c r="N14" s="249" t="s">
        <v>602</v>
      </c>
      <c r="P14" s="334"/>
      <c r="Q14" s="335" t="e">
        <f>'[3]Caldereiro 3'!I11</f>
        <v>#REF!</v>
      </c>
      <c r="R14" s="335" t="e">
        <f t="shared" ref="R14" si="13">Q14*P14</f>
        <v>#REF!</v>
      </c>
      <c r="S14" s="335" t="e">
        <f t="shared" si="6"/>
        <v>#REF!</v>
      </c>
      <c r="U14" s="334">
        <v>0</v>
      </c>
      <c r="V14" s="335">
        <f>'[3]Caldereiro 3'!$D$136</f>
        <v>3902.63</v>
      </c>
      <c r="W14" s="335">
        <f t="shared" ref="W14" si="14">V14*U14</f>
        <v>0</v>
      </c>
      <c r="X14" s="335">
        <f t="shared" si="8"/>
        <v>0</v>
      </c>
      <c r="Z14" s="334">
        <v>1</v>
      </c>
      <c r="AA14" s="335">
        <v>3274.27</v>
      </c>
      <c r="AB14" s="267">
        <v>3274.27</v>
      </c>
      <c r="AC14" s="335">
        <v>39291.24</v>
      </c>
      <c r="AE14" s="334">
        <v>1</v>
      </c>
      <c r="AF14" s="336">
        <v>3274.27</v>
      </c>
      <c r="AG14" s="267">
        <v>3274.27</v>
      </c>
      <c r="AH14" s="335">
        <v>39291.24</v>
      </c>
      <c r="AJ14" s="334">
        <v>1</v>
      </c>
      <c r="AK14" s="336">
        <v>3274.27</v>
      </c>
      <c r="AL14" s="267">
        <v>3274.27</v>
      </c>
      <c r="AM14" s="335">
        <v>39291.24</v>
      </c>
      <c r="AO14" s="334">
        <v>1</v>
      </c>
      <c r="AP14" s="336">
        <v>3274.27</v>
      </c>
      <c r="AQ14" s="267">
        <v>3274.27</v>
      </c>
      <c r="AR14" s="335">
        <v>39291.24</v>
      </c>
      <c r="AT14" s="334">
        <v>1</v>
      </c>
      <c r="AU14" s="336">
        <f>'[3]Caldereiro 3'!$D$136</f>
        <v>3902.63</v>
      </c>
      <c r="AV14" s="267">
        <f t="shared" si="10"/>
        <v>3902.63</v>
      </c>
      <c r="AW14" s="335">
        <f t="shared" si="11"/>
        <v>46831.56</v>
      </c>
      <c r="AX14" s="334">
        <v>1</v>
      </c>
      <c r="AY14" s="334">
        <v>1</v>
      </c>
      <c r="AZ14" s="265">
        <f t="shared" si="2"/>
        <v>0</v>
      </c>
      <c r="BA14" s="336"/>
      <c r="BB14" s="431">
        <f>BB137</f>
        <v>5044.9833821173797</v>
      </c>
      <c r="BC14" s="335">
        <f>BB14*14</f>
        <v>70629.767349643313</v>
      </c>
    </row>
    <row r="15" spans="2:55">
      <c r="B15" s="472">
        <v>8</v>
      </c>
      <c r="C15" s="495" t="s">
        <v>594</v>
      </c>
      <c r="D15" s="496">
        <v>5</v>
      </c>
      <c r="E15" s="475">
        <v>2948.04</v>
      </c>
      <c r="F15" s="481">
        <v>14740.2</v>
      </c>
      <c r="G15" s="481">
        <v>176882.40000000002</v>
      </c>
      <c r="H15" s="475">
        <f>'[3]Oficial 2'!$D$136</f>
        <v>3471.01</v>
      </c>
      <c r="I15" s="481">
        <f t="shared" si="4"/>
        <v>17355.050000000003</v>
      </c>
      <c r="J15" s="481">
        <f t="shared" si="5"/>
        <v>208260.60000000003</v>
      </c>
      <c r="K15" s="498" t="s">
        <v>591</v>
      </c>
      <c r="L15" s="478">
        <f>I15*2</f>
        <v>34710.100000000006</v>
      </c>
      <c r="M15" s="480"/>
      <c r="N15" s="480" t="e">
        <f>D27+D66</f>
        <v>#VALUE!</v>
      </c>
      <c r="O15" s="480"/>
      <c r="P15" s="496">
        <v>4</v>
      </c>
      <c r="Q15" s="475">
        <f>R15/P15</f>
        <v>2851.8649999999998</v>
      </c>
      <c r="R15" s="481">
        <f>(2851.86*2)+(2*2851.87)</f>
        <v>11407.46</v>
      </c>
      <c r="S15" s="481">
        <f t="shared" si="6"/>
        <v>136889.51999999999</v>
      </c>
      <c r="T15" s="480"/>
      <c r="U15" s="496">
        <v>4</v>
      </c>
      <c r="V15" s="475">
        <f>'[3]Oficial 2'!$D$136</f>
        <v>3471.01</v>
      </c>
      <c r="W15" s="481">
        <f t="shared" si="7"/>
        <v>13884.04</v>
      </c>
      <c r="X15" s="481">
        <f t="shared" si="8"/>
        <v>166608.48000000001</v>
      </c>
      <c r="Y15" s="480"/>
      <c r="Z15" s="496">
        <v>4</v>
      </c>
      <c r="AA15" s="482">
        <v>3194.68</v>
      </c>
      <c r="AB15" s="482">
        <v>12778.72</v>
      </c>
      <c r="AC15" s="482">
        <v>153344.63999999998</v>
      </c>
      <c r="AD15" s="480"/>
      <c r="AE15" s="496">
        <v>4</v>
      </c>
      <c r="AF15" s="482">
        <v>3194.68</v>
      </c>
      <c r="AG15" s="482">
        <v>12778.72</v>
      </c>
      <c r="AH15" s="482">
        <v>153344.63999999998</v>
      </c>
      <c r="AI15" s="501" t="e">
        <f>AG15+AG72+AG79+AG94+AG98+#REF!+#REF!+AG125+AG133+AG139+AG147</f>
        <v>#REF!</v>
      </c>
      <c r="AJ15" s="496">
        <v>4</v>
      </c>
      <c r="AK15" s="482">
        <v>2953.93</v>
      </c>
      <c r="AL15" s="482">
        <v>11815.72</v>
      </c>
      <c r="AM15" s="482">
        <v>141788.63999999998</v>
      </c>
      <c r="AN15" s="480"/>
      <c r="AO15" s="496">
        <v>4</v>
      </c>
      <c r="AP15" s="482">
        <v>2953.93</v>
      </c>
      <c r="AQ15" s="482">
        <v>11815.72</v>
      </c>
      <c r="AR15" s="482">
        <v>141788.63999999998</v>
      </c>
      <c r="AS15" s="480"/>
      <c r="AT15" s="496" t="e">
        <f>AT27+AT58+AT66+AT176</f>
        <v>#VALUE!</v>
      </c>
      <c r="AU15" s="482">
        <f>'[3]Oficial 2'!$D$136</f>
        <v>3471.01</v>
      </c>
      <c r="AV15" s="482" t="e">
        <f t="shared" si="10"/>
        <v>#VALUE!</v>
      </c>
      <c r="AW15" s="482" t="e">
        <f t="shared" si="11"/>
        <v>#VALUE!</v>
      </c>
      <c r="AX15" s="496">
        <f>AX29+AX87+AX93+AX99+AX105+AX111+AX118+AX124+AX131+AX138+AX146+AX153+AX157+AX164+AX179+AX193</f>
        <v>21</v>
      </c>
      <c r="AY15" s="496">
        <f>AY29+AY87+AY93+AY99+AY105+AY111+AY118+AY124+AY131+AY138+AY146+AY153+AY157+AY164+AY179+AY193</f>
        <v>20</v>
      </c>
      <c r="AZ15" s="496">
        <f t="shared" si="2"/>
        <v>1</v>
      </c>
      <c r="BA15" s="482"/>
      <c r="BB15" s="500">
        <f>BB29+BB87+BB93+BB99+BB105+BB111+BB118+BB124+BB131+BB138+BB146+BB153+BB157+BB164+BB179+BB193</f>
        <v>86405.16050944879</v>
      </c>
      <c r="BC15" s="482">
        <f t="shared" si="3"/>
        <v>1209672.2471322832</v>
      </c>
    </row>
    <row r="16" spans="2:55">
      <c r="B16" s="263">
        <v>10</v>
      </c>
      <c r="C16" s="264" t="s">
        <v>563</v>
      </c>
      <c r="D16" s="270">
        <v>1</v>
      </c>
      <c r="E16" s="266">
        <v>1951.36</v>
      </c>
      <c r="F16" s="335">
        <v>1951.36</v>
      </c>
      <c r="G16" s="335">
        <v>23416.32</v>
      </c>
      <c r="H16" s="266">
        <f>'[3]Jardineiro 3'!$D$137</f>
        <v>2504.21</v>
      </c>
      <c r="I16" s="335">
        <f t="shared" ref="I16" si="15">H16*D16</f>
        <v>2504.21</v>
      </c>
      <c r="J16" s="335">
        <f t="shared" si="5"/>
        <v>30050.52</v>
      </c>
      <c r="L16" s="269">
        <f t="shared" ref="L16" si="16">I16*2</f>
        <v>5008.42</v>
      </c>
      <c r="M16" s="288">
        <v>802066</v>
      </c>
      <c r="N16" s="249" t="s">
        <v>602</v>
      </c>
      <c r="P16" s="270">
        <v>4</v>
      </c>
      <c r="Q16" s="266">
        <v>2031.16</v>
      </c>
      <c r="R16" s="335">
        <f t="shared" ref="R16" si="17">Q16*P16</f>
        <v>8124.64</v>
      </c>
      <c r="S16" s="335">
        <f t="shared" si="6"/>
        <v>97495.680000000008</v>
      </c>
      <c r="U16" s="270">
        <v>4</v>
      </c>
      <c r="V16" s="266">
        <f>'[3]Jardineiro 3'!$D$137</f>
        <v>2504.21</v>
      </c>
      <c r="W16" s="335">
        <f t="shared" ref="W16" si="18">V16*U16</f>
        <v>10016.84</v>
      </c>
      <c r="X16" s="335">
        <f t="shared" si="8"/>
        <v>120202.08</v>
      </c>
      <c r="Z16" s="270">
        <v>1</v>
      </c>
      <c r="AA16" s="266">
        <v>1951.36</v>
      </c>
      <c r="AB16" s="267">
        <v>1951.36</v>
      </c>
      <c r="AC16" s="335">
        <v>23416.32</v>
      </c>
      <c r="AE16" s="270">
        <v>1</v>
      </c>
      <c r="AF16" s="271">
        <v>2176.35</v>
      </c>
      <c r="AG16" s="267">
        <v>2176.35</v>
      </c>
      <c r="AH16" s="335">
        <v>26116.199999999997</v>
      </c>
      <c r="AJ16" s="270">
        <v>1</v>
      </c>
      <c r="AK16" s="271">
        <v>2176.35</v>
      </c>
      <c r="AL16" s="267">
        <v>2176.35</v>
      </c>
      <c r="AM16" s="335">
        <v>26116.199999999997</v>
      </c>
      <c r="AO16" s="270">
        <v>1</v>
      </c>
      <c r="AP16" s="271">
        <v>2176.35</v>
      </c>
      <c r="AQ16" s="267">
        <v>2176.35</v>
      </c>
      <c r="AR16" s="335">
        <v>26116.199999999997</v>
      </c>
      <c r="AT16" s="270">
        <v>1</v>
      </c>
      <c r="AU16" s="271">
        <f>'[3]Jardineiro 3'!$D$137</f>
        <v>2504.21</v>
      </c>
      <c r="AV16" s="267">
        <f t="shared" si="10"/>
        <v>2504.21</v>
      </c>
      <c r="AW16" s="335">
        <f t="shared" si="11"/>
        <v>30050.52</v>
      </c>
      <c r="AX16" s="270">
        <v>1</v>
      </c>
      <c r="AY16" s="270">
        <v>1</v>
      </c>
      <c r="AZ16" s="265">
        <f t="shared" si="2"/>
        <v>0</v>
      </c>
      <c r="BA16" s="271"/>
      <c r="BB16" s="431">
        <f>BB139</f>
        <v>3032.9258646664389</v>
      </c>
      <c r="BC16" s="335">
        <f>BB16*14</f>
        <v>42460.962105330145</v>
      </c>
    </row>
    <row r="17" spans="2:58">
      <c r="B17" s="263">
        <v>11</v>
      </c>
      <c r="C17" s="264" t="s">
        <v>564</v>
      </c>
      <c r="D17" s="265">
        <v>16</v>
      </c>
      <c r="E17" s="266">
        <v>2924.41</v>
      </c>
      <c r="F17" s="267">
        <v>46790.559999999998</v>
      </c>
      <c r="G17" s="267">
        <v>561486.72</v>
      </c>
      <c r="H17" s="266">
        <f>'[3]Orçam 2'!$D$137</f>
        <v>4148.87</v>
      </c>
      <c r="I17" s="267">
        <f t="shared" ref="I17" si="19">D17*H17</f>
        <v>66381.919999999998</v>
      </c>
      <c r="J17" s="267">
        <f t="shared" ref="J17" si="20">I17*12</f>
        <v>796583.04</v>
      </c>
      <c r="K17" s="272" t="s">
        <v>591</v>
      </c>
      <c r="L17" s="269">
        <f t="shared" ref="L17" si="21">I17*2</f>
        <v>132763.84</v>
      </c>
      <c r="N17" s="249" t="e">
        <f>D28+D29+#REF!+#REF!+D42+D46+D50+D53</f>
        <v>#REF!</v>
      </c>
      <c r="P17" s="265">
        <v>12</v>
      </c>
      <c r="Q17" s="266">
        <f>R17/P17</f>
        <v>3059.7383333333332</v>
      </c>
      <c r="R17" s="267">
        <f>(3046.79*4)+(3065.63*3)+3065.63+(3065.62*2)+(3064.44)+3071.5</f>
        <v>36716.86</v>
      </c>
      <c r="S17" s="267">
        <f t="shared" ref="S17" si="22">R17*12</f>
        <v>440602.32</v>
      </c>
      <c r="U17" s="270">
        <v>12</v>
      </c>
      <c r="V17" s="266">
        <f>'[3]Orçam 2'!$D$137</f>
        <v>4148.87</v>
      </c>
      <c r="W17" s="267">
        <f t="shared" ref="W17" si="23">U17*V17</f>
        <v>49786.44</v>
      </c>
      <c r="X17" s="267">
        <f t="shared" ref="X17" si="24">W17*12</f>
        <v>597437.28</v>
      </c>
      <c r="Z17" s="265">
        <v>16</v>
      </c>
      <c r="AA17" s="271">
        <v>2924.41</v>
      </c>
      <c r="AB17" s="271">
        <v>46790.559999999998</v>
      </c>
      <c r="AC17" s="271">
        <v>561486.72</v>
      </c>
      <c r="AE17" s="265">
        <v>16</v>
      </c>
      <c r="AF17" s="271">
        <v>3343.55</v>
      </c>
      <c r="AG17" s="271">
        <v>53496.800000000003</v>
      </c>
      <c r="AH17" s="271">
        <v>641961.60000000009</v>
      </c>
      <c r="AJ17" s="265">
        <v>16</v>
      </c>
      <c r="AK17" s="271">
        <v>3343.55</v>
      </c>
      <c r="AL17" s="271">
        <v>53496.800000000003</v>
      </c>
      <c r="AM17" s="271">
        <v>641961.60000000009</v>
      </c>
      <c r="AO17" s="265">
        <v>16</v>
      </c>
      <c r="AP17" s="271">
        <v>3343.55</v>
      </c>
      <c r="AQ17" s="271">
        <v>53496.800000000003</v>
      </c>
      <c r="AR17" s="271">
        <v>641961.60000000009</v>
      </c>
      <c r="AT17" s="265" t="e">
        <f>AT28+AT29+#REF!+#REF!+AT42+AT46+AT50+AT53+AT30+AT37</f>
        <v>#REF!</v>
      </c>
      <c r="AU17" s="271">
        <f>'[3]Orçam 2'!$D$137</f>
        <v>4148.87</v>
      </c>
      <c r="AV17" s="271" t="e">
        <f>AU17*AT17</f>
        <v>#REF!</v>
      </c>
      <c r="AW17" s="271" t="e">
        <f t="shared" si="11"/>
        <v>#REF!</v>
      </c>
      <c r="AX17" s="265">
        <f>AX30</f>
        <v>4</v>
      </c>
      <c r="AY17" s="265">
        <f>AY30</f>
        <v>4</v>
      </c>
      <c r="AZ17" s="265">
        <f t="shared" si="2"/>
        <v>0</v>
      </c>
      <c r="BA17" s="271"/>
      <c r="BB17" s="431">
        <f>BB30</f>
        <v>17502.357921579754</v>
      </c>
      <c r="BC17" s="271">
        <f t="shared" si="3"/>
        <v>245033.01090211657</v>
      </c>
    </row>
    <row r="18" spans="2:58">
      <c r="B18" s="512"/>
      <c r="C18" s="512"/>
      <c r="D18" s="423" t="e">
        <f>SUM(D8:D17)</f>
        <v>#VALUE!</v>
      </c>
      <c r="E18" s="423"/>
      <c r="F18" s="280">
        <f>SUM(F8:F17)</f>
        <v>126966.21</v>
      </c>
      <c r="G18" s="280">
        <f>SUM(G8:G17)</f>
        <v>1523594.52</v>
      </c>
      <c r="H18" s="281"/>
      <c r="I18" s="282" t="e">
        <f>SUM(I8:I17)</f>
        <v>#VALUE!</v>
      </c>
      <c r="J18" s="282" t="e">
        <f>SUM(J8:J17)</f>
        <v>#VALUE!</v>
      </c>
      <c r="K18" s="283">
        <f>SUM(K8:K17)</f>
        <v>13448.43</v>
      </c>
      <c r="L18" s="283" t="e">
        <f>SUM(L8:L17)</f>
        <v>#VALUE!</v>
      </c>
      <c r="N18" s="423" t="e">
        <f>SUM(N8:N17)</f>
        <v>#VALUE!</v>
      </c>
      <c r="P18" s="423">
        <f>SUM(P8:P17)</f>
        <v>45</v>
      </c>
      <c r="Q18" s="281"/>
      <c r="R18" s="282" t="e">
        <f>SUM(R8:R17)</f>
        <v>#REF!</v>
      </c>
      <c r="S18" s="282" t="e">
        <f>SUM(S8:S17)</f>
        <v>#REF!</v>
      </c>
      <c r="U18" s="423">
        <f>SUM(U8:U17)</f>
        <v>45</v>
      </c>
      <c r="V18" s="281"/>
      <c r="W18" s="282">
        <f>SUM(W8:W17)</f>
        <v>139082.74</v>
      </c>
      <c r="X18" s="282">
        <f>SUM(X8:X17)</f>
        <v>1668992.8800000001</v>
      </c>
      <c r="Z18" s="423">
        <v>54</v>
      </c>
      <c r="AA18" s="281"/>
      <c r="AB18" s="282">
        <v>129756.22</v>
      </c>
      <c r="AC18" s="282">
        <v>1557074.64</v>
      </c>
      <c r="AD18" s="274" t="e">
        <f>#REF!+#REF!+#REF!+#REF!+#REF!+#REF!+#REF!+#REF!</f>
        <v>#REF!</v>
      </c>
      <c r="AE18" s="423">
        <v>54</v>
      </c>
      <c r="AF18" s="284"/>
      <c r="AG18" s="283">
        <v>144553.80000000002</v>
      </c>
      <c r="AH18" s="283">
        <v>1734645.6</v>
      </c>
      <c r="AI18" s="274"/>
      <c r="AJ18" s="423">
        <v>55</v>
      </c>
      <c r="AK18" s="284"/>
      <c r="AL18" s="283">
        <v>145503.01999999999</v>
      </c>
      <c r="AM18" s="283">
        <v>1746036.24</v>
      </c>
      <c r="AN18" s="274"/>
      <c r="AO18" s="423">
        <v>55</v>
      </c>
      <c r="AP18" s="284"/>
      <c r="AQ18" s="283">
        <v>146901.77000000002</v>
      </c>
      <c r="AR18" s="283">
        <v>1762821.24</v>
      </c>
      <c r="AS18" s="275"/>
      <c r="AT18" s="423" t="e">
        <f>SUM(AT8:AT17)</f>
        <v>#VALUE!</v>
      </c>
      <c r="AU18" s="284"/>
      <c r="AV18" s="283" t="e">
        <f>SUM(AV8:AV17)</f>
        <v>#REF!</v>
      </c>
      <c r="AW18" s="283" t="e">
        <f>SUM(AW8:AW17)</f>
        <v>#REF!</v>
      </c>
      <c r="AX18" s="423">
        <f>SUM(AX8:AX17)</f>
        <v>101</v>
      </c>
      <c r="AY18" s="444">
        <f>SUM(AY8:AY17)</f>
        <v>89</v>
      </c>
      <c r="AZ18" s="444">
        <f>SUM(AZ8:AZ17)</f>
        <v>12</v>
      </c>
      <c r="BA18" s="284"/>
      <c r="BB18" s="433">
        <f>SUM(BB8:BB17)</f>
        <v>351947.52182115009</v>
      </c>
      <c r="BC18" s="425">
        <f>SUM(BC8:BC17)</f>
        <v>4927265.3054961013</v>
      </c>
      <c r="BD18" s="502"/>
      <c r="BE18" s="503"/>
      <c r="BF18" s="427"/>
    </row>
    <row r="19" spans="2:58">
      <c r="B19" s="520"/>
      <c r="C19" s="520"/>
      <c r="D19" s="520"/>
      <c r="E19" s="520"/>
      <c r="F19" s="520"/>
      <c r="G19" s="520"/>
      <c r="H19" s="520"/>
      <c r="I19" s="520"/>
      <c r="J19" s="520"/>
      <c r="K19" s="520"/>
      <c r="L19" s="520"/>
      <c r="M19" s="520"/>
      <c r="N19" s="520"/>
      <c r="O19" s="520"/>
      <c r="P19" s="520"/>
      <c r="Q19" s="520"/>
      <c r="R19" s="520"/>
      <c r="S19" s="520"/>
      <c r="T19" s="520"/>
      <c r="U19" s="520"/>
      <c r="V19" s="520"/>
      <c r="W19" s="520"/>
      <c r="X19" s="520"/>
      <c r="AF19" s="252"/>
      <c r="AK19" s="252"/>
      <c r="AX19" s="249">
        <v>100</v>
      </c>
      <c r="BD19" s="427"/>
      <c r="BE19" s="428"/>
      <c r="BF19" s="427"/>
    </row>
    <row r="20" spans="2:58">
      <c r="C20" s="254"/>
      <c r="D20" s="254"/>
      <c r="E20" s="254"/>
      <c r="F20" s="254"/>
      <c r="G20" s="254"/>
      <c r="K20" s="255"/>
      <c r="L20" s="254"/>
      <c r="M20" s="254"/>
      <c r="N20" s="254"/>
      <c r="O20" s="256"/>
      <c r="P20" s="521"/>
      <c r="Q20" s="521"/>
      <c r="R20" s="521"/>
      <c r="S20" s="521"/>
      <c r="U20" s="521"/>
      <c r="V20" s="521"/>
      <c r="W20" s="521"/>
      <c r="X20" s="521"/>
      <c r="AA20" s="514" t="s">
        <v>571</v>
      </c>
      <c r="AB20" s="514"/>
      <c r="AC20" s="514"/>
      <c r="AE20" s="257" t="s">
        <v>572</v>
      </c>
      <c r="AF20" s="257"/>
      <c r="AG20" s="257"/>
      <c r="AK20" s="257" t="s">
        <v>573</v>
      </c>
      <c r="AL20" s="257"/>
      <c r="AP20" s="257" t="s">
        <v>574</v>
      </c>
      <c r="AQ20" s="257"/>
      <c r="AU20" s="257" t="s">
        <v>575</v>
      </c>
      <c r="AV20" s="257"/>
      <c r="BA20" s="411"/>
      <c r="BB20" s="411"/>
      <c r="BD20" s="427"/>
      <c r="BE20" s="427"/>
      <c r="BF20" s="427"/>
    </row>
    <row r="21" spans="2:58">
      <c r="B21" s="258" t="s">
        <v>576</v>
      </c>
      <c r="C21" s="259" t="s">
        <v>577</v>
      </c>
      <c r="E21" s="514" t="s">
        <v>578</v>
      </c>
      <c r="F21" s="514"/>
      <c r="G21" s="514"/>
      <c r="H21" s="514" t="s">
        <v>579</v>
      </c>
      <c r="I21" s="514"/>
      <c r="J21" s="514"/>
      <c r="AA21" s="249" t="s">
        <v>580</v>
      </c>
      <c r="AF21" s="252"/>
      <c r="AK21" s="252"/>
      <c r="BD21" s="427"/>
      <c r="BE21" s="427"/>
      <c r="BF21" s="427"/>
    </row>
    <row r="22" spans="2:58" ht="47.25">
      <c r="B22" s="260" t="s">
        <v>581</v>
      </c>
      <c r="C22" s="261" t="s">
        <v>267</v>
      </c>
      <c r="D22" s="261" t="s">
        <v>582</v>
      </c>
      <c r="E22" s="261" t="s">
        <v>583</v>
      </c>
      <c r="F22" s="261" t="s">
        <v>584</v>
      </c>
      <c r="G22" s="261" t="s">
        <v>585</v>
      </c>
      <c r="H22" s="261" t="s">
        <v>583</v>
      </c>
      <c r="I22" s="261" t="s">
        <v>584</v>
      </c>
      <c r="J22" s="261" t="s">
        <v>585</v>
      </c>
      <c r="K22" s="261" t="s">
        <v>586</v>
      </c>
      <c r="L22" s="261" t="s">
        <v>587</v>
      </c>
      <c r="N22" s="249" t="s">
        <v>588</v>
      </c>
      <c r="P22" s="261" t="s">
        <v>582</v>
      </c>
      <c r="Q22" s="261" t="s">
        <v>589</v>
      </c>
      <c r="R22" s="261" t="s">
        <v>584</v>
      </c>
      <c r="S22" s="261" t="s">
        <v>585</v>
      </c>
      <c r="U22" s="261" t="s">
        <v>582</v>
      </c>
      <c r="V22" s="261" t="s">
        <v>583</v>
      </c>
      <c r="W22" s="261" t="s">
        <v>584</v>
      </c>
      <c r="X22" s="261" t="s">
        <v>585</v>
      </c>
      <c r="Z22" s="261" t="s">
        <v>590</v>
      </c>
      <c r="AA22" s="261" t="s">
        <v>583</v>
      </c>
      <c r="AB22" s="261" t="s">
        <v>584</v>
      </c>
      <c r="AC22" s="261" t="s">
        <v>585</v>
      </c>
      <c r="AE22" s="261" t="s">
        <v>566</v>
      </c>
      <c r="AF22" s="262" t="s">
        <v>583</v>
      </c>
      <c r="AG22" s="261" t="s">
        <v>584</v>
      </c>
      <c r="AH22" s="261" t="s">
        <v>585</v>
      </c>
      <c r="AJ22" s="261" t="s">
        <v>566</v>
      </c>
      <c r="AK22" s="262" t="s">
        <v>583</v>
      </c>
      <c r="AL22" s="261" t="s">
        <v>584</v>
      </c>
      <c r="AM22" s="261" t="s">
        <v>585</v>
      </c>
      <c r="AO22" s="261" t="s">
        <v>566</v>
      </c>
      <c r="AP22" s="262" t="s">
        <v>583</v>
      </c>
      <c r="AQ22" s="261" t="s">
        <v>584</v>
      </c>
      <c r="AR22" s="261" t="s">
        <v>585</v>
      </c>
      <c r="AT22" s="261" t="s">
        <v>566</v>
      </c>
      <c r="AU22" s="262" t="s">
        <v>583</v>
      </c>
      <c r="AV22" s="261" t="s">
        <v>584</v>
      </c>
      <c r="AW22" s="261" t="s">
        <v>585</v>
      </c>
      <c r="AX22" s="261" t="s">
        <v>566</v>
      </c>
      <c r="AY22" s="261"/>
      <c r="AZ22" s="261"/>
      <c r="BA22" s="262" t="s">
        <v>583</v>
      </c>
      <c r="BB22" s="430" t="s">
        <v>584</v>
      </c>
      <c r="BC22" s="426" t="s">
        <v>585</v>
      </c>
      <c r="BD22" s="427"/>
      <c r="BE22" s="427"/>
      <c r="BF22" s="427"/>
    </row>
    <row r="23" spans="2:58">
      <c r="B23" s="263">
        <v>1</v>
      </c>
      <c r="C23" s="264" t="s">
        <v>565</v>
      </c>
      <c r="D23" s="265">
        <v>1</v>
      </c>
      <c r="E23" s="266">
        <v>3436.83</v>
      </c>
      <c r="F23" s="267">
        <v>3436.83</v>
      </c>
      <c r="G23" s="267">
        <v>41241.96</v>
      </c>
      <c r="H23" s="266">
        <f>'[3]Super 2'!$D$137</f>
        <v>4482.8100000000004</v>
      </c>
      <c r="I23" s="267">
        <f>D23*H23</f>
        <v>4482.8100000000004</v>
      </c>
      <c r="J23" s="267">
        <f>I23*12</f>
        <v>53793.72</v>
      </c>
      <c r="K23" s="268">
        <f>I23*3</f>
        <v>13448.43</v>
      </c>
      <c r="L23" s="269" t="s">
        <v>591</v>
      </c>
      <c r="N23" s="249">
        <f>D34</f>
        <v>1</v>
      </c>
      <c r="P23" s="270">
        <v>0</v>
      </c>
      <c r="Q23" s="266">
        <v>0</v>
      </c>
      <c r="R23" s="267">
        <f>P23*Q23</f>
        <v>0</v>
      </c>
      <c r="S23" s="267">
        <f>R23*12</f>
        <v>0</v>
      </c>
      <c r="U23" s="270">
        <v>0</v>
      </c>
      <c r="V23" s="266">
        <f>'[3]Super 2'!$D$137</f>
        <v>4482.8100000000004</v>
      </c>
      <c r="W23" s="267">
        <f>U23*V23</f>
        <v>0</v>
      </c>
      <c r="X23" s="267">
        <f>W23*12</f>
        <v>0</v>
      </c>
      <c r="Z23" s="265">
        <v>1</v>
      </c>
      <c r="AA23" s="271">
        <v>3436.83</v>
      </c>
      <c r="AB23" s="271">
        <v>3436.83</v>
      </c>
      <c r="AC23" s="271">
        <v>41241.96</v>
      </c>
      <c r="AD23" s="267"/>
      <c r="AE23" s="265">
        <v>1</v>
      </c>
      <c r="AF23" s="271">
        <v>3875.84</v>
      </c>
      <c r="AG23" s="271">
        <v>3875.84</v>
      </c>
      <c r="AH23" s="271">
        <v>46510.080000000002</v>
      </c>
      <c r="AJ23" s="265">
        <v>1</v>
      </c>
      <c r="AK23" s="271">
        <v>3875.84</v>
      </c>
      <c r="AL23" s="271">
        <v>3875.84</v>
      </c>
      <c r="AM23" s="271">
        <v>46510.080000000002</v>
      </c>
      <c r="AO23" s="265">
        <v>1</v>
      </c>
      <c r="AP23" s="271">
        <v>3875.84</v>
      </c>
      <c r="AQ23" s="271">
        <v>3875.84</v>
      </c>
      <c r="AR23" s="271">
        <v>46510.080000000002</v>
      </c>
      <c r="AT23" s="265">
        <f>AT34</f>
        <v>1</v>
      </c>
      <c r="AU23" s="271">
        <f>'[3]Super 2'!D137</f>
        <v>4482.8100000000004</v>
      </c>
      <c r="AV23" s="271">
        <f>AV34</f>
        <v>4482.8100000000004</v>
      </c>
      <c r="AW23" s="271">
        <f>AV23*12</f>
        <v>53793.72</v>
      </c>
      <c r="AX23" s="265">
        <f>AX34</f>
        <v>1</v>
      </c>
      <c r="AY23" s="265">
        <f>AY34</f>
        <v>1</v>
      </c>
      <c r="AZ23" s="265">
        <f>AX23-AY23</f>
        <v>0</v>
      </c>
      <c r="BA23" s="271">
        <f>'1-A'!D152</f>
        <v>5950.2903649118052</v>
      </c>
      <c r="BB23" s="431">
        <f>BA23*AX23</f>
        <v>5950.2903649118052</v>
      </c>
      <c r="BC23" s="271">
        <f>BB23*12</f>
        <v>71403.484378941663</v>
      </c>
    </row>
    <row r="24" spans="2:58">
      <c r="B24" s="263">
        <v>2</v>
      </c>
      <c r="C24" s="264" t="s">
        <v>1</v>
      </c>
      <c r="D24" s="265">
        <f>D35+D36+D48+D55+D59+D63+D67+D71+D77</f>
        <v>13</v>
      </c>
      <c r="E24" s="266">
        <v>1970.65</v>
      </c>
      <c r="F24" s="267">
        <v>25618.45</v>
      </c>
      <c r="G24" s="267">
        <v>307421.40000000002</v>
      </c>
      <c r="H24" s="266">
        <f>'[3]Recepção 2'!$D$137</f>
        <v>2622.17</v>
      </c>
      <c r="I24" s="267">
        <f>D24*H24</f>
        <v>34088.21</v>
      </c>
      <c r="J24" s="267">
        <f>I24*12</f>
        <v>409058.52</v>
      </c>
      <c r="K24" s="272" t="s">
        <v>591</v>
      </c>
      <c r="L24" s="269">
        <f>I24*2</f>
        <v>68176.42</v>
      </c>
      <c r="N24" s="273">
        <f>D35+D36+D48+D55+D59+D63+D67+D71+D77</f>
        <v>13</v>
      </c>
      <c r="P24" s="265">
        <v>12</v>
      </c>
      <c r="Q24" s="266">
        <f>R24/P24</f>
        <v>2084.75</v>
      </c>
      <c r="R24" s="267">
        <f>2110.7+(4*1999.16)+(2*2110.69)+2110.71+2110.78+2109.23+2109.2+2248.36</f>
        <v>25017</v>
      </c>
      <c r="S24" s="267">
        <f>R24*12</f>
        <v>300204</v>
      </c>
      <c r="U24" s="270">
        <v>12</v>
      </c>
      <c r="V24" s="266">
        <f>'[3]Recepção 2'!$D$137</f>
        <v>2622.17</v>
      </c>
      <c r="W24" s="267">
        <f>U24*V24</f>
        <v>31466.04</v>
      </c>
      <c r="X24" s="267">
        <f>W24*12</f>
        <v>377592.48</v>
      </c>
      <c r="Z24" s="265">
        <v>13</v>
      </c>
      <c r="AA24" s="271">
        <v>1970.65</v>
      </c>
      <c r="AB24" s="271">
        <v>25618.45</v>
      </c>
      <c r="AC24" s="271">
        <v>307421.40000000002</v>
      </c>
      <c r="AD24" s="267"/>
      <c r="AE24" s="265">
        <v>13</v>
      </c>
      <c r="AF24" s="271">
        <v>2211.4299999999998</v>
      </c>
      <c r="AG24" s="271">
        <v>28748.589999999997</v>
      </c>
      <c r="AH24" s="271">
        <v>344983.07999999996</v>
      </c>
      <c r="AJ24" s="265">
        <v>13</v>
      </c>
      <c r="AK24" s="271">
        <v>2211.4299999999998</v>
      </c>
      <c r="AL24" s="271">
        <v>28748.589999999997</v>
      </c>
      <c r="AM24" s="271">
        <v>344983.07999999996</v>
      </c>
      <c r="AO24" s="265">
        <v>14</v>
      </c>
      <c r="AP24" s="271">
        <v>2211.4299999999998</v>
      </c>
      <c r="AQ24" s="271">
        <v>30960.019999999997</v>
      </c>
      <c r="AR24" s="271">
        <v>371520.24</v>
      </c>
      <c r="AT24" s="265">
        <f>AT35+AT36+AT48+AT55+AT59+AT63+AT67+AT71+AT77+AT49</f>
        <v>14</v>
      </c>
      <c r="AU24" s="271">
        <f>'[3]Recepção 2'!D137</f>
        <v>2622.17</v>
      </c>
      <c r="AV24" s="271">
        <f t="shared" ref="AV24:AV29" si="25">AU24*AT24</f>
        <v>36710.380000000005</v>
      </c>
      <c r="AW24" s="271">
        <f t="shared" ref="AW24:AW30" si="26">AV24*12</f>
        <v>440524.56000000006</v>
      </c>
      <c r="AX24" s="265">
        <f>AX35+AX36+AX48+AX49+AX55+AX59+AX63+AX67+AX71+AX77</f>
        <v>13</v>
      </c>
      <c r="AY24" s="265">
        <f>AY35+AY36+AY48+AY55+AY59+AY63+AY67+AY71+AY77+AY49</f>
        <v>10</v>
      </c>
      <c r="AZ24" s="265">
        <f t="shared" ref="AZ24:AZ30" si="27">AX24-AY24</f>
        <v>3</v>
      </c>
      <c r="BA24" s="271">
        <f>'2-A'!D152</f>
        <v>3172.5502639618517</v>
      </c>
      <c r="BB24" s="431">
        <f t="shared" ref="BB24:BB26" si="28">BA24*AX24</f>
        <v>41243.15343150407</v>
      </c>
      <c r="BC24" s="271">
        <f t="shared" ref="BC24:BC30" si="29">BB24*12</f>
        <v>494917.84117804887</v>
      </c>
    </row>
    <row r="25" spans="2:58">
      <c r="B25" s="263">
        <v>3</v>
      </c>
      <c r="C25" s="264" t="s">
        <v>592</v>
      </c>
      <c r="D25" s="265">
        <v>5</v>
      </c>
      <c r="E25" s="266">
        <v>1420.39</v>
      </c>
      <c r="F25" s="267">
        <v>7101.9500000000007</v>
      </c>
      <c r="G25" s="267">
        <v>85223.400000000009</v>
      </c>
      <c r="H25" s="266">
        <f>'[3]Copeira 2'!$D$137</f>
        <v>2320.86</v>
      </c>
      <c r="I25" s="267">
        <f t="shared" ref="I25:I30" si="30">D25*H25</f>
        <v>11604.300000000001</v>
      </c>
      <c r="J25" s="267">
        <f t="shared" ref="J25:J30" si="31">I25*12</f>
        <v>139251.6</v>
      </c>
      <c r="K25" s="272" t="s">
        <v>591</v>
      </c>
      <c r="L25" s="269">
        <f>I25*2</f>
        <v>23208.600000000002</v>
      </c>
      <c r="N25" s="249">
        <f>D50+D51+D78</f>
        <v>5</v>
      </c>
      <c r="P25" s="265">
        <v>4</v>
      </c>
      <c r="Q25" s="266">
        <f>R25/P25</f>
        <v>1551.9799999999998</v>
      </c>
      <c r="R25" s="266">
        <f>(1573.85*3)+(1486.37)</f>
        <v>6207.9199999999992</v>
      </c>
      <c r="S25" s="267">
        <f t="shared" ref="S25:S30" si="32">R25*12</f>
        <v>74495.039999999994</v>
      </c>
      <c r="U25" s="270">
        <v>4</v>
      </c>
      <c r="V25" s="266">
        <f>'[3]Copeira 2'!$D$137</f>
        <v>2320.86</v>
      </c>
      <c r="W25" s="267">
        <f t="shared" ref="W25:W30" si="33">U25*V25</f>
        <v>9283.44</v>
      </c>
      <c r="X25" s="267">
        <f t="shared" ref="X25:X30" si="34">W25*12</f>
        <v>111401.28</v>
      </c>
      <c r="Z25" s="265">
        <v>5</v>
      </c>
      <c r="AA25" s="271">
        <v>1420.39</v>
      </c>
      <c r="AB25" s="271">
        <v>7101.9500000000007</v>
      </c>
      <c r="AC25" s="271">
        <v>85223.400000000009</v>
      </c>
      <c r="AD25" s="267">
        <f>AB51+AB50+AB78</f>
        <v>7101.9500000000007</v>
      </c>
      <c r="AE25" s="265">
        <v>5</v>
      </c>
      <c r="AF25" s="271">
        <v>1567.88</v>
      </c>
      <c r="AG25" s="271">
        <v>7839.4000000000005</v>
      </c>
      <c r="AH25" s="271">
        <v>94072.8</v>
      </c>
      <c r="AI25" s="274"/>
      <c r="AJ25" s="265">
        <v>5</v>
      </c>
      <c r="AK25" s="271">
        <v>1567.88</v>
      </c>
      <c r="AL25" s="271">
        <v>7839.4000000000005</v>
      </c>
      <c r="AM25" s="271">
        <v>94072.8</v>
      </c>
      <c r="AN25" s="274"/>
      <c r="AO25" s="265">
        <v>5</v>
      </c>
      <c r="AP25" s="271">
        <v>1567.88</v>
      </c>
      <c r="AQ25" s="271">
        <v>7839.4000000000005</v>
      </c>
      <c r="AR25" s="271">
        <v>94072.8</v>
      </c>
      <c r="AS25" s="274"/>
      <c r="AT25" s="265">
        <f>AT50+AT51+AT78</f>
        <v>5</v>
      </c>
      <c r="AU25" s="271">
        <f>'[3]Copeira 2'!D137</f>
        <v>2320.86</v>
      </c>
      <c r="AV25" s="271">
        <f t="shared" si="25"/>
        <v>11604.300000000001</v>
      </c>
      <c r="AW25" s="271">
        <f t="shared" si="26"/>
        <v>139251.6</v>
      </c>
      <c r="AX25" s="265">
        <f>AX50+AX51+AX78</f>
        <v>5</v>
      </c>
      <c r="AY25" s="265">
        <f>AY50+AY51+AY78</f>
        <v>5</v>
      </c>
      <c r="AZ25" s="265">
        <f t="shared" si="27"/>
        <v>0</v>
      </c>
      <c r="BA25" s="271">
        <f>'6-A'!D152</f>
        <v>2303.4709559206799</v>
      </c>
      <c r="BB25" s="431">
        <f t="shared" si="28"/>
        <v>11517.3547796034</v>
      </c>
      <c r="BC25" s="271">
        <f t="shared" si="29"/>
        <v>138208.25735524081</v>
      </c>
    </row>
    <row r="26" spans="2:58">
      <c r="B26" s="263">
        <v>4</v>
      </c>
      <c r="C26" s="264" t="s">
        <v>2</v>
      </c>
      <c r="D26" s="265">
        <v>4</v>
      </c>
      <c r="E26" s="266">
        <v>2469.9499999999998</v>
      </c>
      <c r="F26" s="267">
        <v>9879.7999999999993</v>
      </c>
      <c r="G26" s="267">
        <v>118557.59999999999</v>
      </c>
      <c r="H26" s="266">
        <f>'[3]Porteiro 2'!$D$137</f>
        <v>3292.56</v>
      </c>
      <c r="I26" s="267">
        <f t="shared" si="30"/>
        <v>13170.24</v>
      </c>
      <c r="J26" s="267">
        <f t="shared" si="31"/>
        <v>158042.88</v>
      </c>
      <c r="K26" s="272" t="s">
        <v>591</v>
      </c>
      <c r="L26" s="269">
        <f t="shared" ref="L26:L30" si="35">I26*2</f>
        <v>26340.48</v>
      </c>
      <c r="N26" s="249">
        <f>D79</f>
        <v>4</v>
      </c>
      <c r="P26" s="265">
        <v>4</v>
      </c>
      <c r="Q26" s="266">
        <f>R26/P26</f>
        <v>2687.9900000000002</v>
      </c>
      <c r="R26" s="267">
        <f>2676.02+(3*2691.98)</f>
        <v>10751.960000000001</v>
      </c>
      <c r="S26" s="267">
        <f t="shared" si="32"/>
        <v>129023.52000000002</v>
      </c>
      <c r="U26" s="270">
        <v>4</v>
      </c>
      <c r="V26" s="266">
        <f>'[3]Porteiro 2'!$D$137</f>
        <v>3292.56</v>
      </c>
      <c r="W26" s="267">
        <f t="shared" si="33"/>
        <v>13170.24</v>
      </c>
      <c r="X26" s="267">
        <f t="shared" si="34"/>
        <v>158042.88</v>
      </c>
      <c r="Z26" s="265">
        <v>4</v>
      </c>
      <c r="AA26" s="271">
        <v>2469.9499999999998</v>
      </c>
      <c r="AB26" s="271">
        <v>9879.7999999999993</v>
      </c>
      <c r="AC26" s="271">
        <v>118557.59999999999</v>
      </c>
      <c r="AD26" s="267"/>
      <c r="AE26" s="265">
        <v>4</v>
      </c>
      <c r="AF26" s="271">
        <v>2785.89</v>
      </c>
      <c r="AG26" s="271">
        <v>11143.56</v>
      </c>
      <c r="AH26" s="271">
        <v>133722.72</v>
      </c>
      <c r="AJ26" s="265">
        <v>4</v>
      </c>
      <c r="AK26" s="271">
        <v>2785.89</v>
      </c>
      <c r="AL26" s="271">
        <v>11143.56</v>
      </c>
      <c r="AM26" s="271">
        <v>133722.72</v>
      </c>
      <c r="AO26" s="265">
        <v>6</v>
      </c>
      <c r="AP26" s="271">
        <v>2785.89</v>
      </c>
      <c r="AQ26" s="271">
        <v>16715.34</v>
      </c>
      <c r="AR26" s="271">
        <v>200584.08000000002</v>
      </c>
      <c r="AT26" s="265">
        <f>AT79</f>
        <v>6</v>
      </c>
      <c r="AU26" s="271">
        <f>'[3]Porteiro 2'!$D$137</f>
        <v>3292.56</v>
      </c>
      <c r="AV26" s="271">
        <f t="shared" si="25"/>
        <v>19755.36</v>
      </c>
      <c r="AW26" s="271">
        <f t="shared" si="26"/>
        <v>237064.32000000001</v>
      </c>
      <c r="AX26" s="265">
        <f>AX79</f>
        <v>4</v>
      </c>
      <c r="AY26" s="265">
        <f>AY79</f>
        <v>4</v>
      </c>
      <c r="AZ26" s="265">
        <f t="shared" si="27"/>
        <v>0</v>
      </c>
      <c r="BA26" s="271">
        <f>'9-A'!D152</f>
        <v>3950.6876172993393</v>
      </c>
      <c r="BB26" s="431">
        <f t="shared" si="28"/>
        <v>15802.750469197357</v>
      </c>
      <c r="BC26" s="271">
        <f t="shared" si="29"/>
        <v>189633.00563036828</v>
      </c>
    </row>
    <row r="27" spans="2:58">
      <c r="B27" s="263">
        <v>5</v>
      </c>
      <c r="C27" s="264" t="s">
        <v>562</v>
      </c>
      <c r="D27" s="265">
        <v>7</v>
      </c>
      <c r="E27" s="266">
        <v>1714.13</v>
      </c>
      <c r="F27" s="267">
        <v>11998.91</v>
      </c>
      <c r="G27" s="267">
        <v>143986.91999999998</v>
      </c>
      <c r="H27" s="266">
        <f>'[3]ASG 2'!$D$137</f>
        <v>2295.14</v>
      </c>
      <c r="I27" s="267">
        <f t="shared" si="30"/>
        <v>16065.98</v>
      </c>
      <c r="J27" s="267">
        <f t="shared" si="31"/>
        <v>192791.76</v>
      </c>
      <c r="K27" s="272" t="s">
        <v>591</v>
      </c>
      <c r="L27" s="269">
        <f t="shared" si="35"/>
        <v>32131.96</v>
      </c>
      <c r="N27" s="249">
        <f>D37+D72+D80</f>
        <v>7</v>
      </c>
      <c r="P27" s="265">
        <v>5</v>
      </c>
      <c r="Q27" s="266">
        <f>R27/P27</f>
        <v>2386.09</v>
      </c>
      <c r="R27" s="267">
        <f>(2386.09*2)+(3*2386.09)</f>
        <v>11930.45</v>
      </c>
      <c r="S27" s="267">
        <f t="shared" si="32"/>
        <v>143165.40000000002</v>
      </c>
      <c r="U27" s="270">
        <v>5</v>
      </c>
      <c r="V27" s="266">
        <f>'[3]ASG 2'!$D$137</f>
        <v>2295.14</v>
      </c>
      <c r="W27" s="267">
        <f t="shared" si="33"/>
        <v>11475.699999999999</v>
      </c>
      <c r="X27" s="267">
        <f t="shared" si="34"/>
        <v>137708.4</v>
      </c>
      <c r="Z27" s="265">
        <v>7</v>
      </c>
      <c r="AA27" s="271">
        <v>1714.13</v>
      </c>
      <c r="AB27" s="271">
        <v>11998.91</v>
      </c>
      <c r="AC27" s="271">
        <v>143986.91999999998</v>
      </c>
      <c r="AD27" s="267"/>
      <c r="AE27" s="265">
        <v>7</v>
      </c>
      <c r="AF27" s="271">
        <v>1912.22</v>
      </c>
      <c r="AG27" s="271">
        <v>13385.54</v>
      </c>
      <c r="AH27" s="271">
        <v>160626.48000000001</v>
      </c>
      <c r="AJ27" s="265">
        <v>8</v>
      </c>
      <c r="AK27" s="271">
        <v>1912.22</v>
      </c>
      <c r="AL27" s="271">
        <v>15297.76</v>
      </c>
      <c r="AM27" s="271">
        <v>183573.12</v>
      </c>
      <c r="AN27" s="275"/>
      <c r="AO27" s="265">
        <v>6</v>
      </c>
      <c r="AP27" s="271">
        <v>1912.22</v>
      </c>
      <c r="AQ27" s="271">
        <v>11473.32</v>
      </c>
      <c r="AR27" s="271">
        <v>137679.84</v>
      </c>
      <c r="AS27" s="275"/>
      <c r="AT27" s="265">
        <f>AT38+AT72+AT80</f>
        <v>6</v>
      </c>
      <c r="AU27" s="271">
        <f>'[3]ASG 2'!$D$137</f>
        <v>2295.14</v>
      </c>
      <c r="AV27" s="271">
        <f>AU27*AT27</f>
        <v>13770.84</v>
      </c>
      <c r="AW27" s="271">
        <f>AV27*12</f>
        <v>165250.08000000002</v>
      </c>
      <c r="AX27" s="265">
        <f>AX38+AX72+AX80</f>
        <v>4</v>
      </c>
      <c r="AY27" s="265">
        <f>AY38+AY72+AY80</f>
        <v>4</v>
      </c>
      <c r="AZ27" s="265">
        <f t="shared" si="27"/>
        <v>0</v>
      </c>
      <c r="BA27" s="271">
        <f>'13-A'!D152</f>
        <v>2766.8942962220963</v>
      </c>
      <c r="BB27" s="431">
        <f>BA27*AX27</f>
        <v>11067.577184888385</v>
      </c>
      <c r="BC27" s="271">
        <f t="shared" si="29"/>
        <v>132810.92621866061</v>
      </c>
    </row>
    <row r="28" spans="2:58">
      <c r="B28" s="263">
        <v>7</v>
      </c>
      <c r="C28" s="264" t="s">
        <v>593</v>
      </c>
      <c r="D28" s="265">
        <v>1</v>
      </c>
      <c r="E28" s="266">
        <v>2466.3000000000002</v>
      </c>
      <c r="F28" s="267">
        <v>2466.3000000000002</v>
      </c>
      <c r="G28" s="267">
        <v>29595.600000000002</v>
      </c>
      <c r="H28" s="266">
        <f>'[3]Almoxarife 2'!$D$137</f>
        <v>3331.13</v>
      </c>
      <c r="I28" s="267">
        <f t="shared" si="30"/>
        <v>3331.13</v>
      </c>
      <c r="J28" s="267">
        <f t="shared" si="31"/>
        <v>39973.56</v>
      </c>
      <c r="K28" s="268" t="s">
        <v>591</v>
      </c>
      <c r="L28" s="269">
        <f t="shared" si="35"/>
        <v>6662.26</v>
      </c>
      <c r="N28" s="249">
        <f>D39</f>
        <v>1</v>
      </c>
      <c r="P28" s="265">
        <v>0</v>
      </c>
      <c r="Q28" s="266">
        <v>0</v>
      </c>
      <c r="R28" s="267">
        <f>P28*Q28</f>
        <v>0</v>
      </c>
      <c r="S28" s="267">
        <f t="shared" si="32"/>
        <v>0</v>
      </c>
      <c r="U28" s="270">
        <v>0</v>
      </c>
      <c r="V28" s="266">
        <f>'[3]Almoxarife 2'!$D$137</f>
        <v>3331.13</v>
      </c>
      <c r="W28" s="267">
        <f t="shared" si="33"/>
        <v>0</v>
      </c>
      <c r="X28" s="267">
        <f t="shared" si="34"/>
        <v>0</v>
      </c>
      <c r="Z28" s="265">
        <v>1</v>
      </c>
      <c r="AA28" s="271">
        <v>2814.05</v>
      </c>
      <c r="AB28" s="271">
        <v>2814.05</v>
      </c>
      <c r="AC28" s="271">
        <v>33768.600000000006</v>
      </c>
      <c r="AE28" s="265">
        <v>1</v>
      </c>
      <c r="AF28" s="271">
        <v>2814.05</v>
      </c>
      <c r="AG28" s="271">
        <v>2814.05</v>
      </c>
      <c r="AH28" s="271">
        <v>33768.600000000006</v>
      </c>
      <c r="AJ28" s="265">
        <v>1</v>
      </c>
      <c r="AK28" s="271">
        <v>2814.05</v>
      </c>
      <c r="AL28" s="271">
        <v>2814.05</v>
      </c>
      <c r="AM28" s="271">
        <v>33768.600000000006</v>
      </c>
      <c r="AO28" s="265">
        <v>1</v>
      </c>
      <c r="AP28" s="271">
        <v>2814.05</v>
      </c>
      <c r="AQ28" s="271">
        <v>2814.05</v>
      </c>
      <c r="AR28" s="271">
        <v>33768.600000000006</v>
      </c>
      <c r="AT28" s="265">
        <v>1</v>
      </c>
      <c r="AU28" s="271">
        <f>'[3]Almoxarife 2'!$D$137</f>
        <v>3331.13</v>
      </c>
      <c r="AV28" s="271">
        <f t="shared" si="25"/>
        <v>3331.13</v>
      </c>
      <c r="AW28" s="271">
        <f t="shared" si="26"/>
        <v>39973.56</v>
      </c>
      <c r="AX28" s="265">
        <v>1</v>
      </c>
      <c r="AY28" s="265">
        <v>1</v>
      </c>
      <c r="AZ28" s="265">
        <f t="shared" si="27"/>
        <v>0</v>
      </c>
      <c r="BA28" s="271">
        <f>'18-A'!D152</f>
        <v>4011.6735086424928</v>
      </c>
      <c r="BB28" s="431">
        <f t="shared" ref="BB28:BB29" si="36">BA28*AX28</f>
        <v>4011.6735086424928</v>
      </c>
      <c r="BC28" s="271">
        <f t="shared" si="29"/>
        <v>48140.082103709916</v>
      </c>
    </row>
    <row r="29" spans="2:58">
      <c r="B29" s="263">
        <v>8</v>
      </c>
      <c r="C29" s="264" t="s">
        <v>594</v>
      </c>
      <c r="D29" s="265">
        <v>5</v>
      </c>
      <c r="E29" s="266">
        <v>2948.04</v>
      </c>
      <c r="F29" s="267">
        <v>14740.2</v>
      </c>
      <c r="G29" s="267">
        <v>176882.40000000002</v>
      </c>
      <c r="H29" s="266">
        <f>'[3]Oficial 2'!$D$136</f>
        <v>3471.01</v>
      </c>
      <c r="I29" s="267">
        <f t="shared" si="30"/>
        <v>17355.050000000003</v>
      </c>
      <c r="J29" s="267">
        <f t="shared" si="31"/>
        <v>208260.60000000003</v>
      </c>
      <c r="K29" s="272" t="s">
        <v>591</v>
      </c>
      <c r="L29" s="269">
        <f>I29*2</f>
        <v>34710.100000000006</v>
      </c>
      <c r="N29" s="276">
        <f>D40+D81</f>
        <v>4</v>
      </c>
      <c r="P29" s="265">
        <v>4</v>
      </c>
      <c r="Q29" s="266">
        <f>R29/P29</f>
        <v>2851.8649999999998</v>
      </c>
      <c r="R29" s="267">
        <f>(2851.86*2)+(2*2851.87)</f>
        <v>11407.46</v>
      </c>
      <c r="S29" s="267">
        <f t="shared" si="32"/>
        <v>136889.51999999999</v>
      </c>
      <c r="U29" s="270">
        <v>4</v>
      </c>
      <c r="V29" s="266">
        <f>'[3]Oficial 2'!$D$136</f>
        <v>3471.01</v>
      </c>
      <c r="W29" s="267">
        <f t="shared" si="33"/>
        <v>13884.04</v>
      </c>
      <c r="X29" s="267">
        <f t="shared" si="34"/>
        <v>166608.48000000001</v>
      </c>
      <c r="Z29" s="277">
        <v>4</v>
      </c>
      <c r="AA29" s="271">
        <v>3194.68</v>
      </c>
      <c r="AB29" s="271">
        <v>12778.72</v>
      </c>
      <c r="AC29" s="271">
        <v>153344.63999999998</v>
      </c>
      <c r="AE29" s="265">
        <v>4</v>
      </c>
      <c r="AF29" s="278">
        <v>3194.68</v>
      </c>
      <c r="AG29" s="271">
        <v>12778.72</v>
      </c>
      <c r="AH29" s="271">
        <v>153344.63999999998</v>
      </c>
      <c r="AI29" s="275">
        <f>AG29+AG87+AG93+AG105+AG111+AG124+AG131+AG138+AG146+AG153+AG157</f>
        <v>48507.72</v>
      </c>
      <c r="AJ29" s="265">
        <v>4</v>
      </c>
      <c r="AK29" s="278">
        <v>2953.93</v>
      </c>
      <c r="AL29" s="271">
        <v>11815.72</v>
      </c>
      <c r="AM29" s="271">
        <v>141788.63999999998</v>
      </c>
      <c r="AO29" s="265">
        <v>4</v>
      </c>
      <c r="AP29" s="278">
        <v>2953.93</v>
      </c>
      <c r="AQ29" s="271">
        <v>11815.72</v>
      </c>
      <c r="AR29" s="271">
        <v>141788.63999999998</v>
      </c>
      <c r="AT29" s="265">
        <f>AT40+AT73+AT81+AT193</f>
        <v>4</v>
      </c>
      <c r="AU29" s="278">
        <f>'[3]Oficial 2'!$D$136</f>
        <v>3471.01</v>
      </c>
      <c r="AV29" s="271">
        <f t="shared" si="25"/>
        <v>13884.04</v>
      </c>
      <c r="AW29" s="271">
        <f t="shared" si="26"/>
        <v>166608.48000000001</v>
      </c>
      <c r="AX29" s="265">
        <f>AX40+AX73+AX81+AX193</f>
        <v>4</v>
      </c>
      <c r="AY29" s="265">
        <f>AY40+AY73+AY81+AY193</f>
        <v>4</v>
      </c>
      <c r="AZ29" s="265">
        <f t="shared" si="27"/>
        <v>0</v>
      </c>
      <c r="BA29" s="271">
        <f>'19-A'!D152</f>
        <v>4085.2545348211606</v>
      </c>
      <c r="BB29" s="431">
        <f t="shared" si="36"/>
        <v>16341.018139284643</v>
      </c>
      <c r="BC29" s="271">
        <f t="shared" si="29"/>
        <v>196092.21767141571</v>
      </c>
      <c r="BD29" s="391" t="s">
        <v>691</v>
      </c>
    </row>
    <row r="30" spans="2:58">
      <c r="B30" s="263">
        <v>11</v>
      </c>
      <c r="C30" s="264" t="s">
        <v>564</v>
      </c>
      <c r="D30" s="265">
        <v>16</v>
      </c>
      <c r="E30" s="266">
        <v>2924.41</v>
      </c>
      <c r="F30" s="267">
        <v>46790.559999999998</v>
      </c>
      <c r="G30" s="267">
        <v>561486.72</v>
      </c>
      <c r="H30" s="266">
        <f>'[3]Orçam 2'!$D$137</f>
        <v>4148.87</v>
      </c>
      <c r="I30" s="267">
        <f t="shared" si="30"/>
        <v>66381.919999999998</v>
      </c>
      <c r="J30" s="267">
        <f t="shared" si="31"/>
        <v>796583.04</v>
      </c>
      <c r="K30" s="272" t="s">
        <v>591</v>
      </c>
      <c r="L30" s="269">
        <f t="shared" si="35"/>
        <v>132763.84</v>
      </c>
      <c r="N30" s="249">
        <f>D41+D42+D43+D45+D56+D60+D64+D68</f>
        <v>16</v>
      </c>
      <c r="P30" s="265">
        <v>12</v>
      </c>
      <c r="Q30" s="266">
        <f>R30/P30</f>
        <v>3059.7383333333332</v>
      </c>
      <c r="R30" s="267">
        <f>(3046.79*4)+(3065.63*3)+3065.63+(3065.62*2)+(3064.44)+3071.5</f>
        <v>36716.86</v>
      </c>
      <c r="S30" s="267">
        <f t="shared" si="32"/>
        <v>440602.32</v>
      </c>
      <c r="U30" s="270">
        <v>12</v>
      </c>
      <c r="V30" s="266">
        <f>'[3]Orçam 2'!$D$137</f>
        <v>4148.87</v>
      </c>
      <c r="W30" s="267">
        <f t="shared" si="33"/>
        <v>49786.44</v>
      </c>
      <c r="X30" s="267">
        <f t="shared" si="34"/>
        <v>597437.28</v>
      </c>
      <c r="Z30" s="265">
        <v>16</v>
      </c>
      <c r="AA30" s="271">
        <v>2924.41</v>
      </c>
      <c r="AB30" s="271">
        <v>46790.559999999998</v>
      </c>
      <c r="AC30" s="271">
        <v>561486.72</v>
      </c>
      <c r="AE30" s="265">
        <v>16</v>
      </c>
      <c r="AF30" s="271">
        <v>3343.55</v>
      </c>
      <c r="AG30" s="271">
        <v>53496.800000000003</v>
      </c>
      <c r="AH30" s="271">
        <v>641961.60000000009</v>
      </c>
      <c r="AJ30" s="265">
        <v>16</v>
      </c>
      <c r="AK30" s="271">
        <v>3343.55</v>
      </c>
      <c r="AL30" s="271">
        <v>53496.800000000003</v>
      </c>
      <c r="AM30" s="271">
        <v>641961.60000000009</v>
      </c>
      <c r="AO30" s="265">
        <v>16</v>
      </c>
      <c r="AP30" s="271">
        <v>3343.55</v>
      </c>
      <c r="AQ30" s="271">
        <v>53496.800000000003</v>
      </c>
      <c r="AR30" s="271">
        <v>641961.60000000009</v>
      </c>
      <c r="AT30" s="265">
        <f>AT41+AT42+AT43+AT45+AT56+AT60+AT64+AT68+AT44+AT52</f>
        <v>16</v>
      </c>
      <c r="AU30" s="271">
        <f>'[3]Orçam 2'!$D$137</f>
        <v>4148.87</v>
      </c>
      <c r="AV30" s="271">
        <f>AU30*AT30</f>
        <v>66381.919999999998</v>
      </c>
      <c r="AW30" s="271">
        <f t="shared" si="26"/>
        <v>796583.04</v>
      </c>
      <c r="AX30" s="265">
        <f>AX41+AX42+AX43+AX45+AX56+AX60+AX64+AX68+AX44+AX52</f>
        <v>4</v>
      </c>
      <c r="AY30" s="265">
        <f>AY41+AY42+AY43+AY45+AY56+AY60+AY64+AY68+AY44+AY52</f>
        <v>4</v>
      </c>
      <c r="AZ30" s="265">
        <f t="shared" si="27"/>
        <v>0</v>
      </c>
      <c r="BA30" s="271">
        <f>'28-A'!D152</f>
        <v>4375.5894803949386</v>
      </c>
      <c r="BB30" s="431">
        <f>BA30*AX30</f>
        <v>17502.357921579754</v>
      </c>
      <c r="BC30" s="271">
        <f t="shared" si="29"/>
        <v>210028.29505895707</v>
      </c>
    </row>
    <row r="31" spans="2:58">
      <c r="B31" s="512"/>
      <c r="C31" s="512"/>
      <c r="D31" s="279">
        <f>SUM(D23:D30)</f>
        <v>52</v>
      </c>
      <c r="E31" s="279"/>
      <c r="F31" s="280">
        <f>SUM(F23:F30)</f>
        <v>122033</v>
      </c>
      <c r="G31" s="280">
        <f>SUM(G23:G30)</f>
        <v>1464396</v>
      </c>
      <c r="H31" s="281"/>
      <c r="I31" s="282">
        <f>SUM(I23:I30)</f>
        <v>166479.64000000001</v>
      </c>
      <c r="J31" s="282">
        <f>SUM(J23:J30)</f>
        <v>1997755.6800000002</v>
      </c>
      <c r="K31" s="283">
        <f>SUM(K23:K30)</f>
        <v>13448.43</v>
      </c>
      <c r="L31" s="283">
        <f>SUM(L23:L30)</f>
        <v>323993.66000000003</v>
      </c>
      <c r="N31" s="279">
        <f>SUM(N23:N30)</f>
        <v>51</v>
      </c>
      <c r="P31" s="279">
        <f>SUM(P23:P30)</f>
        <v>41</v>
      </c>
      <c r="Q31" s="281"/>
      <c r="R31" s="282">
        <f>SUM(R23:R30)</f>
        <v>102031.65</v>
      </c>
      <c r="S31" s="282">
        <f>SUM(S23:S30)</f>
        <v>1224379.8</v>
      </c>
      <c r="U31" s="279">
        <f>SUM(U23:U30)</f>
        <v>41</v>
      </c>
      <c r="V31" s="281"/>
      <c r="W31" s="282">
        <f>SUM(W23:W30)</f>
        <v>129065.9</v>
      </c>
      <c r="X31" s="282">
        <f>SUM(X23:X30)</f>
        <v>1548790.8</v>
      </c>
      <c r="Z31" s="279">
        <v>54</v>
      </c>
      <c r="AA31" s="281"/>
      <c r="AB31" s="282">
        <v>129756.22</v>
      </c>
      <c r="AC31" s="282">
        <v>1557074.64</v>
      </c>
      <c r="AD31" s="274" t="e">
        <f>#REF!+#REF!+#REF!+#REF!+#REF!+#REF!+#REF!+#REF!</f>
        <v>#REF!</v>
      </c>
      <c r="AE31" s="279">
        <v>54</v>
      </c>
      <c r="AF31" s="284"/>
      <c r="AG31" s="283">
        <v>144553.80000000002</v>
      </c>
      <c r="AH31" s="283">
        <v>1734645.6</v>
      </c>
      <c r="AI31" s="274"/>
      <c r="AJ31" s="279">
        <v>55</v>
      </c>
      <c r="AK31" s="284"/>
      <c r="AL31" s="283">
        <v>145503.01999999999</v>
      </c>
      <c r="AM31" s="283">
        <v>1746036.24</v>
      </c>
      <c r="AN31" s="274"/>
      <c r="AO31" s="279">
        <v>55</v>
      </c>
      <c r="AP31" s="284"/>
      <c r="AQ31" s="283">
        <v>146901.77000000002</v>
      </c>
      <c r="AR31" s="283">
        <v>1762821.24</v>
      </c>
      <c r="AS31" s="275"/>
      <c r="AT31" s="279">
        <f>SUM(AT23:AT30)</f>
        <v>53</v>
      </c>
      <c r="AU31" s="284"/>
      <c r="AV31" s="283">
        <f>SUM(AV23:AV30)</f>
        <v>169920.78000000003</v>
      </c>
      <c r="AW31" s="283">
        <f>SUM(AW23:AW30)</f>
        <v>2039049.36</v>
      </c>
      <c r="AX31" s="279">
        <f>SUM(AX23:AX30)</f>
        <v>36</v>
      </c>
      <c r="AY31" s="444"/>
      <c r="AZ31" s="444"/>
      <c r="BA31" s="284"/>
      <c r="BB31" s="433">
        <f>SUM(BB23:BB30)</f>
        <v>123436.1757996119</v>
      </c>
      <c r="BC31" s="283">
        <f>SUM(BC23:BC30)</f>
        <v>1481234.109595343</v>
      </c>
    </row>
    <row r="32" spans="2:58">
      <c r="B32" s="259"/>
      <c r="C32" s="258" t="s">
        <v>597</v>
      </c>
      <c r="D32" s="259" t="s">
        <v>577</v>
      </c>
      <c r="E32" s="259"/>
      <c r="F32" s="259"/>
      <c r="G32" s="259"/>
      <c r="H32" s="259"/>
      <c r="I32" s="259"/>
      <c r="J32" s="259"/>
      <c r="AA32" s="259"/>
      <c r="AB32" s="285"/>
      <c r="AC32" s="259"/>
      <c r="AF32" s="286"/>
      <c r="AG32" s="285"/>
      <c r="AH32" s="259"/>
      <c r="AK32" s="286"/>
      <c r="AL32" s="285"/>
      <c r="AM32" s="259"/>
      <c r="AP32" s="286"/>
      <c r="AQ32" s="285"/>
      <c r="AR32" s="259"/>
      <c r="AS32" s="275">
        <f>AG31-(AP74)-(2*AP80)+(AP79*2)+(AP77)</f>
        <v>145952.55000000002</v>
      </c>
      <c r="AU32" s="286"/>
      <c r="AV32" s="285"/>
      <c r="AW32" s="259"/>
      <c r="BA32" s="286"/>
      <c r="BB32" s="285"/>
      <c r="BC32" s="259"/>
    </row>
    <row r="33" spans="2:55" ht="47.25">
      <c r="B33" s="260" t="s">
        <v>581</v>
      </c>
      <c r="C33" s="261" t="s">
        <v>267</v>
      </c>
      <c r="D33" s="261" t="s">
        <v>582</v>
      </c>
      <c r="E33" s="261" t="s">
        <v>583</v>
      </c>
      <c r="F33" s="261" t="s">
        <v>584</v>
      </c>
      <c r="G33" s="261" t="s">
        <v>585</v>
      </c>
      <c r="H33" s="261" t="s">
        <v>583</v>
      </c>
      <c r="I33" s="261" t="s">
        <v>584</v>
      </c>
      <c r="J33" s="261" t="s">
        <v>585</v>
      </c>
      <c r="K33" s="261" t="s">
        <v>586</v>
      </c>
      <c r="L33" s="261" t="s">
        <v>587</v>
      </c>
      <c r="M33" s="261" t="s">
        <v>598</v>
      </c>
      <c r="N33" s="261" t="s">
        <v>588</v>
      </c>
      <c r="Z33" s="261" t="s">
        <v>590</v>
      </c>
      <c r="AA33" s="261" t="s">
        <v>583</v>
      </c>
      <c r="AB33" s="261" t="s">
        <v>584</v>
      </c>
      <c r="AC33" s="261" t="s">
        <v>585</v>
      </c>
      <c r="AE33" s="261" t="s">
        <v>566</v>
      </c>
      <c r="AF33" s="262" t="s">
        <v>583</v>
      </c>
      <c r="AG33" s="261" t="s">
        <v>584</v>
      </c>
      <c r="AH33" s="261" t="s">
        <v>585</v>
      </c>
      <c r="AJ33" s="261" t="s">
        <v>566</v>
      </c>
      <c r="AK33" s="262" t="s">
        <v>583</v>
      </c>
      <c r="AL33" s="261" t="s">
        <v>584</v>
      </c>
      <c r="AM33" s="261" t="s">
        <v>585</v>
      </c>
      <c r="AO33" s="261" t="s">
        <v>566</v>
      </c>
      <c r="AP33" s="262" t="s">
        <v>583</v>
      </c>
      <c r="AQ33" s="261" t="s">
        <v>584</v>
      </c>
      <c r="AR33" s="261" t="s">
        <v>585</v>
      </c>
      <c r="AT33" s="261" t="s">
        <v>566</v>
      </c>
      <c r="AU33" s="262" t="s">
        <v>583</v>
      </c>
      <c r="AV33" s="261" t="s">
        <v>584</v>
      </c>
      <c r="AW33" s="261" t="s">
        <v>585</v>
      </c>
      <c r="AX33" s="261" t="s">
        <v>566</v>
      </c>
      <c r="AY33" s="261"/>
      <c r="AZ33" s="261"/>
      <c r="BA33" s="262" t="s">
        <v>583</v>
      </c>
      <c r="BB33" s="430" t="s">
        <v>584</v>
      </c>
      <c r="BC33" s="261" t="s">
        <v>585</v>
      </c>
    </row>
    <row r="34" spans="2:55">
      <c r="B34" s="263">
        <v>1</v>
      </c>
      <c r="C34" s="287" t="s">
        <v>599</v>
      </c>
      <c r="D34" s="265">
        <v>1</v>
      </c>
      <c r="E34" s="265">
        <v>3436.83</v>
      </c>
      <c r="F34" s="265">
        <v>3436.83</v>
      </c>
      <c r="G34" s="265">
        <v>41241.96</v>
      </c>
      <c r="H34" s="266">
        <f>'[3]Super 2'!$D$137</f>
        <v>4482.8100000000004</v>
      </c>
      <c r="I34" s="267">
        <f t="shared" ref="I34:I45" si="37">D34*H34</f>
        <v>4482.8100000000004</v>
      </c>
      <c r="J34" s="267">
        <f t="shared" ref="J34:J46" si="38">I34*12</f>
        <v>53793.72</v>
      </c>
      <c r="K34" s="268">
        <f>I34*3</f>
        <v>13448.43</v>
      </c>
      <c r="L34" s="269" t="s">
        <v>591</v>
      </c>
      <c r="M34" s="288">
        <v>802534</v>
      </c>
      <c r="N34" s="249" t="s">
        <v>600</v>
      </c>
      <c r="Z34" s="265">
        <v>1</v>
      </c>
      <c r="AA34" s="266">
        <v>3436.83</v>
      </c>
      <c r="AB34" s="267">
        <v>3436.83</v>
      </c>
      <c r="AC34" s="267">
        <v>41241.96</v>
      </c>
      <c r="AE34" s="265">
        <v>1</v>
      </c>
      <c r="AF34" s="278">
        <v>3875.84</v>
      </c>
      <c r="AG34" s="289">
        <v>3875.84</v>
      </c>
      <c r="AH34" s="289">
        <v>46510.080000000002</v>
      </c>
      <c r="AJ34" s="265">
        <v>1</v>
      </c>
      <c r="AK34" s="278">
        <v>3875.84</v>
      </c>
      <c r="AL34" s="289">
        <v>3875.84</v>
      </c>
      <c r="AM34" s="289">
        <v>46510.080000000002</v>
      </c>
      <c r="AO34" s="265">
        <v>1</v>
      </c>
      <c r="AP34" s="278">
        <v>3875.84</v>
      </c>
      <c r="AQ34" s="289">
        <v>3875.84</v>
      </c>
      <c r="AR34" s="289">
        <v>46510.080000000002</v>
      </c>
      <c r="AT34" s="265">
        <v>1</v>
      </c>
      <c r="AU34" s="278">
        <f>'[3]Super 2'!$D$137</f>
        <v>4482.8100000000004</v>
      </c>
      <c r="AV34" s="289">
        <f>AU34*AT34</f>
        <v>4482.8100000000004</v>
      </c>
      <c r="AW34" s="289">
        <f t="shared" ref="AW34:AW45" si="39">AV34*12</f>
        <v>53793.72</v>
      </c>
      <c r="AX34" s="455">
        <v>1</v>
      </c>
      <c r="AY34" s="265">
        <v>1</v>
      </c>
      <c r="AZ34" s="265">
        <f>AX34-AY34</f>
        <v>0</v>
      </c>
      <c r="BA34" s="278">
        <f>BA23</f>
        <v>5950.2903649118052</v>
      </c>
      <c r="BB34" s="434">
        <f>BA34*AX34</f>
        <v>5950.2903649118052</v>
      </c>
      <c r="BC34" s="289">
        <f t="shared" ref="BC34:BC45" si="40">BB34*12</f>
        <v>71403.484378941663</v>
      </c>
    </row>
    <row r="35" spans="2:55">
      <c r="B35" s="263">
        <v>2</v>
      </c>
      <c r="C35" s="287" t="s">
        <v>601</v>
      </c>
      <c r="D35" s="265">
        <v>1</v>
      </c>
      <c r="E35" s="265">
        <v>1970.65</v>
      </c>
      <c r="F35" s="265">
        <v>1970.65</v>
      </c>
      <c r="G35" s="265">
        <v>23647.800000000003</v>
      </c>
      <c r="H35" s="266">
        <f>'[3]Recepção 2'!$D$137</f>
        <v>2622.17</v>
      </c>
      <c r="I35" s="267">
        <f t="shared" si="37"/>
        <v>2622.17</v>
      </c>
      <c r="J35" s="267">
        <f t="shared" si="38"/>
        <v>31466.04</v>
      </c>
      <c r="K35" s="272" t="s">
        <v>591</v>
      </c>
      <c r="L35" s="269">
        <f t="shared" ref="L35:L45" si="41">I35*2</f>
        <v>5244.34</v>
      </c>
      <c r="M35" s="288">
        <v>802043</v>
      </c>
      <c r="N35" s="249" t="s">
        <v>602</v>
      </c>
      <c r="Z35" s="265">
        <v>1</v>
      </c>
      <c r="AA35" s="266">
        <v>1970.65</v>
      </c>
      <c r="AB35" s="267">
        <v>1970.65</v>
      </c>
      <c r="AC35" s="267">
        <v>23647.800000000003</v>
      </c>
      <c r="AE35" s="265">
        <v>1</v>
      </c>
      <c r="AF35" s="278">
        <v>2211.4299999999998</v>
      </c>
      <c r="AG35" s="289">
        <v>2211.4299999999998</v>
      </c>
      <c r="AH35" s="289">
        <v>26537.159999999996</v>
      </c>
      <c r="AI35" s="249" t="s">
        <v>603</v>
      </c>
      <c r="AJ35" s="265">
        <v>1</v>
      </c>
      <c r="AK35" s="278">
        <v>2211.4299999999998</v>
      </c>
      <c r="AL35" s="289">
        <v>2211.4299999999998</v>
      </c>
      <c r="AM35" s="289">
        <v>26537.159999999996</v>
      </c>
      <c r="AO35" s="265">
        <v>1</v>
      </c>
      <c r="AP35" s="278">
        <v>2211.4299999999998</v>
      </c>
      <c r="AQ35" s="289">
        <v>2211.4299999999998</v>
      </c>
      <c r="AR35" s="289">
        <v>26537.159999999996</v>
      </c>
      <c r="AT35" s="265">
        <v>1</v>
      </c>
      <c r="AU35" s="278">
        <f>'[3]Recepção 2'!$D$137</f>
        <v>2622.17</v>
      </c>
      <c r="AV35" s="289">
        <f>AU35*AT35</f>
        <v>2622.17</v>
      </c>
      <c r="AW35" s="289">
        <f t="shared" si="39"/>
        <v>31466.04</v>
      </c>
      <c r="AX35" s="455">
        <v>1</v>
      </c>
      <c r="AY35" s="265">
        <v>1</v>
      </c>
      <c r="AZ35" s="265">
        <f t="shared" ref="AZ35:AZ45" si="42">AX35-AY35</f>
        <v>0</v>
      </c>
      <c r="BA35" s="278">
        <f>BA24</f>
        <v>3172.5502639618517</v>
      </c>
      <c r="BB35" s="434">
        <f>BA35*AX35</f>
        <v>3172.5502639618517</v>
      </c>
      <c r="BC35" s="289">
        <f t="shared" si="40"/>
        <v>38070.60316754222</v>
      </c>
    </row>
    <row r="36" spans="2:55">
      <c r="B36" s="472">
        <v>2</v>
      </c>
      <c r="C36" s="499" t="s">
        <v>604</v>
      </c>
      <c r="D36" s="496">
        <v>3</v>
      </c>
      <c r="E36" s="496">
        <v>1970.65</v>
      </c>
      <c r="F36" s="496">
        <v>5911.9500000000007</v>
      </c>
      <c r="G36" s="496">
        <v>70943.400000000009</v>
      </c>
      <c r="H36" s="475">
        <f>'[3]Recepção 2'!$D$137</f>
        <v>2622.17</v>
      </c>
      <c r="I36" s="481">
        <f t="shared" si="37"/>
        <v>7866.51</v>
      </c>
      <c r="J36" s="481">
        <f t="shared" si="38"/>
        <v>94398.12</v>
      </c>
      <c r="K36" s="498" t="s">
        <v>591</v>
      </c>
      <c r="L36" s="478">
        <f t="shared" si="41"/>
        <v>15733.02</v>
      </c>
      <c r="M36" s="479" t="s">
        <v>605</v>
      </c>
      <c r="N36" s="480" t="s">
        <v>606</v>
      </c>
      <c r="O36" s="480"/>
      <c r="P36" s="480"/>
      <c r="Q36" s="480"/>
      <c r="R36" s="480"/>
      <c r="S36" s="480"/>
      <c r="T36" s="480"/>
      <c r="U36" s="480"/>
      <c r="V36" s="480"/>
      <c r="W36" s="480"/>
      <c r="X36" s="480"/>
      <c r="Y36" s="480"/>
      <c r="Z36" s="496">
        <v>1</v>
      </c>
      <c r="AA36" s="475">
        <v>1970.65</v>
      </c>
      <c r="AB36" s="481">
        <v>1970.65</v>
      </c>
      <c r="AC36" s="481">
        <v>23647.800000000003</v>
      </c>
      <c r="AD36" s="480" t="s">
        <v>607</v>
      </c>
      <c r="AE36" s="496">
        <v>1</v>
      </c>
      <c r="AF36" s="482">
        <v>2211.4299999999998</v>
      </c>
      <c r="AG36" s="481">
        <v>2211.4299999999998</v>
      </c>
      <c r="AH36" s="481">
        <v>26537.159999999996</v>
      </c>
      <c r="AI36" s="480" t="s">
        <v>608</v>
      </c>
      <c r="AJ36" s="496">
        <v>1</v>
      </c>
      <c r="AK36" s="482">
        <v>2211.4299999999998</v>
      </c>
      <c r="AL36" s="481">
        <v>2211.4299999999998</v>
      </c>
      <c r="AM36" s="481">
        <v>26537.159999999996</v>
      </c>
      <c r="AN36" s="480"/>
      <c r="AO36" s="496">
        <v>1</v>
      </c>
      <c r="AP36" s="482">
        <v>2211.4299999999998</v>
      </c>
      <c r="AQ36" s="481">
        <v>2211.4299999999998</v>
      </c>
      <c r="AR36" s="481">
        <v>26537.159999999996</v>
      </c>
      <c r="AS36" s="480"/>
      <c r="AT36" s="496">
        <v>1</v>
      </c>
      <c r="AU36" s="482">
        <f>'[3]Recepção 2'!$D$137</f>
        <v>2622.17</v>
      </c>
      <c r="AV36" s="481">
        <f t="shared" ref="AV36:AV45" si="43">AU36*AT36</f>
        <v>2622.17</v>
      </c>
      <c r="AW36" s="481">
        <f t="shared" si="39"/>
        <v>31466.04</v>
      </c>
      <c r="AX36" s="496">
        <v>1</v>
      </c>
      <c r="AY36" s="496">
        <v>0</v>
      </c>
      <c r="AZ36" s="496">
        <f t="shared" si="42"/>
        <v>1</v>
      </c>
      <c r="BA36" s="482">
        <f>BA24</f>
        <v>3172.5502639618517</v>
      </c>
      <c r="BB36" s="483">
        <f t="shared" ref="BB36:BB37" si="44">BA36*AX36</f>
        <v>3172.5502639618517</v>
      </c>
      <c r="BC36" s="481">
        <f t="shared" si="40"/>
        <v>38070.60316754222</v>
      </c>
    </row>
    <row r="37" spans="2:55">
      <c r="B37" s="263">
        <v>5</v>
      </c>
      <c r="C37" s="287" t="s">
        <v>609</v>
      </c>
      <c r="D37" s="265">
        <v>2</v>
      </c>
      <c r="E37" s="265">
        <v>1714.13</v>
      </c>
      <c r="F37" s="265">
        <v>3428.26</v>
      </c>
      <c r="G37" s="265">
        <v>41139.120000000003</v>
      </c>
      <c r="H37" s="266">
        <f>'[3]ASG 2'!$D$137</f>
        <v>2295.14</v>
      </c>
      <c r="I37" s="267">
        <f t="shared" si="37"/>
        <v>4590.28</v>
      </c>
      <c r="J37" s="267">
        <f t="shared" si="38"/>
        <v>55083.360000000001</v>
      </c>
      <c r="K37" s="272" t="s">
        <v>591</v>
      </c>
      <c r="L37" s="269">
        <f t="shared" si="41"/>
        <v>9180.56</v>
      </c>
      <c r="M37" s="288">
        <v>802043</v>
      </c>
      <c r="N37" s="249" t="s">
        <v>602</v>
      </c>
      <c r="Z37" s="265">
        <v>2</v>
      </c>
      <c r="AA37" s="266">
        <v>1714.13</v>
      </c>
      <c r="AB37" s="267">
        <v>3428.26</v>
      </c>
      <c r="AC37" s="267">
        <v>41139.120000000003</v>
      </c>
      <c r="AD37" s="273" t="s">
        <v>610</v>
      </c>
      <c r="AE37" s="265">
        <v>2</v>
      </c>
      <c r="AF37" s="278">
        <v>1912.22</v>
      </c>
      <c r="AG37" s="289">
        <v>3824.44</v>
      </c>
      <c r="AH37" s="289">
        <v>45893.279999999999</v>
      </c>
      <c r="AI37" s="273" t="s">
        <v>611</v>
      </c>
      <c r="AJ37" s="265">
        <v>0</v>
      </c>
      <c r="AK37" s="278">
        <v>0</v>
      </c>
      <c r="AL37" s="289">
        <v>0</v>
      </c>
      <c r="AM37" s="289">
        <v>0</v>
      </c>
      <c r="AN37" s="276"/>
      <c r="AO37" s="265">
        <v>0</v>
      </c>
      <c r="AP37" s="278">
        <v>0</v>
      </c>
      <c r="AQ37" s="289">
        <v>0</v>
      </c>
      <c r="AR37" s="289">
        <v>0</v>
      </c>
      <c r="AS37" s="276"/>
      <c r="AT37" s="265">
        <v>0</v>
      </c>
      <c r="AU37" s="278">
        <v>0</v>
      </c>
      <c r="AV37" s="289">
        <f t="shared" si="43"/>
        <v>0</v>
      </c>
      <c r="AW37" s="289">
        <f t="shared" si="39"/>
        <v>0</v>
      </c>
      <c r="AX37" s="265">
        <v>0</v>
      </c>
      <c r="AY37" s="265">
        <v>0</v>
      </c>
      <c r="AZ37" s="265">
        <f t="shared" si="42"/>
        <v>0</v>
      </c>
      <c r="BA37" s="278">
        <f>BA27</f>
        <v>2766.8942962220963</v>
      </c>
      <c r="BB37" s="434">
        <f t="shared" si="44"/>
        <v>0</v>
      </c>
      <c r="BC37" s="289">
        <f t="shared" si="40"/>
        <v>0</v>
      </c>
    </row>
    <row r="38" spans="2:55">
      <c r="B38" s="263">
        <v>5</v>
      </c>
      <c r="C38" s="287" t="s">
        <v>612</v>
      </c>
      <c r="D38" s="265"/>
      <c r="E38" s="265"/>
      <c r="F38" s="265"/>
      <c r="G38" s="265"/>
      <c r="H38" s="266"/>
      <c r="I38" s="267"/>
      <c r="J38" s="267"/>
      <c r="K38" s="272"/>
      <c r="L38" s="269"/>
      <c r="M38" s="288"/>
      <c r="Z38" s="265"/>
      <c r="AA38" s="266"/>
      <c r="AB38" s="267"/>
      <c r="AC38" s="267"/>
      <c r="AD38" s="273"/>
      <c r="AE38" s="265"/>
      <c r="AF38" s="278"/>
      <c r="AG38" s="289"/>
      <c r="AH38" s="289"/>
      <c r="AI38" s="273"/>
      <c r="AJ38" s="265">
        <v>1</v>
      </c>
      <c r="AK38" s="278">
        <v>1912.22</v>
      </c>
      <c r="AL38" s="289">
        <v>1912.22</v>
      </c>
      <c r="AM38" s="289">
        <v>22946.639999999999</v>
      </c>
      <c r="AN38" s="273" t="s">
        <v>613</v>
      </c>
      <c r="AO38" s="265">
        <v>1</v>
      </c>
      <c r="AP38" s="278">
        <v>1912.22</v>
      </c>
      <c r="AQ38" s="289">
        <v>1912.22</v>
      </c>
      <c r="AR38" s="289">
        <v>22946.639999999999</v>
      </c>
      <c r="AS38" s="273" t="s">
        <v>613</v>
      </c>
      <c r="AT38" s="265">
        <v>1</v>
      </c>
      <c r="AU38" s="278">
        <f>'[3]ASG 2'!D137</f>
        <v>2295.14</v>
      </c>
      <c r="AV38" s="289">
        <f>AU38*AT38</f>
        <v>2295.14</v>
      </c>
      <c r="AW38" s="289">
        <f t="shared" si="39"/>
        <v>27541.68</v>
      </c>
      <c r="AX38" s="455">
        <v>1</v>
      </c>
      <c r="AY38" s="265">
        <v>1</v>
      </c>
      <c r="AZ38" s="265">
        <f t="shared" si="42"/>
        <v>0</v>
      </c>
      <c r="BA38" s="278">
        <f>BA27</f>
        <v>2766.8942962220963</v>
      </c>
      <c r="BB38" s="434">
        <f>BA38*AX38</f>
        <v>2766.8942962220963</v>
      </c>
      <c r="BC38" s="289">
        <f t="shared" si="40"/>
        <v>33202.731554665152</v>
      </c>
    </row>
    <row r="39" spans="2:55">
      <c r="B39" s="263">
        <v>7</v>
      </c>
      <c r="C39" s="264" t="s">
        <v>614</v>
      </c>
      <c r="D39" s="265">
        <v>1</v>
      </c>
      <c r="E39" s="265">
        <v>2466.3000000000002</v>
      </c>
      <c r="F39" s="265">
        <v>2466.3000000000002</v>
      </c>
      <c r="G39" s="265">
        <v>29595.600000000002</v>
      </c>
      <c r="H39" s="266">
        <f>'[3]Almoxarife 2'!$D$137</f>
        <v>3331.13</v>
      </c>
      <c r="I39" s="267">
        <f t="shared" si="37"/>
        <v>3331.13</v>
      </c>
      <c r="J39" s="267">
        <f t="shared" si="38"/>
        <v>39973.56</v>
      </c>
      <c r="K39" s="268" t="s">
        <v>591</v>
      </c>
      <c r="L39" s="269">
        <f t="shared" si="41"/>
        <v>6662.26</v>
      </c>
      <c r="M39" s="288">
        <v>802043</v>
      </c>
      <c r="N39" s="249" t="s">
        <v>602</v>
      </c>
      <c r="Z39" s="265">
        <v>1</v>
      </c>
      <c r="AA39" s="266">
        <v>2814.05</v>
      </c>
      <c r="AB39" s="267">
        <v>2814.05</v>
      </c>
      <c r="AC39" s="267">
        <v>33768.600000000006</v>
      </c>
      <c r="AE39" s="265">
        <v>1</v>
      </c>
      <c r="AF39" s="278">
        <v>2814.05</v>
      </c>
      <c r="AG39" s="289">
        <v>2814.05</v>
      </c>
      <c r="AH39" s="289">
        <v>33768.600000000006</v>
      </c>
      <c r="AJ39" s="265">
        <v>1</v>
      </c>
      <c r="AK39" s="278">
        <v>2814.05</v>
      </c>
      <c r="AL39" s="289">
        <v>2814.05</v>
      </c>
      <c r="AM39" s="289">
        <v>33768.600000000006</v>
      </c>
      <c r="AO39" s="265">
        <v>1</v>
      </c>
      <c r="AP39" s="278">
        <v>2814.05</v>
      </c>
      <c r="AQ39" s="289">
        <v>2814.05</v>
      </c>
      <c r="AR39" s="289">
        <v>33768.600000000006</v>
      </c>
      <c r="AT39" s="265">
        <v>1</v>
      </c>
      <c r="AU39" s="278">
        <f>'[3]Almoxarife 2'!$D$137</f>
        <v>3331.13</v>
      </c>
      <c r="AV39" s="289">
        <f t="shared" si="43"/>
        <v>3331.13</v>
      </c>
      <c r="AW39" s="289">
        <f t="shared" si="39"/>
        <v>39973.56</v>
      </c>
      <c r="AX39" s="455">
        <v>1</v>
      </c>
      <c r="AY39" s="265">
        <v>1</v>
      </c>
      <c r="AZ39" s="265">
        <f t="shared" si="42"/>
        <v>0</v>
      </c>
      <c r="BA39" s="278">
        <f>BA28</f>
        <v>4011.6735086424928</v>
      </c>
      <c r="BB39" s="434">
        <f t="shared" ref="BB39:BB45" si="45">BA39*AX39</f>
        <v>4011.6735086424928</v>
      </c>
      <c r="BC39" s="289">
        <f t="shared" si="40"/>
        <v>48140.082103709916</v>
      </c>
    </row>
    <row r="40" spans="2:55">
      <c r="B40" s="263">
        <v>8</v>
      </c>
      <c r="C40" s="287" t="s">
        <v>615</v>
      </c>
      <c r="D40" s="265">
        <v>2</v>
      </c>
      <c r="E40" s="265">
        <v>2948.04</v>
      </c>
      <c r="F40" s="265">
        <v>5896.08</v>
      </c>
      <c r="G40" s="265">
        <v>70752.959999999992</v>
      </c>
      <c r="H40" s="266">
        <f>'[3]Oficial 2'!$D$136</f>
        <v>3471.01</v>
      </c>
      <c r="I40" s="267">
        <f t="shared" si="37"/>
        <v>6942.02</v>
      </c>
      <c r="J40" s="267">
        <f t="shared" si="38"/>
        <v>83304.240000000005</v>
      </c>
      <c r="K40" s="272" t="s">
        <v>591</v>
      </c>
      <c r="L40" s="269">
        <f t="shared" si="41"/>
        <v>13884.04</v>
      </c>
      <c r="M40" s="288">
        <v>802044</v>
      </c>
      <c r="N40" s="249" t="s">
        <v>602</v>
      </c>
      <c r="Z40" s="277">
        <v>0</v>
      </c>
      <c r="AA40" s="294">
        <v>3194.68</v>
      </c>
      <c r="AB40" s="295">
        <v>0</v>
      </c>
      <c r="AC40" s="295">
        <v>0</v>
      </c>
      <c r="AD40" s="273" t="s">
        <v>616</v>
      </c>
      <c r="AE40" s="265">
        <v>0</v>
      </c>
      <c r="AF40" s="278">
        <v>3194.68</v>
      </c>
      <c r="AG40" s="289">
        <v>0</v>
      </c>
      <c r="AH40" s="289">
        <v>0</v>
      </c>
      <c r="AI40" s="273" t="s">
        <v>616</v>
      </c>
      <c r="AJ40" s="265">
        <v>0</v>
      </c>
      <c r="AK40" s="278">
        <v>0</v>
      </c>
      <c r="AL40" s="289">
        <v>0</v>
      </c>
      <c r="AM40" s="289">
        <v>0</v>
      </c>
      <c r="AN40" s="276"/>
      <c r="AO40" s="265">
        <v>0</v>
      </c>
      <c r="AP40" s="278">
        <v>0</v>
      </c>
      <c r="AQ40" s="289">
        <v>0</v>
      </c>
      <c r="AR40" s="289">
        <v>0</v>
      </c>
      <c r="AS40" s="276"/>
      <c r="AT40" s="265">
        <v>0</v>
      </c>
      <c r="AU40" s="278">
        <v>0</v>
      </c>
      <c r="AV40" s="289">
        <f t="shared" si="43"/>
        <v>0</v>
      </c>
      <c r="AW40" s="289">
        <f t="shared" si="39"/>
        <v>0</v>
      </c>
      <c r="AX40" s="265">
        <v>0</v>
      </c>
      <c r="AY40" s="265">
        <v>0</v>
      </c>
      <c r="AZ40" s="265">
        <f t="shared" si="42"/>
        <v>0</v>
      </c>
      <c r="BA40" s="278">
        <f>BA29</f>
        <v>4085.2545348211606</v>
      </c>
      <c r="BB40" s="434">
        <f t="shared" si="45"/>
        <v>0</v>
      </c>
      <c r="BC40" s="289">
        <f t="shared" si="40"/>
        <v>0</v>
      </c>
    </row>
    <row r="41" spans="2:55">
      <c r="B41" s="263">
        <v>11</v>
      </c>
      <c r="C41" s="291" t="s">
        <v>617</v>
      </c>
      <c r="D41" s="296">
        <v>2</v>
      </c>
      <c r="E41" s="297">
        <v>2924.41</v>
      </c>
      <c r="F41" s="297">
        <v>5848.82</v>
      </c>
      <c r="G41" s="297">
        <v>70185.84</v>
      </c>
      <c r="H41" s="298">
        <f>'[3]Orçam 2'!$D$137</f>
        <v>4148.87</v>
      </c>
      <c r="I41" s="289">
        <f t="shared" si="37"/>
        <v>8297.74</v>
      </c>
      <c r="J41" s="289">
        <f t="shared" si="38"/>
        <v>99572.88</v>
      </c>
      <c r="K41" s="296" t="s">
        <v>591</v>
      </c>
      <c r="L41" s="299">
        <f t="shared" si="41"/>
        <v>16595.48</v>
      </c>
      <c r="M41" s="288">
        <v>802043</v>
      </c>
      <c r="N41" s="249" t="s">
        <v>602</v>
      </c>
      <c r="Z41" s="296">
        <v>2</v>
      </c>
      <c r="AA41" s="298">
        <v>2924.41</v>
      </c>
      <c r="AB41" s="267">
        <v>5848.82</v>
      </c>
      <c r="AC41" s="289">
        <v>70185.84</v>
      </c>
      <c r="AE41" s="296">
        <v>2</v>
      </c>
      <c r="AF41" s="300">
        <v>3343.55</v>
      </c>
      <c r="AG41" s="289">
        <v>6687.1</v>
      </c>
      <c r="AH41" s="289">
        <v>80245.200000000012</v>
      </c>
      <c r="AJ41" s="296">
        <v>2</v>
      </c>
      <c r="AK41" s="300">
        <v>3343.55</v>
      </c>
      <c r="AL41" s="289">
        <v>6687.1</v>
      </c>
      <c r="AM41" s="289">
        <v>80245.200000000012</v>
      </c>
      <c r="AO41" s="296">
        <v>2</v>
      </c>
      <c r="AP41" s="300">
        <v>3343.55</v>
      </c>
      <c r="AQ41" s="289">
        <v>6687.1</v>
      </c>
      <c r="AR41" s="289">
        <v>80245.200000000012</v>
      </c>
      <c r="AT41" s="296">
        <v>2</v>
      </c>
      <c r="AU41" s="300">
        <f>'[3]Orçam 2'!$D$137</f>
        <v>4148.87</v>
      </c>
      <c r="AV41" s="289">
        <f t="shared" si="43"/>
        <v>8297.74</v>
      </c>
      <c r="AW41" s="289">
        <f t="shared" si="39"/>
        <v>99572.88</v>
      </c>
      <c r="AX41" s="456">
        <v>1</v>
      </c>
      <c r="AY41" s="297">
        <v>1</v>
      </c>
      <c r="AZ41" s="265">
        <f t="shared" si="42"/>
        <v>0</v>
      </c>
      <c r="BA41" s="300">
        <f>BA30</f>
        <v>4375.5894803949386</v>
      </c>
      <c r="BB41" s="434">
        <f t="shared" si="45"/>
        <v>4375.5894803949386</v>
      </c>
      <c r="BC41" s="289">
        <f t="shared" si="40"/>
        <v>52507.073764739267</v>
      </c>
    </row>
    <row r="42" spans="2:55">
      <c r="B42" s="272">
        <v>11</v>
      </c>
      <c r="C42" s="291" t="s">
        <v>618</v>
      </c>
      <c r="D42" s="296">
        <v>1</v>
      </c>
      <c r="E42" s="297">
        <v>2924.41</v>
      </c>
      <c r="F42" s="297">
        <v>2924.41</v>
      </c>
      <c r="G42" s="297">
        <v>35092.92</v>
      </c>
      <c r="H42" s="298">
        <f>'[3]Orçam 2'!$D$137</f>
        <v>4148.87</v>
      </c>
      <c r="I42" s="289">
        <f t="shared" si="37"/>
        <v>4148.87</v>
      </c>
      <c r="J42" s="289">
        <f t="shared" si="38"/>
        <v>49786.44</v>
      </c>
      <c r="K42" s="296" t="s">
        <v>591</v>
      </c>
      <c r="L42" s="299">
        <f t="shared" si="41"/>
        <v>8297.74</v>
      </c>
      <c r="M42" s="288">
        <v>802043</v>
      </c>
      <c r="N42" s="249" t="s">
        <v>602</v>
      </c>
      <c r="Z42" s="296">
        <v>1</v>
      </c>
      <c r="AA42" s="298">
        <v>2924.41</v>
      </c>
      <c r="AB42" s="267">
        <v>2924.41</v>
      </c>
      <c r="AC42" s="289">
        <v>35092.92</v>
      </c>
      <c r="AE42" s="296">
        <v>1</v>
      </c>
      <c r="AF42" s="300">
        <v>3343.55</v>
      </c>
      <c r="AG42" s="289">
        <v>3343.55</v>
      </c>
      <c r="AH42" s="289">
        <v>40122.600000000006</v>
      </c>
      <c r="AJ42" s="296">
        <v>1</v>
      </c>
      <c r="AK42" s="300">
        <v>3343.55</v>
      </c>
      <c r="AL42" s="289">
        <v>3343.55</v>
      </c>
      <c r="AM42" s="289">
        <v>40122.600000000006</v>
      </c>
      <c r="AO42" s="296">
        <v>1</v>
      </c>
      <c r="AP42" s="300">
        <v>3343.55</v>
      </c>
      <c r="AQ42" s="289">
        <v>3343.55</v>
      </c>
      <c r="AR42" s="289">
        <v>40122.600000000006</v>
      </c>
      <c r="AT42" s="296">
        <v>1</v>
      </c>
      <c r="AU42" s="300">
        <f>'[3]Orçam 2'!$D$137</f>
        <v>4148.87</v>
      </c>
      <c r="AV42" s="289">
        <f t="shared" si="43"/>
        <v>4148.87</v>
      </c>
      <c r="AW42" s="289">
        <f t="shared" si="39"/>
        <v>49786.44</v>
      </c>
      <c r="AX42" s="296">
        <v>0</v>
      </c>
      <c r="AY42" s="297">
        <v>0</v>
      </c>
      <c r="AZ42" s="265">
        <f t="shared" si="42"/>
        <v>0</v>
      </c>
      <c r="BA42" s="300">
        <f>BA30</f>
        <v>4375.5894803949386</v>
      </c>
      <c r="BB42" s="434">
        <f t="shared" si="45"/>
        <v>0</v>
      </c>
      <c r="BC42" s="289">
        <f t="shared" si="40"/>
        <v>0</v>
      </c>
    </row>
    <row r="43" spans="2:55" ht="31.5">
      <c r="B43" s="272">
        <v>11</v>
      </c>
      <c r="C43" s="291" t="s">
        <v>619</v>
      </c>
      <c r="D43" s="296">
        <v>2</v>
      </c>
      <c r="E43" s="296">
        <v>2924.41</v>
      </c>
      <c r="F43" s="296">
        <v>5848.82</v>
      </c>
      <c r="G43" s="296">
        <v>70185.84</v>
      </c>
      <c r="H43" s="301">
        <f>'[3]Orçam 2'!$D$137</f>
        <v>4148.87</v>
      </c>
      <c r="I43" s="289">
        <f t="shared" si="37"/>
        <v>8297.74</v>
      </c>
      <c r="J43" s="289">
        <f t="shared" si="38"/>
        <v>99572.88</v>
      </c>
      <c r="K43" s="296" t="s">
        <v>591</v>
      </c>
      <c r="L43" s="299">
        <f t="shared" si="41"/>
        <v>16595.48</v>
      </c>
      <c r="M43" s="288">
        <v>802043</v>
      </c>
      <c r="N43" s="249" t="s">
        <v>602</v>
      </c>
      <c r="Z43" s="296">
        <v>2</v>
      </c>
      <c r="AA43" s="301">
        <v>2924.41</v>
      </c>
      <c r="AB43" s="267">
        <v>5848.82</v>
      </c>
      <c r="AC43" s="289">
        <v>70185.84</v>
      </c>
      <c r="AE43" s="296">
        <v>2</v>
      </c>
      <c r="AF43" s="278">
        <v>3343.55</v>
      </c>
      <c r="AG43" s="289">
        <v>6687.1</v>
      </c>
      <c r="AH43" s="289">
        <v>80245.200000000012</v>
      </c>
      <c r="AJ43" s="296">
        <v>2</v>
      </c>
      <c r="AK43" s="278">
        <v>3343.55</v>
      </c>
      <c r="AL43" s="289">
        <v>6687.1</v>
      </c>
      <c r="AM43" s="289">
        <v>80245.200000000012</v>
      </c>
      <c r="AO43" s="296">
        <v>2</v>
      </c>
      <c r="AP43" s="278">
        <v>3343.55</v>
      </c>
      <c r="AQ43" s="289">
        <v>6687.1</v>
      </c>
      <c r="AR43" s="289">
        <v>80245.200000000012</v>
      </c>
      <c r="AT43" s="296">
        <v>2</v>
      </c>
      <c r="AU43" s="278">
        <f>'[3]Orçam 2'!$D$137</f>
        <v>4148.87</v>
      </c>
      <c r="AV43" s="289">
        <f t="shared" si="43"/>
        <v>8297.74</v>
      </c>
      <c r="AW43" s="289">
        <f t="shared" si="39"/>
        <v>99572.88</v>
      </c>
      <c r="AX43" s="456">
        <v>1</v>
      </c>
      <c r="AY43" s="296">
        <v>1</v>
      </c>
      <c r="AZ43" s="265">
        <f t="shared" si="42"/>
        <v>0</v>
      </c>
      <c r="BA43" s="278">
        <f>BA30</f>
        <v>4375.5894803949386</v>
      </c>
      <c r="BB43" s="434">
        <f t="shared" si="45"/>
        <v>4375.5894803949386</v>
      </c>
      <c r="BC43" s="289">
        <f t="shared" si="40"/>
        <v>52507.073764739267</v>
      </c>
    </row>
    <row r="44" spans="2:55" ht="31.5">
      <c r="B44" s="272">
        <v>11</v>
      </c>
      <c r="C44" s="291" t="s">
        <v>620</v>
      </c>
      <c r="D44" s="296"/>
      <c r="E44" s="297"/>
      <c r="F44" s="297"/>
      <c r="G44" s="297"/>
      <c r="H44" s="298"/>
      <c r="I44" s="289"/>
      <c r="J44" s="289"/>
      <c r="K44" s="296"/>
      <c r="L44" s="299"/>
      <c r="M44" s="288"/>
      <c r="Z44" s="296">
        <v>1</v>
      </c>
      <c r="AA44" s="298">
        <v>2924.41</v>
      </c>
      <c r="AB44" s="267">
        <v>2924.41</v>
      </c>
      <c r="AC44" s="289">
        <v>35092.92</v>
      </c>
      <c r="AD44" s="273" t="s">
        <v>621</v>
      </c>
      <c r="AE44" s="296">
        <v>1</v>
      </c>
      <c r="AF44" s="300">
        <v>3343.55</v>
      </c>
      <c r="AG44" s="289">
        <v>3343.55</v>
      </c>
      <c r="AH44" s="289">
        <v>40122.600000000006</v>
      </c>
      <c r="AI44" s="273" t="s">
        <v>621</v>
      </c>
      <c r="AJ44" s="296"/>
      <c r="AK44" s="300">
        <v>3343.55</v>
      </c>
      <c r="AL44" s="289">
        <v>0</v>
      </c>
      <c r="AM44" s="289">
        <v>0</v>
      </c>
      <c r="AN44" s="273" t="s">
        <v>622</v>
      </c>
      <c r="AO44" s="296"/>
      <c r="AP44" s="300">
        <v>3343.55</v>
      </c>
      <c r="AQ44" s="289">
        <v>0</v>
      </c>
      <c r="AR44" s="289">
        <v>0</v>
      </c>
      <c r="AS44" s="273" t="s">
        <v>622</v>
      </c>
      <c r="AT44" s="296"/>
      <c r="AU44" s="300">
        <f>'[3]Orçam 2'!D137</f>
        <v>4148.87</v>
      </c>
      <c r="AV44" s="289">
        <f t="shared" si="43"/>
        <v>0</v>
      </c>
      <c r="AW44" s="289">
        <f t="shared" si="39"/>
        <v>0</v>
      </c>
      <c r="AX44" s="296">
        <v>0</v>
      </c>
      <c r="AY44" s="297">
        <v>0</v>
      </c>
      <c r="AZ44" s="265">
        <f t="shared" si="42"/>
        <v>0</v>
      </c>
      <c r="BA44" s="300">
        <f>BA30</f>
        <v>4375.5894803949386</v>
      </c>
      <c r="BB44" s="434">
        <f t="shared" si="45"/>
        <v>0</v>
      </c>
      <c r="BC44" s="289">
        <f t="shared" si="40"/>
        <v>0</v>
      </c>
    </row>
    <row r="45" spans="2:55" s="391" customFormat="1">
      <c r="B45" s="344">
        <v>11</v>
      </c>
      <c r="C45" s="462" t="s">
        <v>623</v>
      </c>
      <c r="D45" s="459">
        <v>5</v>
      </c>
      <c r="E45" s="463">
        <v>2924.41</v>
      </c>
      <c r="F45" s="463">
        <v>14622.05</v>
      </c>
      <c r="G45" s="463">
        <v>175464.59999999998</v>
      </c>
      <c r="H45" s="464">
        <f>'[3]Orçam 2'!$D$137</f>
        <v>4148.87</v>
      </c>
      <c r="I45" s="458">
        <f t="shared" si="37"/>
        <v>20744.349999999999</v>
      </c>
      <c r="J45" s="458">
        <f t="shared" si="38"/>
        <v>248932.19999999998</v>
      </c>
      <c r="K45" s="459" t="s">
        <v>591</v>
      </c>
      <c r="L45" s="460">
        <f t="shared" si="41"/>
        <v>41488.699999999997</v>
      </c>
      <c r="M45" s="397" t="s">
        <v>605</v>
      </c>
      <c r="N45" s="391" t="s">
        <v>624</v>
      </c>
      <c r="Z45" s="459">
        <v>5</v>
      </c>
      <c r="AA45" s="464">
        <v>2924.41</v>
      </c>
      <c r="AB45" s="458">
        <v>14622.05</v>
      </c>
      <c r="AC45" s="458">
        <v>175464.59999999998</v>
      </c>
      <c r="AE45" s="459">
        <v>5</v>
      </c>
      <c r="AF45" s="465">
        <v>3343.55</v>
      </c>
      <c r="AG45" s="458">
        <v>16717.75</v>
      </c>
      <c r="AH45" s="458">
        <v>200613</v>
      </c>
      <c r="AJ45" s="459">
        <v>5</v>
      </c>
      <c r="AK45" s="465">
        <v>3343.55</v>
      </c>
      <c r="AL45" s="458">
        <v>16717.75</v>
      </c>
      <c r="AM45" s="458">
        <v>200613</v>
      </c>
      <c r="AO45" s="459">
        <v>5</v>
      </c>
      <c r="AP45" s="465">
        <v>3343.55</v>
      </c>
      <c r="AQ45" s="458">
        <v>16717.75</v>
      </c>
      <c r="AR45" s="458">
        <v>200613</v>
      </c>
      <c r="AT45" s="459">
        <v>5</v>
      </c>
      <c r="AU45" s="465">
        <f>'[3]Orçam 2'!$D$137</f>
        <v>4148.87</v>
      </c>
      <c r="AV45" s="458">
        <f t="shared" si="43"/>
        <v>20744.349999999999</v>
      </c>
      <c r="AW45" s="458">
        <f t="shared" si="39"/>
        <v>248932.19999999998</v>
      </c>
      <c r="AX45" s="466">
        <v>2</v>
      </c>
      <c r="AY45" s="463">
        <v>2</v>
      </c>
      <c r="AZ45" s="328">
        <f t="shared" si="42"/>
        <v>0</v>
      </c>
      <c r="BA45" s="465">
        <f>BA30</f>
        <v>4375.5894803949386</v>
      </c>
      <c r="BB45" s="461">
        <f t="shared" si="45"/>
        <v>8751.1789607898772</v>
      </c>
      <c r="BC45" s="458">
        <f t="shared" si="40"/>
        <v>105014.14752947853</v>
      </c>
    </row>
    <row r="46" spans="2:55">
      <c r="B46" s="259"/>
      <c r="C46" s="258" t="s">
        <v>625</v>
      </c>
      <c r="D46" s="259" t="s">
        <v>577</v>
      </c>
      <c r="E46" s="259"/>
      <c r="F46" s="259"/>
      <c r="G46" s="259"/>
      <c r="H46" s="285" t="e">
        <f>I46+#REF!</f>
        <v>#REF!</v>
      </c>
      <c r="I46" s="285">
        <f>H45*2*2</f>
        <v>16595.48</v>
      </c>
      <c r="J46" s="259">
        <f t="shared" si="38"/>
        <v>199145.76</v>
      </c>
      <c r="L46" s="275"/>
      <c r="AA46" s="285"/>
      <c r="AB46" s="285"/>
      <c r="AC46" s="285"/>
      <c r="AF46" s="302"/>
      <c r="AG46" s="285"/>
      <c r="AH46" s="285"/>
      <c r="AK46" s="302"/>
      <c r="AL46" s="285"/>
      <c r="AM46" s="285"/>
      <c r="AP46" s="302"/>
      <c r="AQ46" s="285"/>
      <c r="AR46" s="285"/>
      <c r="AU46" s="302"/>
      <c r="AV46" s="285"/>
      <c r="AW46" s="285"/>
      <c r="BA46" s="302"/>
      <c r="BB46" s="285"/>
      <c r="BC46" s="285"/>
    </row>
    <row r="47" spans="2:55" ht="47.25">
      <c r="B47" s="260" t="s">
        <v>581</v>
      </c>
      <c r="C47" s="261" t="s">
        <v>267</v>
      </c>
      <c r="D47" s="261" t="s">
        <v>582</v>
      </c>
      <c r="E47" s="261" t="s">
        <v>583</v>
      </c>
      <c r="F47" s="261" t="s">
        <v>584</v>
      </c>
      <c r="G47" s="261" t="s">
        <v>585</v>
      </c>
      <c r="H47" s="261" t="s">
        <v>583</v>
      </c>
      <c r="I47" s="261" t="s">
        <v>584</v>
      </c>
      <c r="J47" s="261" t="s">
        <v>585</v>
      </c>
      <c r="K47" s="261" t="s">
        <v>586</v>
      </c>
      <c r="L47" s="261" t="s">
        <v>587</v>
      </c>
      <c r="M47" s="261" t="s">
        <v>598</v>
      </c>
      <c r="N47" s="261" t="s">
        <v>588</v>
      </c>
      <c r="Z47" s="261" t="s">
        <v>590</v>
      </c>
      <c r="AA47" s="261" t="s">
        <v>583</v>
      </c>
      <c r="AB47" s="261" t="s">
        <v>584</v>
      </c>
      <c r="AC47" s="261" t="s">
        <v>585</v>
      </c>
      <c r="AE47" s="261" t="s">
        <v>566</v>
      </c>
      <c r="AF47" s="262" t="s">
        <v>583</v>
      </c>
      <c r="AG47" s="261" t="s">
        <v>584</v>
      </c>
      <c r="AH47" s="261" t="s">
        <v>585</v>
      </c>
      <c r="AJ47" s="261" t="s">
        <v>566</v>
      </c>
      <c r="AK47" s="262" t="s">
        <v>583</v>
      </c>
      <c r="AL47" s="261" t="s">
        <v>584</v>
      </c>
      <c r="AM47" s="261" t="s">
        <v>585</v>
      </c>
      <c r="AN47" s="274"/>
      <c r="AO47" s="261" t="s">
        <v>566</v>
      </c>
      <c r="AP47" s="262" t="s">
        <v>583</v>
      </c>
      <c r="AQ47" s="261" t="s">
        <v>584</v>
      </c>
      <c r="AR47" s="261" t="s">
        <v>585</v>
      </c>
      <c r="AS47" s="274"/>
      <c r="AT47" s="261" t="s">
        <v>566</v>
      </c>
      <c r="AU47" s="262" t="s">
        <v>583</v>
      </c>
      <c r="AV47" s="261" t="s">
        <v>584</v>
      </c>
      <c r="AW47" s="261" t="s">
        <v>585</v>
      </c>
      <c r="AX47" s="261" t="s">
        <v>566</v>
      </c>
      <c r="AY47" s="261"/>
      <c r="AZ47" s="261"/>
      <c r="BA47" s="262" t="s">
        <v>583</v>
      </c>
      <c r="BB47" s="430" t="s">
        <v>584</v>
      </c>
      <c r="BC47" s="261" t="s">
        <v>585</v>
      </c>
    </row>
    <row r="48" spans="2:55">
      <c r="B48" s="263">
        <v>2</v>
      </c>
      <c r="C48" s="264" t="s">
        <v>626</v>
      </c>
      <c r="D48" s="265">
        <v>1</v>
      </c>
      <c r="E48" s="266">
        <v>1970.65</v>
      </c>
      <c r="F48" s="267">
        <v>1970.65</v>
      </c>
      <c r="G48" s="267">
        <v>23647.800000000003</v>
      </c>
      <c r="H48" s="266">
        <f>'[3]Recepção 2'!$D$137</f>
        <v>2622.17</v>
      </c>
      <c r="I48" s="267">
        <f>D48*H48</f>
        <v>2622.17</v>
      </c>
      <c r="J48" s="267">
        <f>I48*12</f>
        <v>31466.04</v>
      </c>
      <c r="K48" s="272" t="s">
        <v>591</v>
      </c>
      <c r="L48" s="269">
        <f>I48*2</f>
        <v>5244.34</v>
      </c>
      <c r="M48" s="288">
        <v>802040</v>
      </c>
      <c r="N48" s="249" t="s">
        <v>602</v>
      </c>
      <c r="Z48" s="265">
        <v>1</v>
      </c>
      <c r="AA48" s="266">
        <v>1970.65</v>
      </c>
      <c r="AB48" s="267">
        <v>1970.65</v>
      </c>
      <c r="AC48" s="267">
        <v>23647.800000000003</v>
      </c>
      <c r="AE48" s="265">
        <v>1</v>
      </c>
      <c r="AF48" s="278">
        <v>2211.4299999999998</v>
      </c>
      <c r="AG48" s="289">
        <v>2211.4299999999998</v>
      </c>
      <c r="AH48" s="289">
        <v>26537.159999999996</v>
      </c>
      <c r="AJ48" s="265">
        <v>1</v>
      </c>
      <c r="AK48" s="278">
        <v>2211.4299999999998</v>
      </c>
      <c r="AL48" s="289">
        <v>2211.4299999999998</v>
      </c>
      <c r="AM48" s="289">
        <v>26537.159999999996</v>
      </c>
      <c r="AO48" s="265">
        <v>1</v>
      </c>
      <c r="AP48" s="278">
        <v>2211.4299999999998</v>
      </c>
      <c r="AQ48" s="289">
        <v>2211.4299999999998</v>
      </c>
      <c r="AR48" s="289">
        <v>26537.159999999996</v>
      </c>
      <c r="AT48" s="265">
        <v>1</v>
      </c>
      <c r="AU48" s="278">
        <f>'[3]Recepção 2'!$D$137</f>
        <v>2622.17</v>
      </c>
      <c r="AV48" s="289">
        <f t="shared" ref="AV48:AV52" si="46">AU48*AT48</f>
        <v>2622.17</v>
      </c>
      <c r="AW48" s="289">
        <f t="shared" ref="AW48:AW52" si="47">AV48*12</f>
        <v>31466.04</v>
      </c>
      <c r="AX48" s="455">
        <v>1</v>
      </c>
      <c r="AY48" s="265">
        <v>1</v>
      </c>
      <c r="AZ48" s="265">
        <f>AX48-AY48</f>
        <v>0</v>
      </c>
      <c r="BA48" s="278">
        <f>BA24</f>
        <v>3172.5502639618517</v>
      </c>
      <c r="BB48" s="434">
        <f t="shared" ref="BB48:BB52" si="48">BA48*AX48</f>
        <v>3172.5502639618517</v>
      </c>
      <c r="BC48" s="289">
        <f t="shared" ref="BC48:BC52" si="49">BB48*12</f>
        <v>38070.60316754222</v>
      </c>
    </row>
    <row r="49" spans="2:58" s="391" customFormat="1">
      <c r="B49" s="344">
        <v>2</v>
      </c>
      <c r="C49" s="462" t="s">
        <v>627</v>
      </c>
      <c r="D49" s="328">
        <v>3</v>
      </c>
      <c r="E49" s="328">
        <v>1970.65</v>
      </c>
      <c r="F49" s="328">
        <v>5911.9500000000007</v>
      </c>
      <c r="G49" s="328">
        <v>70943.400000000009</v>
      </c>
      <c r="H49" s="362">
        <f>'[3]Recepção 2'!$D$137</f>
        <v>2622.17</v>
      </c>
      <c r="I49" s="458">
        <f>D49*H49</f>
        <v>7866.51</v>
      </c>
      <c r="J49" s="458">
        <f>I49*12</f>
        <v>94398.12</v>
      </c>
      <c r="K49" s="459" t="s">
        <v>591</v>
      </c>
      <c r="L49" s="460">
        <f>I49*2</f>
        <v>15733.02</v>
      </c>
      <c r="M49" s="397" t="s">
        <v>605</v>
      </c>
      <c r="N49" s="391" t="s">
        <v>606</v>
      </c>
      <c r="Z49" s="328">
        <v>2</v>
      </c>
      <c r="AA49" s="362">
        <v>1970.65</v>
      </c>
      <c r="AB49" s="458">
        <v>3941.3</v>
      </c>
      <c r="AC49" s="458">
        <v>47295.600000000006</v>
      </c>
      <c r="AD49" s="391" t="s">
        <v>628</v>
      </c>
      <c r="AE49" s="328">
        <v>2</v>
      </c>
      <c r="AF49" s="363">
        <v>2211.4299999999998</v>
      </c>
      <c r="AG49" s="458">
        <v>4422.8599999999997</v>
      </c>
      <c r="AH49" s="458">
        <v>53074.319999999992</v>
      </c>
      <c r="AI49" s="391" t="s">
        <v>628</v>
      </c>
      <c r="AJ49" s="328">
        <v>2</v>
      </c>
      <c r="AK49" s="363">
        <v>2211.4299999999998</v>
      </c>
      <c r="AL49" s="458">
        <v>4422.8599999999997</v>
      </c>
      <c r="AM49" s="458">
        <v>53074.319999999992</v>
      </c>
      <c r="AO49" s="328">
        <v>2</v>
      </c>
      <c r="AP49" s="363">
        <v>2211.4299999999998</v>
      </c>
      <c r="AQ49" s="458">
        <v>4422.8599999999997</v>
      </c>
      <c r="AR49" s="458">
        <v>53074.319999999992</v>
      </c>
      <c r="AT49" s="328">
        <v>2</v>
      </c>
      <c r="AU49" s="363">
        <f>'[3]Recepção 2'!$D$137</f>
        <v>2622.17</v>
      </c>
      <c r="AV49" s="458">
        <f t="shared" si="46"/>
        <v>5244.34</v>
      </c>
      <c r="AW49" s="458">
        <f t="shared" si="47"/>
        <v>62932.08</v>
      </c>
      <c r="AX49" s="348">
        <v>2</v>
      </c>
      <c r="AY49" s="328">
        <v>2</v>
      </c>
      <c r="AZ49" s="328">
        <f t="shared" ref="AZ49:AZ52" si="50">AX49-AY49</f>
        <v>0</v>
      </c>
      <c r="BA49" s="363">
        <f>BA24</f>
        <v>3172.5502639618517</v>
      </c>
      <c r="BB49" s="461">
        <f t="shared" si="48"/>
        <v>6345.1005279237033</v>
      </c>
      <c r="BC49" s="458">
        <f t="shared" si="49"/>
        <v>76141.20633508444</v>
      </c>
    </row>
    <row r="50" spans="2:58">
      <c r="B50" s="263">
        <v>3</v>
      </c>
      <c r="C50" s="264" t="s">
        <v>629</v>
      </c>
      <c r="D50" s="265">
        <v>2</v>
      </c>
      <c r="E50" s="266">
        <v>1420.39</v>
      </c>
      <c r="F50" s="267">
        <v>2840.78</v>
      </c>
      <c r="G50" s="267">
        <v>34089.360000000001</v>
      </c>
      <c r="H50" s="266">
        <f>'[3]Copeira 2'!$D$137</f>
        <v>2320.86</v>
      </c>
      <c r="I50" s="267">
        <f>D50*H50</f>
        <v>4641.72</v>
      </c>
      <c r="J50" s="267">
        <f>I50*12</f>
        <v>55700.639999999999</v>
      </c>
      <c r="K50" s="272" t="s">
        <v>591</v>
      </c>
      <c r="L50" s="269">
        <f>I50*2</f>
        <v>9283.44</v>
      </c>
      <c r="M50" s="288">
        <v>802039</v>
      </c>
      <c r="N50" s="249" t="s">
        <v>602</v>
      </c>
      <c r="Z50" s="265">
        <v>2</v>
      </c>
      <c r="AA50" s="266">
        <v>1420.39</v>
      </c>
      <c r="AB50" s="267">
        <v>2840.78</v>
      </c>
      <c r="AC50" s="267">
        <v>34089.360000000001</v>
      </c>
      <c r="AE50" s="265">
        <v>2</v>
      </c>
      <c r="AF50" s="278">
        <v>1567.88</v>
      </c>
      <c r="AG50" s="289">
        <v>3135.76</v>
      </c>
      <c r="AH50" s="289">
        <v>37629.120000000003</v>
      </c>
      <c r="AJ50" s="265">
        <v>2</v>
      </c>
      <c r="AK50" s="278">
        <v>1567.88</v>
      </c>
      <c r="AL50" s="289">
        <v>3135.76</v>
      </c>
      <c r="AM50" s="289">
        <v>37629.120000000003</v>
      </c>
      <c r="AO50" s="265">
        <v>2</v>
      </c>
      <c r="AP50" s="278">
        <v>1567.88</v>
      </c>
      <c r="AQ50" s="289">
        <v>3135.76</v>
      </c>
      <c r="AR50" s="289">
        <v>37629.120000000003</v>
      </c>
      <c r="AT50" s="265">
        <v>2</v>
      </c>
      <c r="AU50" s="278">
        <f>'[3]Copeira 2'!$D$137</f>
        <v>2320.86</v>
      </c>
      <c r="AV50" s="289">
        <f t="shared" si="46"/>
        <v>4641.72</v>
      </c>
      <c r="AW50" s="289">
        <f t="shared" si="47"/>
        <v>55700.639999999999</v>
      </c>
      <c r="AX50" s="455">
        <v>2</v>
      </c>
      <c r="AY50" s="265">
        <v>2</v>
      </c>
      <c r="AZ50" s="265">
        <f t="shared" si="50"/>
        <v>0</v>
      </c>
      <c r="BA50" s="278">
        <f>BA25</f>
        <v>2303.4709559206799</v>
      </c>
      <c r="BB50" s="434">
        <f t="shared" si="48"/>
        <v>4606.9419118413598</v>
      </c>
      <c r="BC50" s="289">
        <f t="shared" si="49"/>
        <v>55283.302942096314</v>
      </c>
    </row>
    <row r="51" spans="2:58">
      <c r="B51" s="263">
        <v>3</v>
      </c>
      <c r="C51" s="264" t="s">
        <v>630</v>
      </c>
      <c r="D51" s="265">
        <v>1</v>
      </c>
      <c r="E51" s="266">
        <v>1420.39</v>
      </c>
      <c r="F51" s="267">
        <v>1420.39</v>
      </c>
      <c r="G51" s="267">
        <v>17044.68</v>
      </c>
      <c r="H51" s="266">
        <f>'[3]Copeira 2'!$D$137</f>
        <v>2320.86</v>
      </c>
      <c r="I51" s="267">
        <f>D51*H51</f>
        <v>2320.86</v>
      </c>
      <c r="J51" s="267">
        <f>I51*12</f>
        <v>27850.32</v>
      </c>
      <c r="K51" s="272" t="s">
        <v>591</v>
      </c>
      <c r="L51" s="269">
        <f>I51*2</f>
        <v>4641.72</v>
      </c>
      <c r="M51" s="288">
        <v>802042</v>
      </c>
      <c r="N51" s="249" t="s">
        <v>602</v>
      </c>
      <c r="Z51" s="265">
        <v>1</v>
      </c>
      <c r="AA51" s="266">
        <v>1420.39</v>
      </c>
      <c r="AB51" s="267">
        <v>1420.39</v>
      </c>
      <c r="AC51" s="267">
        <v>17044.68</v>
      </c>
      <c r="AE51" s="265">
        <v>1</v>
      </c>
      <c r="AF51" s="278">
        <v>1567.88</v>
      </c>
      <c r="AG51" s="289">
        <v>1567.88</v>
      </c>
      <c r="AH51" s="289">
        <v>18814.560000000001</v>
      </c>
      <c r="AJ51" s="265">
        <v>1</v>
      </c>
      <c r="AK51" s="278">
        <v>1567.88</v>
      </c>
      <c r="AL51" s="289">
        <v>1567.88</v>
      </c>
      <c r="AM51" s="289">
        <v>18814.560000000001</v>
      </c>
      <c r="AO51" s="265">
        <v>1</v>
      </c>
      <c r="AP51" s="278">
        <v>1567.88</v>
      </c>
      <c r="AQ51" s="289">
        <v>1567.88</v>
      </c>
      <c r="AR51" s="289">
        <v>18814.560000000001</v>
      </c>
      <c r="AT51" s="265">
        <v>1</v>
      </c>
      <c r="AU51" s="278">
        <f>'[3]Copeira 2'!$D$137</f>
        <v>2320.86</v>
      </c>
      <c r="AV51" s="289">
        <f t="shared" si="46"/>
        <v>2320.86</v>
      </c>
      <c r="AW51" s="289">
        <f t="shared" si="47"/>
        <v>27850.32</v>
      </c>
      <c r="AX51" s="455">
        <v>1</v>
      </c>
      <c r="AY51" s="265">
        <v>1</v>
      </c>
      <c r="AZ51" s="265">
        <f t="shared" si="50"/>
        <v>0</v>
      </c>
      <c r="BA51" s="278">
        <f>BA25</f>
        <v>2303.4709559206799</v>
      </c>
      <c r="BB51" s="434">
        <f t="shared" si="48"/>
        <v>2303.4709559206799</v>
      </c>
      <c r="BC51" s="289">
        <f t="shared" si="49"/>
        <v>27641.651471048157</v>
      </c>
    </row>
    <row r="52" spans="2:58">
      <c r="B52" s="272">
        <v>11</v>
      </c>
      <c r="C52" s="291" t="s">
        <v>631</v>
      </c>
      <c r="D52" s="296"/>
      <c r="E52" s="297"/>
      <c r="F52" s="297"/>
      <c r="G52" s="297"/>
      <c r="H52" s="298"/>
      <c r="I52" s="289"/>
      <c r="J52" s="289"/>
      <c r="K52" s="296"/>
      <c r="L52" s="299"/>
      <c r="M52" s="288"/>
      <c r="Z52" s="296"/>
      <c r="AA52" s="298"/>
      <c r="AB52" s="267"/>
      <c r="AC52" s="289"/>
      <c r="AD52" s="276"/>
      <c r="AE52" s="296"/>
      <c r="AF52" s="300"/>
      <c r="AG52" s="289"/>
      <c r="AH52" s="289"/>
      <c r="AI52" s="276"/>
      <c r="AJ52" s="296">
        <v>1</v>
      </c>
      <c r="AK52" s="300">
        <v>3343.55</v>
      </c>
      <c r="AL52" s="289">
        <v>3343.55</v>
      </c>
      <c r="AM52" s="289">
        <v>40122.600000000006</v>
      </c>
      <c r="AN52" s="273" t="s">
        <v>622</v>
      </c>
      <c r="AO52" s="296">
        <v>1</v>
      </c>
      <c r="AP52" s="300">
        <v>3343.55</v>
      </c>
      <c r="AQ52" s="289">
        <v>3343.55</v>
      </c>
      <c r="AR52" s="289">
        <v>40122.600000000006</v>
      </c>
      <c r="AS52" s="273" t="s">
        <v>622</v>
      </c>
      <c r="AT52" s="296">
        <v>1</v>
      </c>
      <c r="AU52" s="300">
        <f>'[3]Orçam 2'!D134</f>
        <v>4148.87</v>
      </c>
      <c r="AV52" s="289">
        <f t="shared" si="46"/>
        <v>4148.87</v>
      </c>
      <c r="AW52" s="289">
        <f t="shared" si="47"/>
        <v>49786.44</v>
      </c>
      <c r="AX52" s="296">
        <v>0</v>
      </c>
      <c r="AY52" s="297">
        <v>0</v>
      </c>
      <c r="AZ52" s="265">
        <f t="shared" si="50"/>
        <v>0</v>
      </c>
      <c r="BA52" s="300">
        <f>BA30</f>
        <v>4375.5894803949386</v>
      </c>
      <c r="BB52" s="434">
        <f t="shared" si="48"/>
        <v>0</v>
      </c>
      <c r="BC52" s="289">
        <f t="shared" si="49"/>
        <v>0</v>
      </c>
    </row>
    <row r="53" spans="2:58">
      <c r="B53" s="259"/>
      <c r="C53" s="258" t="s">
        <v>632</v>
      </c>
      <c r="D53" s="259" t="s">
        <v>577</v>
      </c>
      <c r="E53" s="259"/>
      <c r="F53" s="259"/>
      <c r="G53" s="259"/>
      <c r="H53" s="259"/>
      <c r="I53" s="259"/>
      <c r="J53" s="259"/>
      <c r="R53" s="249">
        <f>21.06*3.29</f>
        <v>69.287399999999991</v>
      </c>
      <c r="AA53" s="259"/>
      <c r="AB53" s="259"/>
      <c r="AC53" s="259"/>
      <c r="AF53" s="286"/>
      <c r="AG53" s="259"/>
      <c r="AH53" s="259"/>
      <c r="AK53" s="286"/>
      <c r="AL53" s="259"/>
      <c r="AM53" s="259"/>
      <c r="AP53" s="286"/>
      <c r="AQ53" s="259"/>
      <c r="AR53" s="259"/>
      <c r="AU53" s="286"/>
      <c r="AV53" s="259"/>
      <c r="AW53" s="259"/>
      <c r="BA53" s="286"/>
      <c r="BB53" s="259"/>
      <c r="BC53" s="259"/>
    </row>
    <row r="54" spans="2:58" ht="47.25">
      <c r="B54" s="260" t="s">
        <v>581</v>
      </c>
      <c r="C54" s="261" t="s">
        <v>267</v>
      </c>
      <c r="D54" s="261" t="s">
        <v>582</v>
      </c>
      <c r="E54" s="261" t="s">
        <v>583</v>
      </c>
      <c r="F54" s="261" t="s">
        <v>584</v>
      </c>
      <c r="G54" s="261" t="s">
        <v>585</v>
      </c>
      <c r="H54" s="261" t="s">
        <v>583</v>
      </c>
      <c r="I54" s="261" t="s">
        <v>584</v>
      </c>
      <c r="J54" s="261" t="s">
        <v>585</v>
      </c>
      <c r="K54" s="261" t="s">
        <v>586</v>
      </c>
      <c r="L54" s="261" t="s">
        <v>587</v>
      </c>
      <c r="M54" s="261" t="s">
        <v>598</v>
      </c>
      <c r="N54" s="261" t="s">
        <v>588</v>
      </c>
      <c r="Z54" s="261" t="s">
        <v>590</v>
      </c>
      <c r="AA54" s="261" t="s">
        <v>583</v>
      </c>
      <c r="AB54" s="261" t="s">
        <v>584</v>
      </c>
      <c r="AC54" s="261" t="s">
        <v>585</v>
      </c>
      <c r="AE54" s="261" t="s">
        <v>566</v>
      </c>
      <c r="AF54" s="262" t="s">
        <v>583</v>
      </c>
      <c r="AG54" s="261" t="s">
        <v>584</v>
      </c>
      <c r="AH54" s="261" t="s">
        <v>585</v>
      </c>
      <c r="AJ54" s="261" t="s">
        <v>566</v>
      </c>
      <c r="AK54" s="262" t="s">
        <v>583</v>
      </c>
      <c r="AL54" s="261" t="s">
        <v>584</v>
      </c>
      <c r="AM54" s="261" t="s">
        <v>585</v>
      </c>
      <c r="AO54" s="261" t="s">
        <v>566</v>
      </c>
      <c r="AP54" s="262" t="s">
        <v>583</v>
      </c>
      <c r="AQ54" s="261" t="s">
        <v>584</v>
      </c>
      <c r="AR54" s="261" t="s">
        <v>585</v>
      </c>
      <c r="AT54" s="261" t="s">
        <v>566</v>
      </c>
      <c r="AU54" s="262" t="s">
        <v>583</v>
      </c>
      <c r="AV54" s="261" t="s">
        <v>584</v>
      </c>
      <c r="AW54" s="261" t="s">
        <v>585</v>
      </c>
      <c r="AX54" s="261" t="s">
        <v>566</v>
      </c>
      <c r="AY54" s="261"/>
      <c r="AZ54" s="261"/>
      <c r="BA54" s="262" t="s">
        <v>583</v>
      </c>
      <c r="BB54" s="430" t="s">
        <v>584</v>
      </c>
      <c r="BC54" s="261" t="s">
        <v>585</v>
      </c>
    </row>
    <row r="55" spans="2:58" s="391" customFormat="1">
      <c r="B55" s="344">
        <v>2</v>
      </c>
      <c r="C55" s="457" t="s">
        <v>1</v>
      </c>
      <c r="D55" s="328">
        <v>2</v>
      </c>
      <c r="E55" s="328">
        <v>1970.65</v>
      </c>
      <c r="F55" s="328">
        <v>3941.3</v>
      </c>
      <c r="G55" s="328">
        <v>47295.600000000006</v>
      </c>
      <c r="H55" s="362">
        <f>'[3]Recepção 2'!$D$137</f>
        <v>2622.17</v>
      </c>
      <c r="I55" s="458">
        <f>D55*H55</f>
        <v>5244.34</v>
      </c>
      <c r="J55" s="458">
        <f>I55*12</f>
        <v>62932.08</v>
      </c>
      <c r="K55" s="459" t="s">
        <v>591</v>
      </c>
      <c r="L55" s="460">
        <f>I55*2</f>
        <v>10488.68</v>
      </c>
      <c r="M55" s="397">
        <v>802045</v>
      </c>
      <c r="N55" s="391" t="s">
        <v>602</v>
      </c>
      <c r="Z55" s="328">
        <v>2</v>
      </c>
      <c r="AA55" s="362">
        <v>1970.65</v>
      </c>
      <c r="AB55" s="458">
        <v>3941.3</v>
      </c>
      <c r="AC55" s="458">
        <v>47295.600000000006</v>
      </c>
      <c r="AE55" s="328">
        <v>2</v>
      </c>
      <c r="AF55" s="363">
        <v>2211.4299999999998</v>
      </c>
      <c r="AG55" s="458">
        <v>4422.8599999999997</v>
      </c>
      <c r="AH55" s="458">
        <v>53074.319999999992</v>
      </c>
      <c r="AJ55" s="328">
        <v>2</v>
      </c>
      <c r="AK55" s="363">
        <v>2211.4299999999998</v>
      </c>
      <c r="AL55" s="458">
        <v>4422.8599999999997</v>
      </c>
      <c r="AM55" s="458">
        <v>53074.319999999992</v>
      </c>
      <c r="AO55" s="328">
        <v>2</v>
      </c>
      <c r="AP55" s="363">
        <v>2211.4299999999998</v>
      </c>
      <c r="AQ55" s="458">
        <v>4422.8599999999997</v>
      </c>
      <c r="AR55" s="458">
        <v>53074.319999999992</v>
      </c>
      <c r="AT55" s="328">
        <v>2</v>
      </c>
      <c r="AU55" s="363">
        <f>'[3]Recepção 2'!$D$137</f>
        <v>2622.17</v>
      </c>
      <c r="AV55" s="458">
        <f>AU55*AT55</f>
        <v>5244.34</v>
      </c>
      <c r="AW55" s="458">
        <f>AV55*12</f>
        <v>62932.08</v>
      </c>
      <c r="AX55" s="348">
        <v>1</v>
      </c>
      <c r="AY55" s="328">
        <v>1</v>
      </c>
      <c r="AZ55" s="328">
        <f>AX55-AY55</f>
        <v>0</v>
      </c>
      <c r="BA55" s="363">
        <f>BA49</f>
        <v>3172.5502639618517</v>
      </c>
      <c r="BB55" s="461">
        <f>BA55*AX55</f>
        <v>3172.5502639618517</v>
      </c>
      <c r="BC55" s="458">
        <f>BB55*12</f>
        <v>38070.60316754222</v>
      </c>
    </row>
    <row r="56" spans="2:58" s="391" customFormat="1">
      <c r="B56" s="344">
        <v>11</v>
      </c>
      <c r="C56" s="457" t="s">
        <v>564</v>
      </c>
      <c r="D56" s="328">
        <v>1</v>
      </c>
      <c r="E56" s="328">
        <v>2924.41</v>
      </c>
      <c r="F56" s="328">
        <v>2924.41</v>
      </c>
      <c r="G56" s="328">
        <v>35092.92</v>
      </c>
      <c r="H56" s="362">
        <f>'[3]Orçam 2'!$D$137</f>
        <v>4148.87</v>
      </c>
      <c r="I56" s="458">
        <f>D56*H56</f>
        <v>4148.87</v>
      </c>
      <c r="J56" s="458">
        <f>I56*12</f>
        <v>49786.44</v>
      </c>
      <c r="K56" s="459" t="s">
        <v>591</v>
      </c>
      <c r="L56" s="460">
        <f>I56*2</f>
        <v>8297.74</v>
      </c>
      <c r="M56" s="397">
        <v>802045</v>
      </c>
      <c r="N56" s="391" t="s">
        <v>602</v>
      </c>
      <c r="Z56" s="328">
        <v>1</v>
      </c>
      <c r="AA56" s="362">
        <v>2924.41</v>
      </c>
      <c r="AB56" s="458">
        <v>2924.41</v>
      </c>
      <c r="AC56" s="458">
        <v>35092.92</v>
      </c>
      <c r="AE56" s="328">
        <v>1</v>
      </c>
      <c r="AF56" s="363">
        <v>3343.55</v>
      </c>
      <c r="AG56" s="458">
        <v>3343.55</v>
      </c>
      <c r="AH56" s="458">
        <v>40122.600000000006</v>
      </c>
      <c r="AJ56" s="328">
        <v>1</v>
      </c>
      <c r="AK56" s="363">
        <v>3343.55</v>
      </c>
      <c r="AL56" s="458">
        <v>3343.55</v>
      </c>
      <c r="AM56" s="458">
        <v>40122.600000000006</v>
      </c>
      <c r="AO56" s="328">
        <v>1</v>
      </c>
      <c r="AP56" s="363">
        <v>3343.55</v>
      </c>
      <c r="AQ56" s="458">
        <v>3343.55</v>
      </c>
      <c r="AR56" s="458">
        <v>40122.600000000006</v>
      </c>
      <c r="AT56" s="328">
        <v>1</v>
      </c>
      <c r="AU56" s="363">
        <f>'[3]Orçam 2'!$D$137</f>
        <v>4148.87</v>
      </c>
      <c r="AV56" s="458">
        <f>AU56*AT56</f>
        <v>4148.87</v>
      </c>
      <c r="AW56" s="458">
        <f>AV56*12</f>
        <v>49786.44</v>
      </c>
      <c r="AX56" s="328">
        <v>0</v>
      </c>
      <c r="AY56" s="328">
        <v>0</v>
      </c>
      <c r="AZ56" s="328">
        <f>AX56-AY56</f>
        <v>0</v>
      </c>
      <c r="BA56" s="363">
        <f>BA52</f>
        <v>4375.5894803949386</v>
      </c>
      <c r="BB56" s="461">
        <f>BA56*AX56</f>
        <v>0</v>
      </c>
      <c r="BC56" s="458">
        <f>BB56*12</f>
        <v>0</v>
      </c>
    </row>
    <row r="57" spans="2:58">
      <c r="B57" s="259"/>
      <c r="C57" s="258" t="s">
        <v>633</v>
      </c>
      <c r="D57" s="259" t="s">
        <v>577</v>
      </c>
      <c r="E57" s="259"/>
      <c r="F57" s="259"/>
      <c r="G57" s="259"/>
      <c r="H57" s="259"/>
      <c r="I57" s="259"/>
      <c r="J57" s="259"/>
      <c r="AA57" s="259"/>
      <c r="AB57" s="259"/>
      <c r="AC57" s="259"/>
      <c r="AF57" s="286"/>
      <c r="AG57" s="259"/>
      <c r="AH57" s="259"/>
      <c r="AK57" s="286"/>
      <c r="AL57" s="259"/>
      <c r="AM57" s="259"/>
      <c r="AP57" s="286"/>
      <c r="AQ57" s="259"/>
      <c r="AR57" s="259"/>
      <c r="AU57" s="286"/>
      <c r="AV57" s="259"/>
      <c r="AW57" s="259"/>
      <c r="BA57" s="286"/>
      <c r="BB57" s="259"/>
      <c r="BC57" s="259"/>
    </row>
    <row r="58" spans="2:58" ht="47.25">
      <c r="B58" s="260" t="s">
        <v>581</v>
      </c>
      <c r="C58" s="261" t="s">
        <v>267</v>
      </c>
      <c r="D58" s="261" t="s">
        <v>582</v>
      </c>
      <c r="E58" s="261" t="s">
        <v>583</v>
      </c>
      <c r="F58" s="261" t="s">
        <v>584</v>
      </c>
      <c r="G58" s="261" t="s">
        <v>585</v>
      </c>
      <c r="H58" s="261" t="s">
        <v>583</v>
      </c>
      <c r="I58" s="261" t="s">
        <v>584</v>
      </c>
      <c r="J58" s="261" t="s">
        <v>585</v>
      </c>
      <c r="K58" s="261" t="s">
        <v>586</v>
      </c>
      <c r="L58" s="261" t="s">
        <v>587</v>
      </c>
      <c r="M58" s="261" t="s">
        <v>598</v>
      </c>
      <c r="N58" s="261" t="s">
        <v>588</v>
      </c>
      <c r="Z58" s="261" t="s">
        <v>590</v>
      </c>
      <c r="AA58" s="261" t="s">
        <v>583</v>
      </c>
      <c r="AB58" s="261" t="s">
        <v>584</v>
      </c>
      <c r="AC58" s="261" t="s">
        <v>585</v>
      </c>
      <c r="AE58" s="261" t="s">
        <v>566</v>
      </c>
      <c r="AF58" s="262" t="s">
        <v>583</v>
      </c>
      <c r="AG58" s="261" t="s">
        <v>584</v>
      </c>
      <c r="AH58" s="261" t="s">
        <v>585</v>
      </c>
      <c r="AJ58" s="261" t="s">
        <v>566</v>
      </c>
      <c r="AK58" s="262" t="s">
        <v>583</v>
      </c>
      <c r="AL58" s="261" t="s">
        <v>584</v>
      </c>
      <c r="AM58" s="261" t="s">
        <v>585</v>
      </c>
      <c r="AO58" s="261" t="s">
        <v>566</v>
      </c>
      <c r="AP58" s="262" t="s">
        <v>583</v>
      </c>
      <c r="AQ58" s="261" t="s">
        <v>584</v>
      </c>
      <c r="AR58" s="261" t="s">
        <v>585</v>
      </c>
      <c r="AT58" s="261" t="s">
        <v>566</v>
      </c>
      <c r="AU58" s="262" t="s">
        <v>583</v>
      </c>
      <c r="AV58" s="261" t="s">
        <v>584</v>
      </c>
      <c r="AW58" s="261" t="s">
        <v>585</v>
      </c>
      <c r="AX58" s="261" t="s">
        <v>566</v>
      </c>
      <c r="AY58" s="261"/>
      <c r="AZ58" s="261"/>
      <c r="BA58" s="262" t="s">
        <v>583</v>
      </c>
      <c r="BB58" s="430" t="s">
        <v>584</v>
      </c>
      <c r="BC58" s="261" t="s">
        <v>585</v>
      </c>
    </row>
    <row r="59" spans="2:58" s="391" customFormat="1">
      <c r="B59" s="472">
        <v>2</v>
      </c>
      <c r="C59" s="495" t="s">
        <v>1</v>
      </c>
      <c r="D59" s="496">
        <v>1</v>
      </c>
      <c r="E59" s="496">
        <v>1970.65</v>
      </c>
      <c r="F59" s="496">
        <v>1970.65</v>
      </c>
      <c r="G59" s="496">
        <v>23647.800000000003</v>
      </c>
      <c r="H59" s="475">
        <f>'[3]Recepção 2'!$D$137</f>
        <v>2622.17</v>
      </c>
      <c r="I59" s="481">
        <f>D59*H59</f>
        <v>2622.17</v>
      </c>
      <c r="J59" s="481">
        <f>I59*12</f>
        <v>31466.04</v>
      </c>
      <c r="K59" s="498" t="s">
        <v>591</v>
      </c>
      <c r="L59" s="478">
        <f>I59*2</f>
        <v>5244.34</v>
      </c>
      <c r="M59" s="479">
        <v>802046</v>
      </c>
      <c r="N59" s="480" t="s">
        <v>602</v>
      </c>
      <c r="O59" s="480"/>
      <c r="P59" s="480"/>
      <c r="Q59" s="480"/>
      <c r="R59" s="480"/>
      <c r="S59" s="480"/>
      <c r="T59" s="480"/>
      <c r="U59" s="480"/>
      <c r="V59" s="480"/>
      <c r="W59" s="480"/>
      <c r="X59" s="480"/>
      <c r="Y59" s="480"/>
      <c r="Z59" s="496">
        <v>1</v>
      </c>
      <c r="AA59" s="475">
        <v>1970.65</v>
      </c>
      <c r="AB59" s="481">
        <v>1970.65</v>
      </c>
      <c r="AC59" s="481">
        <v>23647.800000000003</v>
      </c>
      <c r="AD59" s="480"/>
      <c r="AE59" s="496">
        <v>1</v>
      </c>
      <c r="AF59" s="482">
        <v>2211.4299999999998</v>
      </c>
      <c r="AG59" s="481">
        <v>2211.4299999999998</v>
      </c>
      <c r="AH59" s="481">
        <v>26537.159999999996</v>
      </c>
      <c r="AI59" s="480"/>
      <c r="AJ59" s="496">
        <v>1</v>
      </c>
      <c r="AK59" s="482">
        <v>2211.4299999999998</v>
      </c>
      <c r="AL59" s="481">
        <v>2211.4299999999998</v>
      </c>
      <c r="AM59" s="481">
        <v>26537.159999999996</v>
      </c>
      <c r="AN59" s="480"/>
      <c r="AO59" s="496">
        <v>1</v>
      </c>
      <c r="AP59" s="482">
        <v>2211.4299999999998</v>
      </c>
      <c r="AQ59" s="481">
        <v>2211.4299999999998</v>
      </c>
      <c r="AR59" s="481">
        <v>26537.159999999996</v>
      </c>
      <c r="AS59" s="480"/>
      <c r="AT59" s="496">
        <v>1</v>
      </c>
      <c r="AU59" s="482">
        <f>'[3]Recepção 2'!$D$137</f>
        <v>2622.17</v>
      </c>
      <c r="AV59" s="481">
        <f>AU59*AT59</f>
        <v>2622.17</v>
      </c>
      <c r="AW59" s="481">
        <f>AV59*12</f>
        <v>31466.04</v>
      </c>
      <c r="AX59" s="496">
        <v>1</v>
      </c>
      <c r="AY59" s="496">
        <v>0</v>
      </c>
      <c r="AZ59" s="496">
        <f>AX59-AY59</f>
        <v>1</v>
      </c>
      <c r="BA59" s="482">
        <f>BA55</f>
        <v>3172.5502639618517</v>
      </c>
      <c r="BB59" s="483">
        <f>BA59*AX59</f>
        <v>3172.5502639618517</v>
      </c>
      <c r="BC59" s="481">
        <f>BB59*12</f>
        <v>38070.60316754222</v>
      </c>
    </row>
    <row r="60" spans="2:58" s="391" customFormat="1">
      <c r="B60" s="344">
        <v>11</v>
      </c>
      <c r="C60" s="457" t="s">
        <v>564</v>
      </c>
      <c r="D60" s="328">
        <v>2</v>
      </c>
      <c r="E60" s="328">
        <v>2924.41</v>
      </c>
      <c r="F60" s="328">
        <v>5848.82</v>
      </c>
      <c r="G60" s="328">
        <v>70185.84</v>
      </c>
      <c r="H60" s="362">
        <f>'[3]Orçam 2'!$D$137</f>
        <v>4148.87</v>
      </c>
      <c r="I60" s="458">
        <f>D60*H60</f>
        <v>8297.74</v>
      </c>
      <c r="J60" s="458">
        <f>I60*12</f>
        <v>99572.88</v>
      </c>
      <c r="K60" s="459" t="s">
        <v>591</v>
      </c>
      <c r="L60" s="460">
        <f>I60*2</f>
        <v>16595.48</v>
      </c>
      <c r="M60" s="397">
        <v>802046</v>
      </c>
      <c r="N60" s="391" t="s">
        <v>602</v>
      </c>
      <c r="Z60" s="328">
        <v>1</v>
      </c>
      <c r="AA60" s="362">
        <v>2924.41</v>
      </c>
      <c r="AB60" s="458">
        <v>2924.41</v>
      </c>
      <c r="AC60" s="458">
        <v>35092.92</v>
      </c>
      <c r="AD60" s="391" t="s">
        <v>634</v>
      </c>
      <c r="AE60" s="328">
        <v>1</v>
      </c>
      <c r="AF60" s="363">
        <v>3343.55</v>
      </c>
      <c r="AG60" s="458">
        <v>3343.55</v>
      </c>
      <c r="AH60" s="458">
        <v>40122.600000000006</v>
      </c>
      <c r="AI60" s="391" t="s">
        <v>634</v>
      </c>
      <c r="AJ60" s="328">
        <v>1</v>
      </c>
      <c r="AK60" s="363">
        <v>3343.55</v>
      </c>
      <c r="AL60" s="458">
        <v>3343.55</v>
      </c>
      <c r="AM60" s="458">
        <v>40122.600000000006</v>
      </c>
      <c r="AO60" s="328">
        <v>1</v>
      </c>
      <c r="AP60" s="363">
        <v>3343.55</v>
      </c>
      <c r="AQ60" s="458">
        <v>3343.55</v>
      </c>
      <c r="AR60" s="458">
        <v>40122.600000000006</v>
      </c>
      <c r="AT60" s="328">
        <v>1</v>
      </c>
      <c r="AU60" s="363">
        <f>'[3]Orçam 2'!$D$137</f>
        <v>4148.87</v>
      </c>
      <c r="AV60" s="458">
        <f>AU60*AT60</f>
        <v>4148.87</v>
      </c>
      <c r="AW60" s="458">
        <f>AV60*12</f>
        <v>49786.44</v>
      </c>
      <c r="AX60" s="328">
        <v>0</v>
      </c>
      <c r="AY60" s="328">
        <v>0</v>
      </c>
      <c r="AZ60" s="328">
        <f>AX60-AY60</f>
        <v>0</v>
      </c>
      <c r="BA60" s="363">
        <f>BA56</f>
        <v>4375.5894803949386</v>
      </c>
      <c r="BB60" s="461">
        <f>BA60*AX60</f>
        <v>0</v>
      </c>
      <c r="BC60" s="458">
        <f>BB60*12</f>
        <v>0</v>
      </c>
    </row>
    <row r="61" spans="2:58">
      <c r="B61" s="259"/>
      <c r="C61" s="258" t="s">
        <v>635</v>
      </c>
      <c r="D61" s="259" t="s">
        <v>577</v>
      </c>
      <c r="E61" s="259"/>
      <c r="F61" s="259"/>
      <c r="G61" s="259"/>
      <c r="H61" s="259"/>
      <c r="I61" s="259"/>
      <c r="J61" s="259"/>
      <c r="AA61" s="259"/>
      <c r="AB61" s="259"/>
      <c r="AC61" s="259"/>
      <c r="AF61" s="286"/>
      <c r="AG61" s="259"/>
      <c r="AH61" s="259"/>
      <c r="AK61" s="286"/>
      <c r="AL61" s="259"/>
      <c r="AM61" s="259"/>
      <c r="AP61" s="286"/>
      <c r="AQ61" s="259"/>
      <c r="AR61" s="259"/>
      <c r="AU61" s="286"/>
      <c r="AV61" s="259"/>
      <c r="AW61" s="259"/>
      <c r="BA61" s="286"/>
      <c r="BB61" s="259"/>
      <c r="BC61" s="259"/>
    </row>
    <row r="62" spans="2:58" ht="47.25">
      <c r="B62" s="260" t="s">
        <v>581</v>
      </c>
      <c r="C62" s="261" t="s">
        <v>267</v>
      </c>
      <c r="D62" s="261" t="s">
        <v>582</v>
      </c>
      <c r="E62" s="261" t="s">
        <v>583</v>
      </c>
      <c r="F62" s="261" t="s">
        <v>584</v>
      </c>
      <c r="G62" s="261" t="s">
        <v>585</v>
      </c>
      <c r="H62" s="261" t="s">
        <v>583</v>
      </c>
      <c r="I62" s="261" t="s">
        <v>584</v>
      </c>
      <c r="J62" s="261" t="s">
        <v>585</v>
      </c>
      <c r="K62" s="261" t="s">
        <v>586</v>
      </c>
      <c r="L62" s="261" t="s">
        <v>587</v>
      </c>
      <c r="M62" s="261" t="s">
        <v>598</v>
      </c>
      <c r="N62" s="261" t="s">
        <v>588</v>
      </c>
      <c r="Z62" s="261" t="s">
        <v>590</v>
      </c>
      <c r="AA62" s="261" t="s">
        <v>583</v>
      </c>
      <c r="AB62" s="261" t="s">
        <v>584</v>
      </c>
      <c r="AC62" s="261" t="s">
        <v>585</v>
      </c>
      <c r="AE62" s="261" t="s">
        <v>566</v>
      </c>
      <c r="AF62" s="262" t="s">
        <v>583</v>
      </c>
      <c r="AG62" s="261" t="s">
        <v>584</v>
      </c>
      <c r="AH62" s="261" t="s">
        <v>585</v>
      </c>
      <c r="AJ62" s="261" t="s">
        <v>566</v>
      </c>
      <c r="AK62" s="262" t="s">
        <v>583</v>
      </c>
      <c r="AL62" s="261" t="s">
        <v>584</v>
      </c>
      <c r="AM62" s="261" t="s">
        <v>585</v>
      </c>
      <c r="AO62" s="261" t="s">
        <v>566</v>
      </c>
      <c r="AP62" s="262" t="s">
        <v>583</v>
      </c>
      <c r="AQ62" s="261" t="s">
        <v>584</v>
      </c>
      <c r="AR62" s="261" t="s">
        <v>585</v>
      </c>
      <c r="AT62" s="261" t="s">
        <v>566</v>
      </c>
      <c r="AU62" s="262" t="s">
        <v>583</v>
      </c>
      <c r="AV62" s="261" t="s">
        <v>584</v>
      </c>
      <c r="AW62" s="261" t="s">
        <v>585</v>
      </c>
      <c r="AX62" s="261" t="s">
        <v>566</v>
      </c>
      <c r="AY62" s="261"/>
      <c r="AZ62" s="261"/>
      <c r="BA62" s="262" t="s">
        <v>583</v>
      </c>
      <c r="BB62" s="430" t="s">
        <v>584</v>
      </c>
      <c r="BC62" s="261" t="s">
        <v>585</v>
      </c>
      <c r="BF62" s="452"/>
    </row>
    <row r="63" spans="2:58" s="391" customFormat="1">
      <c r="B63" s="472">
        <v>2</v>
      </c>
      <c r="C63" s="495" t="s">
        <v>1</v>
      </c>
      <c r="D63" s="496">
        <v>1</v>
      </c>
      <c r="E63" s="496">
        <v>1970.65</v>
      </c>
      <c r="F63" s="496">
        <v>1970.65</v>
      </c>
      <c r="G63" s="496">
        <v>23647.800000000003</v>
      </c>
      <c r="H63" s="475">
        <f>'[3]Recepção 2'!$D$137</f>
        <v>2622.17</v>
      </c>
      <c r="I63" s="481">
        <f>D63*H63</f>
        <v>2622.17</v>
      </c>
      <c r="J63" s="481">
        <f>I63*12</f>
        <v>31466.04</v>
      </c>
      <c r="K63" s="498" t="s">
        <v>591</v>
      </c>
      <c r="L63" s="478">
        <f>I63*2</f>
        <v>5244.34</v>
      </c>
      <c r="M63" s="479">
        <v>802047</v>
      </c>
      <c r="N63" s="480" t="s">
        <v>602</v>
      </c>
      <c r="O63" s="480"/>
      <c r="P63" s="480"/>
      <c r="Q63" s="480"/>
      <c r="R63" s="480"/>
      <c r="S63" s="480"/>
      <c r="T63" s="480"/>
      <c r="U63" s="480"/>
      <c r="V63" s="480"/>
      <c r="W63" s="480"/>
      <c r="X63" s="480"/>
      <c r="Y63" s="480"/>
      <c r="Z63" s="496">
        <v>1</v>
      </c>
      <c r="AA63" s="475">
        <v>1970.65</v>
      </c>
      <c r="AB63" s="481">
        <v>1970.65</v>
      </c>
      <c r="AC63" s="481">
        <v>23647.800000000003</v>
      </c>
      <c r="AD63" s="480"/>
      <c r="AE63" s="496">
        <v>1</v>
      </c>
      <c r="AF63" s="482">
        <v>2211.4299999999998</v>
      </c>
      <c r="AG63" s="481">
        <v>2211.4299999999998</v>
      </c>
      <c r="AH63" s="481">
        <v>26537.159999999996</v>
      </c>
      <c r="AI63" s="480"/>
      <c r="AJ63" s="496">
        <v>1</v>
      </c>
      <c r="AK63" s="482">
        <v>2211.4299999999998</v>
      </c>
      <c r="AL63" s="481">
        <v>2211.4299999999998</v>
      </c>
      <c r="AM63" s="481">
        <v>26537.159999999996</v>
      </c>
      <c r="AN63" s="480"/>
      <c r="AO63" s="496">
        <v>1</v>
      </c>
      <c r="AP63" s="482">
        <v>2211.4299999999998</v>
      </c>
      <c r="AQ63" s="481">
        <v>2211.4299999999998</v>
      </c>
      <c r="AR63" s="481">
        <v>26537.159999999996</v>
      </c>
      <c r="AS63" s="480"/>
      <c r="AT63" s="496">
        <v>1</v>
      </c>
      <c r="AU63" s="482">
        <f>'[3]Recepção 2'!$D$137</f>
        <v>2622.17</v>
      </c>
      <c r="AV63" s="481">
        <f>AU63*AT63</f>
        <v>2622.17</v>
      </c>
      <c r="AW63" s="481">
        <f>AV63*12</f>
        <v>31466.04</v>
      </c>
      <c r="AX63" s="496">
        <v>1</v>
      </c>
      <c r="AY63" s="496">
        <v>0</v>
      </c>
      <c r="AZ63" s="496">
        <f>AX63-AY63</f>
        <v>1</v>
      </c>
      <c r="BA63" s="482">
        <f>BA59</f>
        <v>3172.5502639618517</v>
      </c>
      <c r="BB63" s="483">
        <f>BA63*AX63</f>
        <v>3172.5502639618517</v>
      </c>
      <c r="BC63" s="481">
        <f>BB63*12</f>
        <v>38070.60316754222</v>
      </c>
    </row>
    <row r="64" spans="2:58" s="391" customFormat="1">
      <c r="B64" s="344">
        <v>11</v>
      </c>
      <c r="C64" s="457" t="s">
        <v>564</v>
      </c>
      <c r="D64" s="328">
        <v>2</v>
      </c>
      <c r="E64" s="328">
        <v>2924.41</v>
      </c>
      <c r="F64" s="328">
        <v>5848.82</v>
      </c>
      <c r="G64" s="328">
        <v>70185.84</v>
      </c>
      <c r="H64" s="362">
        <f>'[3]Orçam 2'!$D$137</f>
        <v>4148.87</v>
      </c>
      <c r="I64" s="458">
        <f>D64*H64</f>
        <v>8297.74</v>
      </c>
      <c r="J64" s="458">
        <f>I64*12</f>
        <v>99572.88</v>
      </c>
      <c r="K64" s="459" t="s">
        <v>591</v>
      </c>
      <c r="L64" s="460">
        <f>I64*2</f>
        <v>16595.48</v>
      </c>
      <c r="M64" s="397">
        <v>802047</v>
      </c>
      <c r="N64" s="391" t="s">
        <v>602</v>
      </c>
      <c r="Z64" s="328">
        <v>2</v>
      </c>
      <c r="AA64" s="362">
        <v>2924.41</v>
      </c>
      <c r="AB64" s="458">
        <v>5848.82</v>
      </c>
      <c r="AC64" s="458">
        <v>70185.84</v>
      </c>
      <c r="AE64" s="328">
        <v>2</v>
      </c>
      <c r="AF64" s="363">
        <v>3343.55</v>
      </c>
      <c r="AG64" s="458">
        <v>6687.1</v>
      </c>
      <c r="AH64" s="458">
        <v>80245.200000000012</v>
      </c>
      <c r="AJ64" s="328">
        <v>2</v>
      </c>
      <c r="AK64" s="363">
        <v>3343.55</v>
      </c>
      <c r="AL64" s="458">
        <v>6687.1</v>
      </c>
      <c r="AM64" s="458">
        <v>80245.200000000012</v>
      </c>
      <c r="AO64" s="328">
        <v>2</v>
      </c>
      <c r="AP64" s="363">
        <v>3343.55</v>
      </c>
      <c r="AQ64" s="458">
        <v>6687.1</v>
      </c>
      <c r="AR64" s="458">
        <v>80245.200000000012</v>
      </c>
      <c r="AT64" s="328">
        <v>2</v>
      </c>
      <c r="AU64" s="363">
        <f>'[3]Orçam 2'!$D$137</f>
        <v>4148.87</v>
      </c>
      <c r="AV64" s="458">
        <f>AU64*AT64</f>
        <v>8297.74</v>
      </c>
      <c r="AW64" s="458">
        <f>AV64*12</f>
        <v>99572.88</v>
      </c>
      <c r="AX64" s="328">
        <v>0</v>
      </c>
      <c r="AY64" s="328">
        <v>0</v>
      </c>
      <c r="AZ64" s="328">
        <f>AX64-AY64</f>
        <v>0</v>
      </c>
      <c r="BA64" s="363">
        <f>BA60</f>
        <v>4375.5894803949386</v>
      </c>
      <c r="BB64" s="461">
        <f>BA64*AX64</f>
        <v>0</v>
      </c>
      <c r="BC64" s="458">
        <f>BB64*12</f>
        <v>0</v>
      </c>
    </row>
    <row r="65" spans="2:55">
      <c r="B65" s="259"/>
      <c r="C65" s="258" t="s">
        <v>636</v>
      </c>
      <c r="D65" s="259" t="s">
        <v>577</v>
      </c>
      <c r="E65" s="259"/>
      <c r="F65" s="259"/>
      <c r="G65" s="259"/>
      <c r="H65" s="259"/>
      <c r="I65" s="259"/>
      <c r="J65" s="259"/>
      <c r="AA65" s="259"/>
      <c r="AB65" s="259"/>
      <c r="AC65" s="259"/>
      <c r="AF65" s="286"/>
      <c r="AG65" s="259"/>
      <c r="AH65" s="259"/>
      <c r="AK65" s="286"/>
      <c r="AL65" s="259"/>
      <c r="AM65" s="259"/>
      <c r="AP65" s="286"/>
      <c r="AQ65" s="259"/>
      <c r="AR65" s="259"/>
      <c r="AU65" s="286"/>
      <c r="AV65" s="259"/>
      <c r="AW65" s="259"/>
      <c r="BA65" s="286"/>
      <c r="BB65" s="259"/>
      <c r="BC65" s="259"/>
    </row>
    <row r="66" spans="2:55" ht="47.25">
      <c r="B66" s="260" t="s">
        <v>581</v>
      </c>
      <c r="C66" s="261" t="s">
        <v>267</v>
      </c>
      <c r="D66" s="261" t="s">
        <v>582</v>
      </c>
      <c r="E66" s="261" t="s">
        <v>583</v>
      </c>
      <c r="F66" s="261" t="s">
        <v>584</v>
      </c>
      <c r="G66" s="261" t="s">
        <v>585</v>
      </c>
      <c r="H66" s="261" t="s">
        <v>583</v>
      </c>
      <c r="I66" s="261" t="s">
        <v>584</v>
      </c>
      <c r="J66" s="261" t="s">
        <v>585</v>
      </c>
      <c r="K66" s="261" t="s">
        <v>586</v>
      </c>
      <c r="L66" s="261" t="s">
        <v>587</v>
      </c>
      <c r="M66" s="261" t="s">
        <v>598</v>
      </c>
      <c r="N66" s="261" t="s">
        <v>588</v>
      </c>
      <c r="Z66" s="261" t="s">
        <v>590</v>
      </c>
      <c r="AA66" s="261" t="s">
        <v>583</v>
      </c>
      <c r="AB66" s="261" t="s">
        <v>584</v>
      </c>
      <c r="AC66" s="261" t="s">
        <v>585</v>
      </c>
      <c r="AE66" s="261" t="s">
        <v>566</v>
      </c>
      <c r="AF66" s="262" t="s">
        <v>583</v>
      </c>
      <c r="AG66" s="261" t="s">
        <v>584</v>
      </c>
      <c r="AH66" s="261" t="s">
        <v>585</v>
      </c>
      <c r="AJ66" s="261" t="s">
        <v>566</v>
      </c>
      <c r="AK66" s="262" t="s">
        <v>583</v>
      </c>
      <c r="AL66" s="261" t="s">
        <v>584</v>
      </c>
      <c r="AM66" s="261" t="s">
        <v>585</v>
      </c>
      <c r="AO66" s="261" t="s">
        <v>566</v>
      </c>
      <c r="AP66" s="262" t="s">
        <v>583</v>
      </c>
      <c r="AQ66" s="261" t="s">
        <v>584</v>
      </c>
      <c r="AR66" s="261" t="s">
        <v>585</v>
      </c>
      <c r="AT66" s="261" t="s">
        <v>566</v>
      </c>
      <c r="AU66" s="262" t="s">
        <v>583</v>
      </c>
      <c r="AV66" s="261" t="s">
        <v>584</v>
      </c>
      <c r="AW66" s="261" t="s">
        <v>585</v>
      </c>
      <c r="AX66" s="261" t="s">
        <v>566</v>
      </c>
      <c r="AY66" s="261"/>
      <c r="AZ66" s="261"/>
      <c r="BA66" s="262" t="s">
        <v>583</v>
      </c>
      <c r="BB66" s="430" t="s">
        <v>584</v>
      </c>
      <c r="BC66" s="261" t="s">
        <v>585</v>
      </c>
    </row>
    <row r="67" spans="2:55">
      <c r="B67" s="263">
        <v>2</v>
      </c>
      <c r="C67" s="264" t="s">
        <v>1</v>
      </c>
      <c r="D67" s="265">
        <v>1</v>
      </c>
      <c r="E67" s="265">
        <v>1970.65</v>
      </c>
      <c r="F67" s="265">
        <v>1970.65</v>
      </c>
      <c r="G67" s="265">
        <v>23647.800000000003</v>
      </c>
      <c r="H67" s="266">
        <f>'[3]Recepção 2'!$D$137</f>
        <v>2622.17</v>
      </c>
      <c r="I67" s="267">
        <f>D67*H67</f>
        <v>2622.17</v>
      </c>
      <c r="J67" s="267">
        <f>I67*12</f>
        <v>31466.04</v>
      </c>
      <c r="K67" s="272" t="s">
        <v>591</v>
      </c>
      <c r="L67" s="269">
        <f>I67*2</f>
        <v>5244.34</v>
      </c>
      <c r="M67" s="288">
        <v>802048</v>
      </c>
      <c r="N67" s="249" t="s">
        <v>602</v>
      </c>
      <c r="Z67" s="265">
        <v>1</v>
      </c>
      <c r="AA67" s="266">
        <v>1970.65</v>
      </c>
      <c r="AB67" s="267">
        <v>1970.65</v>
      </c>
      <c r="AC67" s="267">
        <v>23647.800000000003</v>
      </c>
      <c r="AE67" s="265">
        <v>1</v>
      </c>
      <c r="AF67" s="271">
        <v>2211.4299999999998</v>
      </c>
      <c r="AG67" s="267">
        <v>2211.4299999999998</v>
      </c>
      <c r="AH67" s="267">
        <v>26537.159999999996</v>
      </c>
      <c r="AJ67" s="265">
        <v>1</v>
      </c>
      <c r="AK67" s="271">
        <v>2211.4299999999998</v>
      </c>
      <c r="AL67" s="267">
        <v>2211.4299999999998</v>
      </c>
      <c r="AM67" s="267">
        <v>26537.159999999996</v>
      </c>
      <c r="AO67" s="265">
        <v>1</v>
      </c>
      <c r="AP67" s="271">
        <v>2211.4299999999998</v>
      </c>
      <c r="AQ67" s="267">
        <v>2211.4299999999998</v>
      </c>
      <c r="AR67" s="267">
        <v>26537.159999999996</v>
      </c>
      <c r="AT67" s="265">
        <v>1</v>
      </c>
      <c r="AU67" s="271">
        <f>'[3]Recepção 2'!$D$137</f>
        <v>2622.17</v>
      </c>
      <c r="AV67" s="267">
        <f>AU67*AT67</f>
        <v>2622.17</v>
      </c>
      <c r="AW67" s="267">
        <f>AV67*12</f>
        <v>31466.04</v>
      </c>
      <c r="AX67" s="265">
        <v>0</v>
      </c>
      <c r="AY67" s="265">
        <v>0</v>
      </c>
      <c r="AZ67" s="265">
        <v>0</v>
      </c>
      <c r="BA67" s="271">
        <f>BA63</f>
        <v>3172.5502639618517</v>
      </c>
      <c r="BB67" s="432">
        <f>BA67*AX67</f>
        <v>0</v>
      </c>
      <c r="BC67" s="267">
        <f>BB67*12</f>
        <v>0</v>
      </c>
    </row>
    <row r="68" spans="2:55">
      <c r="B68" s="263">
        <v>11</v>
      </c>
      <c r="C68" s="264" t="s">
        <v>564</v>
      </c>
      <c r="D68" s="270">
        <v>1</v>
      </c>
      <c r="E68" s="270">
        <v>2924.41</v>
      </c>
      <c r="F68" s="270">
        <v>2924.41</v>
      </c>
      <c r="G68" s="270">
        <v>35092.92</v>
      </c>
      <c r="H68" s="266">
        <f>'[3]Orçam 2'!$D$137</f>
        <v>4148.87</v>
      </c>
      <c r="I68" s="267">
        <f>D68*H68</f>
        <v>4148.87</v>
      </c>
      <c r="J68" s="267">
        <f>I68*12</f>
        <v>49786.44</v>
      </c>
      <c r="K68" s="272" t="s">
        <v>591</v>
      </c>
      <c r="L68" s="269">
        <f>I68*2</f>
        <v>8297.74</v>
      </c>
      <c r="M68" s="288">
        <v>802048</v>
      </c>
      <c r="N68" s="249" t="s">
        <v>602</v>
      </c>
      <c r="Z68" s="270">
        <v>1</v>
      </c>
      <c r="AA68" s="266">
        <v>2924.41</v>
      </c>
      <c r="AB68" s="267">
        <v>2924.41</v>
      </c>
      <c r="AC68" s="267">
        <v>35092.92</v>
      </c>
      <c r="AE68" s="270">
        <v>1</v>
      </c>
      <c r="AF68" s="271">
        <v>3343.55</v>
      </c>
      <c r="AG68" s="267">
        <v>3343.55</v>
      </c>
      <c r="AH68" s="267">
        <v>40122.600000000006</v>
      </c>
      <c r="AJ68" s="270">
        <v>1</v>
      </c>
      <c r="AK68" s="271">
        <v>3343.55</v>
      </c>
      <c r="AL68" s="267">
        <v>3343.55</v>
      </c>
      <c r="AM68" s="267">
        <v>40122.600000000006</v>
      </c>
      <c r="AO68" s="270">
        <v>1</v>
      </c>
      <c r="AP68" s="271">
        <v>3343.55</v>
      </c>
      <c r="AQ68" s="267">
        <v>3343.55</v>
      </c>
      <c r="AR68" s="267">
        <v>40122.600000000006</v>
      </c>
      <c r="AT68" s="270">
        <v>1</v>
      </c>
      <c r="AU68" s="271">
        <f>'[3]Orçam 2'!$D$137</f>
        <v>4148.87</v>
      </c>
      <c r="AV68" s="267">
        <f>AU68*AT68</f>
        <v>4148.87</v>
      </c>
      <c r="AW68" s="267">
        <f>AV68*12</f>
        <v>49786.44</v>
      </c>
      <c r="AX68" s="270">
        <v>0</v>
      </c>
      <c r="AY68" s="270">
        <v>0</v>
      </c>
      <c r="AZ68" s="270">
        <v>0</v>
      </c>
      <c r="BA68" s="271">
        <f>BA64</f>
        <v>4375.5894803949386</v>
      </c>
      <c r="BB68" s="432">
        <f>BA68*AX68</f>
        <v>0</v>
      </c>
      <c r="BC68" s="267">
        <f>BB68*12</f>
        <v>0</v>
      </c>
    </row>
    <row r="69" spans="2:55">
      <c r="B69" s="259"/>
      <c r="C69" s="258" t="s">
        <v>637</v>
      </c>
      <c r="D69" s="259" t="s">
        <v>577</v>
      </c>
      <c r="E69" s="259"/>
      <c r="F69" s="259"/>
      <c r="G69" s="259"/>
      <c r="H69" s="259"/>
      <c r="I69" s="259"/>
      <c r="J69" s="259"/>
      <c r="AA69" s="259"/>
      <c r="AB69" s="259"/>
      <c r="AC69" s="259"/>
      <c r="AF69" s="286"/>
      <c r="AG69" s="259"/>
      <c r="AH69" s="259"/>
      <c r="AK69" s="286"/>
      <c r="AL69" s="259"/>
      <c r="AM69" s="259"/>
      <c r="AP69" s="286"/>
      <c r="AQ69" s="259"/>
      <c r="AR69" s="259"/>
      <c r="AU69" s="286"/>
      <c r="AV69" s="259"/>
      <c r="AW69" s="259"/>
      <c r="BA69" s="286"/>
      <c r="BB69" s="259"/>
      <c r="BC69" s="259"/>
    </row>
    <row r="70" spans="2:55" ht="47.25">
      <c r="B70" s="260" t="s">
        <v>581</v>
      </c>
      <c r="C70" s="261" t="s">
        <v>267</v>
      </c>
      <c r="D70" s="261" t="s">
        <v>582</v>
      </c>
      <c r="E70" s="261" t="s">
        <v>583</v>
      </c>
      <c r="F70" s="261" t="s">
        <v>584</v>
      </c>
      <c r="G70" s="261" t="s">
        <v>585</v>
      </c>
      <c r="H70" s="261" t="s">
        <v>583</v>
      </c>
      <c r="I70" s="261" t="s">
        <v>584</v>
      </c>
      <c r="J70" s="261" t="s">
        <v>585</v>
      </c>
      <c r="K70" s="261" t="s">
        <v>586</v>
      </c>
      <c r="L70" s="261" t="s">
        <v>587</v>
      </c>
      <c r="M70" s="261" t="s">
        <v>598</v>
      </c>
      <c r="N70" s="261" t="s">
        <v>588</v>
      </c>
      <c r="Z70" s="261" t="s">
        <v>590</v>
      </c>
      <c r="AA70" s="261" t="s">
        <v>583</v>
      </c>
      <c r="AB70" s="261" t="s">
        <v>584</v>
      </c>
      <c r="AC70" s="261" t="s">
        <v>585</v>
      </c>
      <c r="AE70" s="261" t="s">
        <v>566</v>
      </c>
      <c r="AF70" s="262" t="s">
        <v>583</v>
      </c>
      <c r="AG70" s="261" t="s">
        <v>584</v>
      </c>
      <c r="AH70" s="261" t="s">
        <v>585</v>
      </c>
      <c r="AJ70" s="261" t="s">
        <v>566</v>
      </c>
      <c r="AK70" s="262" t="s">
        <v>583</v>
      </c>
      <c r="AL70" s="261" t="s">
        <v>584</v>
      </c>
      <c r="AM70" s="261" t="s">
        <v>585</v>
      </c>
      <c r="AO70" s="261" t="s">
        <v>566</v>
      </c>
      <c r="AP70" s="262" t="s">
        <v>583</v>
      </c>
      <c r="AQ70" s="261" t="s">
        <v>584</v>
      </c>
      <c r="AR70" s="261" t="s">
        <v>585</v>
      </c>
      <c r="AT70" s="261" t="s">
        <v>566</v>
      </c>
      <c r="AU70" s="262" t="s">
        <v>583</v>
      </c>
      <c r="AV70" s="261" t="s">
        <v>584</v>
      </c>
      <c r="AW70" s="261" t="s">
        <v>585</v>
      </c>
      <c r="AX70" s="261" t="s">
        <v>566</v>
      </c>
      <c r="AY70" s="261"/>
      <c r="AZ70" s="261"/>
      <c r="BA70" s="262" t="s">
        <v>583</v>
      </c>
      <c r="BB70" s="430" t="s">
        <v>584</v>
      </c>
      <c r="BC70" s="261" t="s">
        <v>585</v>
      </c>
    </row>
    <row r="71" spans="2:55">
      <c r="B71" s="263">
        <v>2</v>
      </c>
      <c r="C71" s="264" t="s">
        <v>1</v>
      </c>
      <c r="D71" s="265">
        <v>2</v>
      </c>
      <c r="E71" s="266">
        <v>1970.65</v>
      </c>
      <c r="F71" s="267">
        <v>3941.3</v>
      </c>
      <c r="G71" s="267">
        <v>47295.600000000006</v>
      </c>
      <c r="H71" s="266">
        <f>'[3]Recepção 2'!$D$137</f>
        <v>2622.17</v>
      </c>
      <c r="I71" s="267">
        <f>D71*H71</f>
        <v>5244.34</v>
      </c>
      <c r="J71" s="267">
        <f>I71*12</f>
        <v>62932.08</v>
      </c>
      <c r="K71" s="272" t="s">
        <v>591</v>
      </c>
      <c r="L71" s="269">
        <f>I71*2</f>
        <v>10488.68</v>
      </c>
      <c r="M71" s="288">
        <v>802049</v>
      </c>
      <c r="N71" s="249" t="s">
        <v>602</v>
      </c>
      <c r="Z71" s="265">
        <v>2</v>
      </c>
      <c r="AA71" s="266">
        <v>1970.65</v>
      </c>
      <c r="AB71" s="267">
        <v>3941.3</v>
      </c>
      <c r="AC71" s="267">
        <v>47295.600000000006</v>
      </c>
      <c r="AE71" s="265">
        <v>2</v>
      </c>
      <c r="AF71" s="271">
        <v>2211.4299999999998</v>
      </c>
      <c r="AG71" s="267">
        <v>4422.8599999999997</v>
      </c>
      <c r="AH71" s="267">
        <v>53074.319999999992</v>
      </c>
      <c r="AJ71" s="265">
        <v>2</v>
      </c>
      <c r="AK71" s="271">
        <v>2211.4299999999998</v>
      </c>
      <c r="AL71" s="267">
        <v>4422.8599999999997</v>
      </c>
      <c r="AM71" s="267">
        <v>53074.319999999992</v>
      </c>
      <c r="AO71" s="265">
        <v>2</v>
      </c>
      <c r="AP71" s="271">
        <v>2211.4299999999998</v>
      </c>
      <c r="AQ71" s="267">
        <v>4422.8599999999997</v>
      </c>
      <c r="AR71" s="267">
        <v>53074.319999999992</v>
      </c>
      <c r="AT71" s="265">
        <v>2</v>
      </c>
      <c r="AU71" s="271">
        <f>'[3]Recepção 2'!$D$137</f>
        <v>2622.17</v>
      </c>
      <c r="AV71" s="267">
        <f>AU71*AT71</f>
        <v>5244.34</v>
      </c>
      <c r="AW71" s="267">
        <f>AV71*12</f>
        <v>62932.08</v>
      </c>
      <c r="AX71" s="455">
        <v>2</v>
      </c>
      <c r="AY71" s="265">
        <v>2</v>
      </c>
      <c r="AZ71" s="265">
        <f>AX71-AY71</f>
        <v>0</v>
      </c>
      <c r="BA71" s="271">
        <f>BA24</f>
        <v>3172.5502639618517</v>
      </c>
      <c r="BB71" s="432">
        <f>BA71*AX71</f>
        <v>6345.1005279237033</v>
      </c>
      <c r="BC71" s="267">
        <f>BB71*12</f>
        <v>76141.20633508444</v>
      </c>
    </row>
    <row r="72" spans="2:55">
      <c r="B72" s="263">
        <v>5</v>
      </c>
      <c r="C72" s="264" t="s">
        <v>562</v>
      </c>
      <c r="D72" s="265">
        <v>2</v>
      </c>
      <c r="E72" s="266">
        <v>1714.13</v>
      </c>
      <c r="F72" s="267">
        <v>3428.26</v>
      </c>
      <c r="G72" s="267">
        <v>41139.120000000003</v>
      </c>
      <c r="H72" s="266">
        <f>'[3]ASG 2'!$D$137</f>
        <v>2295.14</v>
      </c>
      <c r="I72" s="267">
        <f>D72*H72</f>
        <v>4590.28</v>
      </c>
      <c r="J72" s="267">
        <f>I72*12</f>
        <v>55083.360000000001</v>
      </c>
      <c r="K72" s="272" t="s">
        <v>591</v>
      </c>
      <c r="L72" s="269">
        <f>I72*2</f>
        <v>9180.56</v>
      </c>
      <c r="M72" s="288">
        <v>802049</v>
      </c>
      <c r="N72" s="249" t="s">
        <v>602</v>
      </c>
      <c r="Z72" s="265">
        <v>2</v>
      </c>
      <c r="AA72" s="266">
        <v>1714.13</v>
      </c>
      <c r="AB72" s="267">
        <v>3428.26</v>
      </c>
      <c r="AC72" s="267">
        <v>41139.120000000003</v>
      </c>
      <c r="AE72" s="265">
        <v>2</v>
      </c>
      <c r="AF72" s="271">
        <v>1912.22</v>
      </c>
      <c r="AG72" s="267">
        <v>3824.44</v>
      </c>
      <c r="AH72" s="267">
        <v>45893.279999999999</v>
      </c>
      <c r="AJ72" s="265">
        <v>2</v>
      </c>
      <c r="AK72" s="271">
        <v>1912.22</v>
      </c>
      <c r="AL72" s="267">
        <v>3824.44</v>
      </c>
      <c r="AM72" s="267">
        <v>45893.279999999999</v>
      </c>
      <c r="AO72" s="265">
        <v>2</v>
      </c>
      <c r="AP72" s="271">
        <v>1912.22</v>
      </c>
      <c r="AQ72" s="267">
        <v>3824.44</v>
      </c>
      <c r="AR72" s="267">
        <v>45893.279999999999</v>
      </c>
      <c r="AT72" s="265">
        <v>2</v>
      </c>
      <c r="AU72" s="271">
        <f>'[3]ASG 2'!$D$137</f>
        <v>2295.14</v>
      </c>
      <c r="AV72" s="267">
        <f>AU72*AT72</f>
        <v>4590.28</v>
      </c>
      <c r="AW72" s="267">
        <f>AV72*12</f>
        <v>55083.360000000001</v>
      </c>
      <c r="AX72" s="455">
        <v>1</v>
      </c>
      <c r="AY72" s="265">
        <v>1</v>
      </c>
      <c r="AZ72" s="265">
        <f t="shared" ref="AZ72:AZ74" si="51">AX72-AY72</f>
        <v>0</v>
      </c>
      <c r="BA72" s="271">
        <f>BA27</f>
        <v>2766.8942962220963</v>
      </c>
      <c r="BB72" s="432">
        <f>BA72*AX72</f>
        <v>2766.8942962220963</v>
      </c>
      <c r="BC72" s="267">
        <f>BB72*12</f>
        <v>33202.731554665152</v>
      </c>
    </row>
    <row r="73" spans="2:55">
      <c r="B73" s="303">
        <v>8</v>
      </c>
      <c r="C73" s="304" t="s">
        <v>638</v>
      </c>
      <c r="D73" s="305">
        <v>0</v>
      </c>
      <c r="E73" s="305" t="s">
        <v>596</v>
      </c>
      <c r="F73" s="305" t="s">
        <v>596</v>
      </c>
      <c r="G73" s="305" t="s">
        <v>596</v>
      </c>
      <c r="H73" s="306" t="s">
        <v>596</v>
      </c>
      <c r="I73" s="307" t="s">
        <v>596</v>
      </c>
      <c r="J73" s="307" t="s">
        <v>596</v>
      </c>
      <c r="K73" s="308"/>
      <c r="L73" s="309"/>
      <c r="M73" s="310"/>
      <c r="N73" s="311"/>
      <c r="O73" s="311"/>
      <c r="P73" s="311"/>
      <c r="Q73" s="311"/>
      <c r="R73" s="311"/>
      <c r="S73" s="311"/>
      <c r="T73" s="311"/>
      <c r="U73" s="311"/>
      <c r="V73" s="311"/>
      <c r="W73" s="311"/>
      <c r="X73" s="311"/>
      <c r="Y73" s="311"/>
      <c r="Z73" s="305">
        <v>1</v>
      </c>
      <c r="AA73" s="306">
        <v>3194.68</v>
      </c>
      <c r="AB73" s="307">
        <v>3194.68</v>
      </c>
      <c r="AC73" s="307">
        <v>38336.159999999996</v>
      </c>
      <c r="AE73" s="305">
        <v>1</v>
      </c>
      <c r="AF73" s="312">
        <v>3194.68</v>
      </c>
      <c r="AG73" s="307">
        <v>3194.68</v>
      </c>
      <c r="AH73" s="307">
        <v>38336.159999999996</v>
      </c>
      <c r="AJ73" s="305">
        <v>1</v>
      </c>
      <c r="AK73" s="312">
        <v>2953.93</v>
      </c>
      <c r="AL73" s="307">
        <v>2953.93</v>
      </c>
      <c r="AM73" s="307">
        <v>35447.159999999996</v>
      </c>
      <c r="AO73" s="305">
        <v>1</v>
      </c>
      <c r="AP73" s="312">
        <v>2953.93</v>
      </c>
      <c r="AQ73" s="307">
        <v>2953.93</v>
      </c>
      <c r="AR73" s="307">
        <v>35447.159999999996</v>
      </c>
      <c r="AT73" s="305">
        <v>1</v>
      </c>
      <c r="AU73" s="312">
        <f>'[3]Oficial 2'!$D$136</f>
        <v>3471.01</v>
      </c>
      <c r="AV73" s="307">
        <f>AU73*AT73</f>
        <v>3471.01</v>
      </c>
      <c r="AW73" s="307">
        <f>AV73*12</f>
        <v>41652.120000000003</v>
      </c>
      <c r="AX73" s="467">
        <v>1</v>
      </c>
      <c r="AY73" s="305">
        <v>1</v>
      </c>
      <c r="AZ73" s="265">
        <f t="shared" si="51"/>
        <v>0</v>
      </c>
      <c r="BA73" s="312">
        <f>BA29</f>
        <v>4085.2545348211606</v>
      </c>
      <c r="BB73" s="435">
        <f>BA73*AX73</f>
        <v>4085.2545348211606</v>
      </c>
      <c r="BC73" s="307">
        <f>BB73*12</f>
        <v>49023.054417853928</v>
      </c>
    </row>
    <row r="74" spans="2:55">
      <c r="B74" s="313">
        <v>9</v>
      </c>
      <c r="C74" s="314" t="s">
        <v>595</v>
      </c>
      <c r="D74" s="315">
        <v>0</v>
      </c>
      <c r="E74" s="316" t="s">
        <v>596</v>
      </c>
      <c r="F74" s="317" t="s">
        <v>596</v>
      </c>
      <c r="G74" s="317" t="s">
        <v>596</v>
      </c>
      <c r="H74" s="316" t="s">
        <v>596</v>
      </c>
      <c r="I74" s="317" t="s">
        <v>596</v>
      </c>
      <c r="J74" s="317" t="s">
        <v>596</v>
      </c>
      <c r="K74" s="318"/>
      <c r="L74" s="319"/>
      <c r="M74" s="320"/>
      <c r="N74" s="320"/>
      <c r="O74" s="320"/>
      <c r="P74" s="320"/>
      <c r="Q74" s="320"/>
      <c r="R74" s="320"/>
      <c r="S74" s="320"/>
      <c r="T74" s="320"/>
      <c r="U74" s="320"/>
      <c r="V74" s="320"/>
      <c r="W74" s="320"/>
      <c r="X74" s="320"/>
      <c r="Y74" s="320"/>
      <c r="Z74" s="315">
        <v>1</v>
      </c>
      <c r="AA74" s="316">
        <v>2292.4299999999998</v>
      </c>
      <c r="AB74" s="307">
        <v>2292.4299999999998</v>
      </c>
      <c r="AC74" s="307">
        <v>27509.159999999996</v>
      </c>
      <c r="AE74" s="315">
        <v>1</v>
      </c>
      <c r="AF74" s="321">
        <v>2560.02</v>
      </c>
      <c r="AG74" s="307">
        <v>2560.02</v>
      </c>
      <c r="AH74" s="307">
        <v>30720.239999999998</v>
      </c>
      <c r="AJ74" s="315">
        <v>1</v>
      </c>
      <c r="AK74" s="321">
        <v>2560.02</v>
      </c>
      <c r="AL74" s="307">
        <v>2560.02</v>
      </c>
      <c r="AM74" s="307">
        <v>30720.239999999998</v>
      </c>
      <c r="AO74" s="322">
        <v>0</v>
      </c>
      <c r="AP74" s="323">
        <v>2560.02</v>
      </c>
      <c r="AQ74" s="324">
        <v>0</v>
      </c>
      <c r="AR74" s="324">
        <v>0</v>
      </c>
      <c r="AS74" s="273" t="s">
        <v>639</v>
      </c>
      <c r="AT74" s="315">
        <v>0</v>
      </c>
      <c r="AU74" s="321">
        <f>'[3]Op. de maq. 2'!D138</f>
        <v>3029.63</v>
      </c>
      <c r="AV74" s="307">
        <f>AU74*AT74</f>
        <v>0</v>
      </c>
      <c r="AW74" s="307">
        <f>AV74*12</f>
        <v>0</v>
      </c>
      <c r="AX74" s="315">
        <v>0</v>
      </c>
      <c r="AY74" s="315">
        <v>0</v>
      </c>
      <c r="AZ74" s="265">
        <f t="shared" si="51"/>
        <v>0</v>
      </c>
      <c r="BA74" s="321" t="e">
        <f>#REF!</f>
        <v>#REF!</v>
      </c>
      <c r="BB74" s="435" t="e">
        <f>BA74*AX74</f>
        <v>#REF!</v>
      </c>
      <c r="BC74" s="307" t="e">
        <f>BB74*12</f>
        <v>#REF!</v>
      </c>
    </row>
    <row r="75" spans="2:55">
      <c r="B75" s="258" t="s">
        <v>640</v>
      </c>
      <c r="C75" s="259" t="s">
        <v>577</v>
      </c>
      <c r="E75" s="259"/>
      <c r="F75" s="259"/>
      <c r="G75" s="259"/>
      <c r="H75" s="514" t="s">
        <v>579</v>
      </c>
      <c r="I75" s="514"/>
      <c r="J75" s="514"/>
      <c r="AA75" s="514" t="s">
        <v>571</v>
      </c>
      <c r="AB75" s="514"/>
      <c r="AC75" s="514"/>
      <c r="AF75" s="514" t="s">
        <v>641</v>
      </c>
      <c r="AG75" s="514"/>
      <c r="AH75" s="514"/>
      <c r="AK75" s="514" t="s">
        <v>573</v>
      </c>
      <c r="AL75" s="514"/>
      <c r="AM75" s="514"/>
      <c r="AP75" s="514" t="s">
        <v>574</v>
      </c>
      <c r="AQ75" s="514"/>
      <c r="AR75" s="514"/>
      <c r="AU75" s="514" t="s">
        <v>574</v>
      </c>
      <c r="AV75" s="514"/>
      <c r="AW75" s="514"/>
      <c r="BA75" s="519"/>
      <c r="BB75" s="519"/>
      <c r="BC75" s="519"/>
    </row>
    <row r="76" spans="2:55" ht="47.25">
      <c r="B76" s="260" t="s">
        <v>581</v>
      </c>
      <c r="C76" s="261" t="s">
        <v>267</v>
      </c>
      <c r="D76" s="261" t="s">
        <v>582</v>
      </c>
      <c r="E76" s="261" t="s">
        <v>583</v>
      </c>
      <c r="F76" s="261" t="s">
        <v>584</v>
      </c>
      <c r="G76" s="261" t="s">
        <v>585</v>
      </c>
      <c r="H76" s="261" t="s">
        <v>583</v>
      </c>
      <c r="I76" s="261" t="s">
        <v>584</v>
      </c>
      <c r="J76" s="261" t="s">
        <v>585</v>
      </c>
      <c r="K76" s="261" t="s">
        <v>586</v>
      </c>
      <c r="L76" s="261" t="s">
        <v>587</v>
      </c>
      <c r="M76" s="261" t="s">
        <v>598</v>
      </c>
      <c r="N76" s="261" t="s">
        <v>588</v>
      </c>
      <c r="Z76" s="261" t="s">
        <v>590</v>
      </c>
      <c r="AA76" s="261" t="s">
        <v>583</v>
      </c>
      <c r="AB76" s="261" t="s">
        <v>584</v>
      </c>
      <c r="AC76" s="261" t="s">
        <v>585</v>
      </c>
      <c r="AE76" s="261" t="s">
        <v>566</v>
      </c>
      <c r="AF76" s="262" t="s">
        <v>583</v>
      </c>
      <c r="AG76" s="261" t="s">
        <v>584</v>
      </c>
      <c r="AH76" s="261" t="s">
        <v>585</v>
      </c>
      <c r="AJ76" s="261" t="s">
        <v>566</v>
      </c>
      <c r="AK76" s="262" t="s">
        <v>583</v>
      </c>
      <c r="AL76" s="261" t="s">
        <v>584</v>
      </c>
      <c r="AM76" s="261" t="s">
        <v>585</v>
      </c>
      <c r="AO76" s="261" t="s">
        <v>566</v>
      </c>
      <c r="AP76" s="262" t="s">
        <v>583</v>
      </c>
      <c r="AQ76" s="261" t="s">
        <v>584</v>
      </c>
      <c r="AR76" s="261" t="s">
        <v>585</v>
      </c>
      <c r="AT76" s="261" t="s">
        <v>566</v>
      </c>
      <c r="AU76" s="262" t="s">
        <v>583</v>
      </c>
      <c r="AV76" s="261" t="s">
        <v>584</v>
      </c>
      <c r="AW76" s="261" t="s">
        <v>585</v>
      </c>
      <c r="AX76" s="261" t="s">
        <v>566</v>
      </c>
      <c r="AY76" s="261"/>
      <c r="AZ76" s="261"/>
      <c r="BA76" s="262" t="s">
        <v>583</v>
      </c>
      <c r="BB76" s="430" t="s">
        <v>584</v>
      </c>
      <c r="BC76" s="261" t="s">
        <v>585</v>
      </c>
    </row>
    <row r="77" spans="2:55">
      <c r="B77" s="263">
        <v>2</v>
      </c>
      <c r="C77" s="264" t="s">
        <v>1</v>
      </c>
      <c r="D77" s="292">
        <v>1</v>
      </c>
      <c r="E77" s="266">
        <v>1970.65</v>
      </c>
      <c r="F77" s="267">
        <v>1970.65</v>
      </c>
      <c r="G77" s="267">
        <v>23647.800000000003</v>
      </c>
      <c r="H77" s="266">
        <f>'[3]Recepção 2'!$D$137</f>
        <v>2622.17</v>
      </c>
      <c r="I77" s="267">
        <f t="shared" ref="I77:I81" si="52">D77*H77</f>
        <v>2622.17</v>
      </c>
      <c r="J77" s="267">
        <f t="shared" ref="J77:J81" si="53">I77*12</f>
        <v>31466.04</v>
      </c>
      <c r="K77" s="272" t="s">
        <v>591</v>
      </c>
      <c r="L77" s="269">
        <f t="shared" ref="L77:L81" si="54">I77*2</f>
        <v>5244.34</v>
      </c>
      <c r="M77" s="288" t="s">
        <v>642</v>
      </c>
      <c r="N77" s="249" t="s">
        <v>643</v>
      </c>
      <c r="Z77" s="265">
        <v>1</v>
      </c>
      <c r="AA77" s="266">
        <v>1970.65</v>
      </c>
      <c r="AB77" s="267">
        <v>1970.65</v>
      </c>
      <c r="AC77" s="267">
        <v>23647.800000000003</v>
      </c>
      <c r="AE77" s="265">
        <v>1</v>
      </c>
      <c r="AF77" s="271">
        <v>2211.4299999999998</v>
      </c>
      <c r="AG77" s="267">
        <v>2211.4299999999998</v>
      </c>
      <c r="AH77" s="267">
        <v>26537.159999999996</v>
      </c>
      <c r="AJ77" s="265">
        <v>1</v>
      </c>
      <c r="AK77" s="271">
        <v>2211.4299999999998</v>
      </c>
      <c r="AL77" s="267">
        <v>2211.4299999999998</v>
      </c>
      <c r="AM77" s="267">
        <v>26537.159999999996</v>
      </c>
      <c r="AO77" s="325">
        <v>2</v>
      </c>
      <c r="AP77" s="326">
        <v>2211.4299999999998</v>
      </c>
      <c r="AQ77" s="327">
        <v>4422.8599999999997</v>
      </c>
      <c r="AR77" s="327">
        <v>53074.319999999992</v>
      </c>
      <c r="AS77" s="273" t="s">
        <v>644</v>
      </c>
      <c r="AT77" s="265">
        <v>2</v>
      </c>
      <c r="AU77" s="278">
        <f>'[3]Recepção 2'!$D$137</f>
        <v>2622.17</v>
      </c>
      <c r="AV77" s="289">
        <f t="shared" ref="AV77:AV81" si="55">AU77*AT77</f>
        <v>5244.34</v>
      </c>
      <c r="AW77" s="289">
        <f t="shared" ref="AW77:AW81" si="56">AV77*12</f>
        <v>62932.08</v>
      </c>
      <c r="AX77" s="348">
        <v>3</v>
      </c>
      <c r="AY77" s="328">
        <v>3</v>
      </c>
      <c r="AZ77" s="328">
        <f>AX77-AY77</f>
        <v>0</v>
      </c>
      <c r="BA77" s="278">
        <f>BA24</f>
        <v>3172.5502639618517</v>
      </c>
      <c r="BB77" s="434">
        <f t="shared" ref="BB77:BB81" si="57">BA77*AX77</f>
        <v>9517.650791885555</v>
      </c>
      <c r="BC77" s="289">
        <f t="shared" ref="BC77:BC81" si="58">BB77*12</f>
        <v>114211.80950262665</v>
      </c>
    </row>
    <row r="78" spans="2:55">
      <c r="B78" s="263">
        <v>3</v>
      </c>
      <c r="C78" s="264" t="s">
        <v>592</v>
      </c>
      <c r="D78" s="265">
        <v>2</v>
      </c>
      <c r="E78" s="266">
        <v>1420.39</v>
      </c>
      <c r="F78" s="267">
        <v>2840.78</v>
      </c>
      <c r="G78" s="267">
        <v>34089.360000000001</v>
      </c>
      <c r="H78" s="266">
        <f>'[3]Copeira 2'!$D$137</f>
        <v>2320.86</v>
      </c>
      <c r="I78" s="267">
        <f t="shared" si="52"/>
        <v>4641.72</v>
      </c>
      <c r="J78" s="267">
        <f t="shared" si="53"/>
        <v>55700.639999999999</v>
      </c>
      <c r="K78" s="272" t="s">
        <v>591</v>
      </c>
      <c r="L78" s="269">
        <f t="shared" si="54"/>
        <v>9283.44</v>
      </c>
      <c r="M78" s="288">
        <v>802051</v>
      </c>
      <c r="N78" s="249" t="s">
        <v>602</v>
      </c>
      <c r="Z78" s="265">
        <v>2</v>
      </c>
      <c r="AA78" s="266">
        <v>1420.39</v>
      </c>
      <c r="AB78" s="267">
        <v>2840.78</v>
      </c>
      <c r="AC78" s="267">
        <v>34089.360000000001</v>
      </c>
      <c r="AE78" s="265">
        <v>2</v>
      </c>
      <c r="AF78" s="271">
        <v>1567.88</v>
      </c>
      <c r="AG78" s="267">
        <v>3135.76</v>
      </c>
      <c r="AH78" s="267">
        <v>37629.120000000003</v>
      </c>
      <c r="AJ78" s="265">
        <v>2</v>
      </c>
      <c r="AK78" s="271">
        <v>1567.88</v>
      </c>
      <c r="AL78" s="267">
        <v>3135.76</v>
      </c>
      <c r="AM78" s="267">
        <v>37629.120000000003</v>
      </c>
      <c r="AO78" s="265">
        <v>2</v>
      </c>
      <c r="AP78" s="271">
        <v>1567.88</v>
      </c>
      <c r="AQ78" s="267">
        <v>3135.76</v>
      </c>
      <c r="AR78" s="267">
        <v>37629.120000000003</v>
      </c>
      <c r="AT78" s="265">
        <v>2</v>
      </c>
      <c r="AU78" s="278">
        <f>'[3]Copeira 2'!$D$137</f>
        <v>2320.86</v>
      </c>
      <c r="AV78" s="289">
        <f t="shared" si="55"/>
        <v>4641.72</v>
      </c>
      <c r="AW78" s="289">
        <f t="shared" si="56"/>
        <v>55700.639999999999</v>
      </c>
      <c r="AX78" s="348">
        <v>2</v>
      </c>
      <c r="AY78" s="328">
        <v>2</v>
      </c>
      <c r="AZ78" s="328">
        <f t="shared" ref="AZ78:AZ81" si="59">AX78-AY78</f>
        <v>0</v>
      </c>
      <c r="BA78" s="278">
        <f>BA25</f>
        <v>2303.4709559206799</v>
      </c>
      <c r="BB78" s="434">
        <f t="shared" si="57"/>
        <v>4606.9419118413598</v>
      </c>
      <c r="BC78" s="289">
        <f t="shared" si="58"/>
        <v>55283.302942096314</v>
      </c>
    </row>
    <row r="79" spans="2:55">
      <c r="B79" s="263">
        <v>4</v>
      </c>
      <c r="C79" s="264" t="s">
        <v>2</v>
      </c>
      <c r="D79" s="265">
        <v>4</v>
      </c>
      <c r="E79" s="266">
        <v>2469.9499999999998</v>
      </c>
      <c r="F79" s="267">
        <v>9879.7999999999993</v>
      </c>
      <c r="G79" s="267">
        <v>118557.59999999999</v>
      </c>
      <c r="H79" s="266">
        <f>'[3]Porteiro 2'!$D$137</f>
        <v>3292.56</v>
      </c>
      <c r="I79" s="267">
        <f t="shared" si="52"/>
        <v>13170.24</v>
      </c>
      <c r="J79" s="267">
        <f t="shared" si="53"/>
        <v>158042.88</v>
      </c>
      <c r="K79" s="272" t="s">
        <v>591</v>
      </c>
      <c r="L79" s="269">
        <f t="shared" si="54"/>
        <v>26340.48</v>
      </c>
      <c r="M79" s="288">
        <v>802050</v>
      </c>
      <c r="N79" s="249" t="s">
        <v>602</v>
      </c>
      <c r="Z79" s="265">
        <v>4</v>
      </c>
      <c r="AA79" s="266">
        <v>2469.9499999999998</v>
      </c>
      <c r="AB79" s="267">
        <v>9879.7999999999993</v>
      </c>
      <c r="AC79" s="267">
        <v>118557.59999999999</v>
      </c>
      <c r="AE79" s="265">
        <v>4</v>
      </c>
      <c r="AF79" s="271">
        <v>2785.89</v>
      </c>
      <c r="AG79" s="267">
        <v>11143.56</v>
      </c>
      <c r="AH79" s="267">
        <v>133722.72</v>
      </c>
      <c r="AJ79" s="265">
        <v>4</v>
      </c>
      <c r="AK79" s="271">
        <v>2785.89</v>
      </c>
      <c r="AL79" s="267">
        <v>11143.56</v>
      </c>
      <c r="AM79" s="267">
        <v>133722.72</v>
      </c>
      <c r="AO79" s="325">
        <v>6</v>
      </c>
      <c r="AP79" s="326">
        <v>2785.89</v>
      </c>
      <c r="AQ79" s="327">
        <v>16715.34</v>
      </c>
      <c r="AR79" s="327">
        <v>200584.08000000002</v>
      </c>
      <c r="AS79" s="273" t="s">
        <v>645</v>
      </c>
      <c r="AT79" s="265">
        <f>4+2</f>
        <v>6</v>
      </c>
      <c r="AU79" s="278">
        <f>'[3]Porteiro 2'!$D$137</f>
        <v>3292.56</v>
      </c>
      <c r="AV79" s="289">
        <f t="shared" si="55"/>
        <v>19755.36</v>
      </c>
      <c r="AW79" s="289">
        <f t="shared" si="56"/>
        <v>237064.32000000001</v>
      </c>
      <c r="AX79" s="348">
        <v>4</v>
      </c>
      <c r="AY79" s="328">
        <v>4</v>
      </c>
      <c r="AZ79" s="328">
        <f t="shared" si="59"/>
        <v>0</v>
      </c>
      <c r="BA79" s="278">
        <f>BA26</f>
        <v>3950.6876172993393</v>
      </c>
      <c r="BB79" s="434">
        <f t="shared" si="57"/>
        <v>15802.750469197357</v>
      </c>
      <c r="BC79" s="289">
        <f t="shared" si="58"/>
        <v>189633.00563036828</v>
      </c>
    </row>
    <row r="80" spans="2:55">
      <c r="B80" s="263">
        <v>5</v>
      </c>
      <c r="C80" s="264" t="s">
        <v>562</v>
      </c>
      <c r="D80" s="265">
        <v>3</v>
      </c>
      <c r="E80" s="266">
        <v>1714.13</v>
      </c>
      <c r="F80" s="267">
        <v>5142.3900000000003</v>
      </c>
      <c r="G80" s="267">
        <v>61708.680000000008</v>
      </c>
      <c r="H80" s="266">
        <f>'[3]ASG 2'!$D$137</f>
        <v>2295.14</v>
      </c>
      <c r="I80" s="267">
        <f t="shared" si="52"/>
        <v>6885.42</v>
      </c>
      <c r="J80" s="267">
        <f t="shared" si="53"/>
        <v>82625.040000000008</v>
      </c>
      <c r="K80" s="272" t="s">
        <v>591</v>
      </c>
      <c r="L80" s="269">
        <f t="shared" si="54"/>
        <v>13770.84</v>
      </c>
      <c r="M80" s="288">
        <v>802050</v>
      </c>
      <c r="N80" s="249" t="s">
        <v>602</v>
      </c>
      <c r="Z80" s="265">
        <v>3</v>
      </c>
      <c r="AA80" s="266">
        <v>1714.13</v>
      </c>
      <c r="AB80" s="267">
        <v>5142.3900000000003</v>
      </c>
      <c r="AC80" s="267">
        <v>61708.680000000008</v>
      </c>
      <c r="AE80" s="265">
        <v>3</v>
      </c>
      <c r="AF80" s="271">
        <v>1912.22</v>
      </c>
      <c r="AG80" s="267">
        <v>5736.66</v>
      </c>
      <c r="AH80" s="267">
        <v>68839.92</v>
      </c>
      <c r="AJ80" s="265">
        <v>5</v>
      </c>
      <c r="AK80" s="271">
        <v>1912.22</v>
      </c>
      <c r="AL80" s="267">
        <v>9561.1</v>
      </c>
      <c r="AM80" s="267">
        <v>114733.20000000001</v>
      </c>
      <c r="AO80" s="325">
        <v>3</v>
      </c>
      <c r="AP80" s="326">
        <v>1912.22</v>
      </c>
      <c r="AQ80" s="327">
        <v>5736.66</v>
      </c>
      <c r="AR80" s="327">
        <v>68839.92</v>
      </c>
      <c r="AS80" s="273" t="s">
        <v>646</v>
      </c>
      <c r="AT80" s="265">
        <f>5-2</f>
        <v>3</v>
      </c>
      <c r="AU80" s="278">
        <f>'[3]ASG 2'!$D$137</f>
        <v>2295.14</v>
      </c>
      <c r="AV80" s="289">
        <f t="shared" si="55"/>
        <v>6885.42</v>
      </c>
      <c r="AW80" s="289">
        <f t="shared" si="56"/>
        <v>82625.040000000008</v>
      </c>
      <c r="AX80" s="455">
        <v>2</v>
      </c>
      <c r="AY80" s="265">
        <v>2</v>
      </c>
      <c r="AZ80" s="328">
        <f t="shared" si="59"/>
        <v>0</v>
      </c>
      <c r="BA80" s="278">
        <f>BA27</f>
        <v>2766.8942962220963</v>
      </c>
      <c r="BB80" s="434">
        <f t="shared" si="57"/>
        <v>5533.7885924441925</v>
      </c>
      <c r="BC80" s="289">
        <f t="shared" si="58"/>
        <v>66405.463109330303</v>
      </c>
    </row>
    <row r="81" spans="2:176">
      <c r="B81" s="263">
        <v>8</v>
      </c>
      <c r="C81" s="264" t="s">
        <v>594</v>
      </c>
      <c r="D81" s="292">
        <v>2</v>
      </c>
      <c r="E81" s="266">
        <v>2948.04</v>
      </c>
      <c r="F81" s="267">
        <v>8844.119999999999</v>
      </c>
      <c r="G81" s="267">
        <v>106129.43999999999</v>
      </c>
      <c r="H81" s="266">
        <f>'[3]Oficial 2'!$D$136</f>
        <v>3471.01</v>
      </c>
      <c r="I81" s="267">
        <f t="shared" si="52"/>
        <v>6942.02</v>
      </c>
      <c r="J81" s="267">
        <f t="shared" si="53"/>
        <v>83304.240000000005</v>
      </c>
      <c r="K81" s="272" t="s">
        <v>591</v>
      </c>
      <c r="L81" s="269">
        <f t="shared" si="54"/>
        <v>13884.04</v>
      </c>
      <c r="M81" s="288"/>
      <c r="Z81" s="265">
        <v>2</v>
      </c>
      <c r="AA81" s="266">
        <v>3194.68</v>
      </c>
      <c r="AB81" s="267">
        <f>AA81*Z81</f>
        <v>6389.36</v>
      </c>
      <c r="AC81" s="267">
        <f>AB81*12</f>
        <v>76672.319999999992</v>
      </c>
      <c r="AE81" s="265">
        <v>2</v>
      </c>
      <c r="AF81" s="271">
        <v>3194.68</v>
      </c>
      <c r="AG81" s="267">
        <f>AF81*AE81</f>
        <v>6389.36</v>
      </c>
      <c r="AH81" s="267">
        <f>AG81*12</f>
        <v>76672.319999999992</v>
      </c>
      <c r="AJ81" s="265">
        <v>2</v>
      </c>
      <c r="AK81" s="271">
        <v>2953.93</v>
      </c>
      <c r="AL81" s="267">
        <v>5907.86</v>
      </c>
      <c r="AM81" s="267">
        <v>70894.319999999992</v>
      </c>
      <c r="AN81" s="276"/>
      <c r="AO81" s="265">
        <v>2</v>
      </c>
      <c r="AP81" s="271">
        <v>2953.93</v>
      </c>
      <c r="AQ81" s="267">
        <v>5907.86</v>
      </c>
      <c r="AR81" s="267">
        <v>70894.319999999992</v>
      </c>
      <c r="AS81" s="276"/>
      <c r="AT81" s="265">
        <v>2</v>
      </c>
      <c r="AU81" s="271">
        <f>'[3]Oficial 2'!$D$136</f>
        <v>3471.01</v>
      </c>
      <c r="AV81" s="267">
        <f t="shared" si="55"/>
        <v>6942.02</v>
      </c>
      <c r="AW81" s="267">
        <f t="shared" si="56"/>
        <v>83304.240000000005</v>
      </c>
      <c r="AX81" s="455">
        <v>2</v>
      </c>
      <c r="AY81" s="265">
        <v>2</v>
      </c>
      <c r="AZ81" s="328">
        <f t="shared" si="59"/>
        <v>0</v>
      </c>
      <c r="BA81" s="271">
        <f>BA29</f>
        <v>4085.2545348211606</v>
      </c>
      <c r="BB81" s="432">
        <f t="shared" si="57"/>
        <v>8170.5090696423213</v>
      </c>
      <c r="BC81" s="267">
        <f t="shared" si="58"/>
        <v>98046.108835707855</v>
      </c>
    </row>
    <row r="82" spans="2:176">
      <c r="B82" s="412"/>
      <c r="C82" s="413"/>
      <c r="D82" s="414"/>
      <c r="E82" s="415"/>
      <c r="F82" s="416"/>
      <c r="G82" s="416"/>
      <c r="H82" s="415"/>
      <c r="I82" s="416"/>
      <c r="J82" s="416"/>
      <c r="K82" s="417"/>
      <c r="L82" s="329"/>
      <c r="M82" s="330"/>
      <c r="Z82" s="418"/>
      <c r="AA82" s="419"/>
      <c r="AB82" s="420"/>
      <c r="AC82" s="420"/>
      <c r="AE82" s="418"/>
      <c r="AF82" s="421"/>
      <c r="AG82" s="420"/>
      <c r="AH82" s="420"/>
      <c r="AJ82" s="418"/>
      <c r="AK82" s="422"/>
      <c r="AL82" s="416"/>
      <c r="AM82" s="416"/>
      <c r="AN82" s="276"/>
      <c r="AO82" s="418"/>
      <c r="AP82" s="421"/>
      <c r="AQ82" s="420"/>
      <c r="AR82" s="420"/>
      <c r="AS82" s="276"/>
      <c r="AT82" s="418"/>
      <c r="AU82" s="421"/>
      <c r="AV82" s="420"/>
      <c r="AW82" s="420"/>
      <c r="AX82" s="418"/>
      <c r="AY82" s="418"/>
      <c r="AZ82" s="418"/>
      <c r="BA82" s="421"/>
      <c r="BB82" s="436"/>
      <c r="BC82" s="420"/>
    </row>
    <row r="83" spans="2:176">
      <c r="B83" s="331" t="s">
        <v>647</v>
      </c>
      <c r="C83" s="249" t="s">
        <v>648</v>
      </c>
      <c r="E83" s="514" t="s">
        <v>578</v>
      </c>
      <c r="F83" s="514"/>
      <c r="G83" s="514"/>
      <c r="H83" s="514" t="s">
        <v>579</v>
      </c>
      <c r="I83" s="514"/>
      <c r="J83" s="514"/>
      <c r="AA83" s="249" t="s">
        <v>580</v>
      </c>
      <c r="AF83" s="252"/>
      <c r="AK83" s="514" t="s">
        <v>573</v>
      </c>
      <c r="AL83" s="514"/>
      <c r="AM83" s="514"/>
      <c r="AP83" s="249"/>
      <c r="AU83" s="249"/>
      <c r="BA83" s="249"/>
    </row>
    <row r="84" spans="2:176" ht="47.25">
      <c r="B84" s="260" t="s">
        <v>581</v>
      </c>
      <c r="C84" s="261" t="s">
        <v>267</v>
      </c>
      <c r="D84" s="261" t="s">
        <v>582</v>
      </c>
      <c r="E84" s="261" t="s">
        <v>583</v>
      </c>
      <c r="F84" s="261" t="s">
        <v>584</v>
      </c>
      <c r="G84" s="261" t="s">
        <v>585</v>
      </c>
      <c r="H84" s="261" t="s">
        <v>583</v>
      </c>
      <c r="I84" s="261" t="s">
        <v>584</v>
      </c>
      <c r="J84" s="261" t="s">
        <v>585</v>
      </c>
      <c r="K84" s="261" t="s">
        <v>586</v>
      </c>
      <c r="M84" s="261" t="s">
        <v>598</v>
      </c>
      <c r="N84" s="261" t="s">
        <v>588</v>
      </c>
      <c r="P84" s="261" t="s">
        <v>582</v>
      </c>
      <c r="Q84" s="261" t="s">
        <v>583</v>
      </c>
      <c r="R84" s="261" t="s">
        <v>584</v>
      </c>
      <c r="S84" s="261" t="s">
        <v>585</v>
      </c>
      <c r="Z84" s="261" t="s">
        <v>590</v>
      </c>
      <c r="AA84" s="261" t="s">
        <v>583</v>
      </c>
      <c r="AB84" s="261" t="s">
        <v>584</v>
      </c>
      <c r="AC84" s="261" t="s">
        <v>585</v>
      </c>
      <c r="AE84" s="261" t="s">
        <v>566</v>
      </c>
      <c r="AF84" s="262" t="s">
        <v>583</v>
      </c>
      <c r="AG84" s="261" t="s">
        <v>584</v>
      </c>
      <c r="AH84" s="261" t="s">
        <v>585</v>
      </c>
      <c r="AJ84" s="261" t="s">
        <v>566</v>
      </c>
      <c r="AK84" s="262" t="s">
        <v>583</v>
      </c>
      <c r="AL84" s="261" t="s">
        <v>584</v>
      </c>
      <c r="AM84" s="261" t="s">
        <v>585</v>
      </c>
      <c r="AO84" s="261" t="s">
        <v>566</v>
      </c>
      <c r="AP84" s="262" t="s">
        <v>583</v>
      </c>
      <c r="AQ84" s="261" t="s">
        <v>584</v>
      </c>
      <c r="AR84" s="261" t="s">
        <v>585</v>
      </c>
      <c r="AT84" s="261" t="s">
        <v>566</v>
      </c>
      <c r="AU84" s="262" t="s">
        <v>583</v>
      </c>
      <c r="AV84" s="261" t="s">
        <v>584</v>
      </c>
      <c r="AW84" s="261" t="s">
        <v>585</v>
      </c>
      <c r="AX84" s="261" t="s">
        <v>566</v>
      </c>
      <c r="AY84" s="261"/>
      <c r="AZ84" s="261"/>
      <c r="BA84" s="262" t="s">
        <v>583</v>
      </c>
      <c r="BB84" s="430" t="s">
        <v>584</v>
      </c>
      <c r="BC84" s="261" t="s">
        <v>585</v>
      </c>
    </row>
    <row r="85" spans="2:176" s="446" customFormat="1">
      <c r="B85" s="472">
        <v>2</v>
      </c>
      <c r="C85" s="495" t="s">
        <v>1</v>
      </c>
      <c r="D85" s="496">
        <v>1</v>
      </c>
      <c r="E85" s="475">
        <f>'[4]Recepção 3'!D136</f>
        <v>1993.11</v>
      </c>
      <c r="F85" s="481">
        <f>D85*E85</f>
        <v>1993.11</v>
      </c>
      <c r="G85" s="481">
        <f>F85*12</f>
        <v>23917.32</v>
      </c>
      <c r="H85" s="475">
        <f>'[3]Recepção 3'!$D$137</f>
        <v>2652.06</v>
      </c>
      <c r="I85" s="481">
        <f>D85*H85</f>
        <v>2652.06</v>
      </c>
      <c r="J85" s="481">
        <f>I85*12</f>
        <v>31824.720000000001</v>
      </c>
      <c r="K85" s="497">
        <f>H85*3</f>
        <v>7956.18</v>
      </c>
      <c r="L85" s="480"/>
      <c r="M85" s="479" t="s">
        <v>649</v>
      </c>
      <c r="N85" s="480"/>
      <c r="O85" s="480"/>
      <c r="P85" s="496"/>
      <c r="Q85" s="475"/>
      <c r="R85" s="481">
        <f>P85*Q85</f>
        <v>0</v>
      </c>
      <c r="S85" s="481">
        <f>R85*12</f>
        <v>0</v>
      </c>
      <c r="T85" s="480"/>
      <c r="U85" s="480"/>
      <c r="V85" s="480"/>
      <c r="W85" s="480"/>
      <c r="X85" s="480"/>
      <c r="Y85" s="480"/>
      <c r="Z85" s="496">
        <v>1</v>
      </c>
      <c r="AA85" s="475">
        <v>1993.11</v>
      </c>
      <c r="AB85" s="481">
        <v>1993.11</v>
      </c>
      <c r="AC85" s="481">
        <v>23917.32</v>
      </c>
      <c r="AD85" s="480" t="s">
        <v>650</v>
      </c>
      <c r="AE85" s="496">
        <v>1</v>
      </c>
      <c r="AF85" s="482">
        <v>2236.62</v>
      </c>
      <c r="AG85" s="481">
        <v>2236.62</v>
      </c>
      <c r="AH85" s="481">
        <v>26839.439999999999</v>
      </c>
      <c r="AI85" s="480" t="s">
        <v>650</v>
      </c>
      <c r="AJ85" s="496">
        <v>1</v>
      </c>
      <c r="AK85" s="482">
        <v>2236.62</v>
      </c>
      <c r="AL85" s="481">
        <v>2236.62</v>
      </c>
      <c r="AM85" s="481">
        <v>26839.439999999999</v>
      </c>
      <c r="AN85" s="480" t="s">
        <v>650</v>
      </c>
      <c r="AO85" s="496">
        <v>1</v>
      </c>
      <c r="AP85" s="482">
        <v>2236.62</v>
      </c>
      <c r="AQ85" s="481">
        <v>2236.62</v>
      </c>
      <c r="AR85" s="481">
        <v>26839.439999999999</v>
      </c>
      <c r="AS85" s="480" t="s">
        <v>650</v>
      </c>
      <c r="AT85" s="496">
        <v>1</v>
      </c>
      <c r="AU85" s="482">
        <f>'[3]Recepção 3'!$D$137</f>
        <v>2652.06</v>
      </c>
      <c r="AV85" s="481">
        <f>AU85*AT85</f>
        <v>2652.06</v>
      </c>
      <c r="AW85" s="481">
        <f>AV85*12</f>
        <v>31824.720000000001</v>
      </c>
      <c r="AX85" s="496">
        <v>1</v>
      </c>
      <c r="AY85" s="496">
        <v>0</v>
      </c>
      <c r="AZ85" s="496">
        <f>AX85-AY85</f>
        <v>1</v>
      </c>
      <c r="BA85" s="482">
        <f>'3-A'!D152</f>
        <v>3190.7590404208936</v>
      </c>
      <c r="BB85" s="483">
        <f>BA85*AX85</f>
        <v>3190.7590404208936</v>
      </c>
      <c r="BC85" s="481">
        <f>BB85*12</f>
        <v>38289.108485050725</v>
      </c>
      <c r="BD85" s="391"/>
      <c r="BE85" s="391"/>
      <c r="BF85" s="391"/>
      <c r="BG85" s="391"/>
      <c r="BH85" s="391"/>
      <c r="BI85" s="391"/>
      <c r="BJ85" s="391"/>
      <c r="BK85" s="391"/>
      <c r="BL85" s="391"/>
      <c r="BM85" s="391"/>
      <c r="BN85" s="391"/>
      <c r="BO85" s="391"/>
      <c r="BP85" s="391"/>
      <c r="BQ85" s="391"/>
      <c r="BR85" s="391"/>
      <c r="BS85" s="391"/>
      <c r="BT85" s="391"/>
      <c r="BU85" s="391"/>
      <c r="BV85" s="391"/>
      <c r="BW85" s="391"/>
      <c r="BX85" s="391"/>
      <c r="BY85" s="391"/>
      <c r="BZ85" s="391"/>
      <c r="CA85" s="391"/>
      <c r="CB85" s="391"/>
      <c r="CC85" s="391"/>
      <c r="CD85" s="391"/>
      <c r="CE85" s="391"/>
      <c r="CF85" s="391"/>
      <c r="CG85" s="391"/>
      <c r="CH85" s="391"/>
      <c r="CI85" s="391"/>
      <c r="CJ85" s="391"/>
      <c r="CK85" s="391"/>
      <c r="CL85" s="391"/>
      <c r="CM85" s="391"/>
      <c r="CN85" s="391"/>
      <c r="CO85" s="391"/>
      <c r="CP85" s="391"/>
      <c r="CQ85" s="391"/>
      <c r="CR85" s="391"/>
      <c r="CS85" s="391"/>
      <c r="CT85" s="391"/>
      <c r="CU85" s="391"/>
      <c r="CV85" s="391"/>
      <c r="CW85" s="391"/>
      <c r="CX85" s="391"/>
      <c r="CY85" s="391"/>
      <c r="CZ85" s="391"/>
      <c r="DA85" s="391"/>
      <c r="DB85" s="391"/>
      <c r="DC85" s="391"/>
      <c r="DD85" s="391"/>
      <c r="DE85" s="391"/>
      <c r="DF85" s="391"/>
      <c r="DG85" s="391"/>
      <c r="DH85" s="391"/>
      <c r="DI85" s="391"/>
      <c r="DJ85" s="391"/>
      <c r="DK85" s="391"/>
      <c r="DL85" s="391"/>
      <c r="DM85" s="391"/>
      <c r="DN85" s="391"/>
      <c r="DO85" s="391"/>
      <c r="DP85" s="391"/>
      <c r="DQ85" s="391"/>
      <c r="DR85" s="391"/>
      <c r="DS85" s="391"/>
      <c r="DT85" s="391"/>
      <c r="DU85" s="391"/>
      <c r="DV85" s="391"/>
      <c r="DW85" s="391"/>
      <c r="DX85" s="391"/>
      <c r="DY85" s="391"/>
      <c r="DZ85" s="391"/>
      <c r="EA85" s="391"/>
      <c r="EB85" s="391"/>
      <c r="EC85" s="391"/>
      <c r="ED85" s="391"/>
      <c r="EE85" s="391"/>
      <c r="EF85" s="391"/>
      <c r="EG85" s="391"/>
      <c r="EH85" s="391"/>
      <c r="EI85" s="391"/>
      <c r="EJ85" s="391"/>
      <c r="EK85" s="391"/>
      <c r="EL85" s="391"/>
      <c r="EM85" s="391"/>
      <c r="EN85" s="391"/>
      <c r="EO85" s="391"/>
      <c r="EP85" s="391"/>
      <c r="EQ85" s="391"/>
      <c r="ER85" s="391"/>
      <c r="ES85" s="391"/>
      <c r="ET85" s="391"/>
      <c r="EU85" s="391"/>
      <c r="EV85" s="391"/>
      <c r="EW85" s="391"/>
      <c r="EX85" s="391"/>
      <c r="EY85" s="391"/>
      <c r="EZ85" s="391"/>
      <c r="FA85" s="391"/>
      <c r="FB85" s="391"/>
      <c r="FC85" s="391"/>
      <c r="FD85" s="391"/>
      <c r="FE85" s="391"/>
      <c r="FF85" s="391"/>
      <c r="FG85" s="391"/>
      <c r="FH85" s="391"/>
      <c r="FI85" s="391"/>
      <c r="FJ85" s="391"/>
      <c r="FK85" s="391"/>
      <c r="FL85" s="391"/>
      <c r="FM85" s="391"/>
      <c r="FN85" s="391"/>
      <c r="FO85" s="391"/>
      <c r="FP85" s="391"/>
      <c r="FQ85" s="391"/>
      <c r="FR85" s="391"/>
      <c r="FS85" s="391"/>
      <c r="FT85" s="391"/>
    </row>
    <row r="86" spans="2:176">
      <c r="B86" s="263">
        <v>4</v>
      </c>
      <c r="C86" s="264" t="s">
        <v>2</v>
      </c>
      <c r="D86" s="270">
        <v>1</v>
      </c>
      <c r="E86" s="266">
        <f>'[4]Porteiro 3'!D136</f>
        <v>2498.1</v>
      </c>
      <c r="F86" s="267">
        <f>D86*E86</f>
        <v>2498.1</v>
      </c>
      <c r="G86" s="267">
        <f>F86*12</f>
        <v>29977.199999999997</v>
      </c>
      <c r="H86" s="266">
        <f>'[3]Porteiro 3'!$D$137</f>
        <v>3330.09</v>
      </c>
      <c r="I86" s="267">
        <f>D86*H86</f>
        <v>3330.09</v>
      </c>
      <c r="J86" s="267">
        <f>I86*12</f>
        <v>39961.08</v>
      </c>
      <c r="K86" s="268">
        <f>H86*3</f>
        <v>9990.27</v>
      </c>
      <c r="M86" s="293" t="s">
        <v>649</v>
      </c>
      <c r="P86" s="270"/>
      <c r="Q86" s="266"/>
      <c r="R86" s="267">
        <f>P86*Q86</f>
        <v>0</v>
      </c>
      <c r="S86" s="267">
        <f>R86*12</f>
        <v>0</v>
      </c>
      <c r="Z86" s="270">
        <v>1</v>
      </c>
      <c r="AA86" s="266">
        <v>2498.1</v>
      </c>
      <c r="AB86" s="267">
        <v>2498.1</v>
      </c>
      <c r="AC86" s="267">
        <v>29977.199999999997</v>
      </c>
      <c r="AD86" s="273" t="s">
        <v>650</v>
      </c>
      <c r="AE86" s="270">
        <v>1</v>
      </c>
      <c r="AF86" s="271">
        <v>2817.63</v>
      </c>
      <c r="AG86" s="267">
        <v>2817.63</v>
      </c>
      <c r="AH86" s="267">
        <v>33811.56</v>
      </c>
      <c r="AI86" s="273" t="s">
        <v>650</v>
      </c>
      <c r="AJ86" s="270">
        <v>1</v>
      </c>
      <c r="AK86" s="271">
        <v>2817.63</v>
      </c>
      <c r="AL86" s="267">
        <v>2817.63</v>
      </c>
      <c r="AM86" s="267">
        <v>33811.56</v>
      </c>
      <c r="AN86" s="273" t="s">
        <v>650</v>
      </c>
      <c r="AO86" s="270">
        <v>1</v>
      </c>
      <c r="AP86" s="271">
        <v>2817.63</v>
      </c>
      <c r="AQ86" s="267">
        <v>2817.63</v>
      </c>
      <c r="AR86" s="267">
        <v>33811.56</v>
      </c>
      <c r="AS86" s="273" t="s">
        <v>650</v>
      </c>
      <c r="AT86" s="270">
        <v>1</v>
      </c>
      <c r="AU86" s="271">
        <f>'[3]Porteiro 3'!$D$137</f>
        <v>3330.09</v>
      </c>
      <c r="AV86" s="267">
        <f>AU86*AT86</f>
        <v>3330.09</v>
      </c>
      <c r="AW86" s="267">
        <f>AV86*12</f>
        <v>39961.08</v>
      </c>
      <c r="AX86" s="468">
        <v>1</v>
      </c>
      <c r="AY86" s="270">
        <v>1</v>
      </c>
      <c r="AZ86" s="328">
        <f t="shared" ref="AZ86:AZ87" si="60">AX86-AY86</f>
        <v>0</v>
      </c>
      <c r="BA86" s="271">
        <f>'10-A'!D152</f>
        <v>3973.3665908528019</v>
      </c>
      <c r="BB86" s="432">
        <f>BA86*AX86</f>
        <v>3973.3665908528019</v>
      </c>
      <c r="BC86" s="267">
        <f>BB86*12</f>
        <v>47680.399090233623</v>
      </c>
    </row>
    <row r="87" spans="2:176">
      <c r="B87" s="263">
        <v>8</v>
      </c>
      <c r="C87" s="264" t="s">
        <v>594</v>
      </c>
      <c r="D87" s="270">
        <v>1</v>
      </c>
      <c r="E87" s="266">
        <f>'[4]Oficial 3'!D136</f>
        <v>2981.64</v>
      </c>
      <c r="F87" s="267">
        <f>D87*E87</f>
        <v>2981.64</v>
      </c>
      <c r="G87" s="267">
        <f>F87*12</f>
        <v>35779.68</v>
      </c>
      <c r="H87" s="266">
        <f>'[3]Oficial 3'!$D$136</f>
        <v>3510.56</v>
      </c>
      <c r="I87" s="267">
        <f>D87*H87</f>
        <v>3510.56</v>
      </c>
      <c r="J87" s="267">
        <f>I87*12</f>
        <v>42126.720000000001</v>
      </c>
      <c r="K87" s="268">
        <f>H87*3</f>
        <v>10531.68</v>
      </c>
      <c r="M87" s="288">
        <v>801646</v>
      </c>
      <c r="N87" s="249" t="s">
        <v>600</v>
      </c>
      <c r="P87" s="270"/>
      <c r="Q87" s="266"/>
      <c r="R87" s="267">
        <f>P87*Q87</f>
        <v>0</v>
      </c>
      <c r="S87" s="267">
        <f>R87*12</f>
        <v>0</v>
      </c>
      <c r="Z87" s="270">
        <v>1</v>
      </c>
      <c r="AA87" s="266">
        <v>3231.08</v>
      </c>
      <c r="AB87" s="267">
        <v>3231.08</v>
      </c>
      <c r="AC87" s="267">
        <v>38772.959999999999</v>
      </c>
      <c r="AE87" s="270">
        <v>1</v>
      </c>
      <c r="AF87" s="271">
        <v>3231.08</v>
      </c>
      <c r="AG87" s="267">
        <v>3231.08</v>
      </c>
      <c r="AH87" s="267">
        <v>38772.959999999999</v>
      </c>
      <c r="AJ87" s="270">
        <v>1</v>
      </c>
      <c r="AK87" s="271">
        <v>2987.6</v>
      </c>
      <c r="AL87" s="267">
        <v>2987.6</v>
      </c>
      <c r="AM87" s="267">
        <v>35851.199999999997</v>
      </c>
      <c r="AO87" s="270">
        <v>1</v>
      </c>
      <c r="AP87" s="271">
        <v>2987.6</v>
      </c>
      <c r="AQ87" s="267">
        <v>2987.6</v>
      </c>
      <c r="AR87" s="267">
        <v>35851.199999999997</v>
      </c>
      <c r="AT87" s="270">
        <v>1</v>
      </c>
      <c r="AU87" s="271">
        <f>'[3]Oficial 3'!$D$136</f>
        <v>3510.56</v>
      </c>
      <c r="AV87" s="267">
        <f>AU87*AT87</f>
        <v>3510.56</v>
      </c>
      <c r="AW87" s="267">
        <f>AV87*12</f>
        <v>42126.720000000001</v>
      </c>
      <c r="AX87" s="468">
        <v>1</v>
      </c>
      <c r="AY87" s="270">
        <v>1</v>
      </c>
      <c r="AZ87" s="328">
        <f t="shared" si="60"/>
        <v>0</v>
      </c>
      <c r="BA87" s="271">
        <f>'20-A'!D152</f>
        <v>4108.6965408764872</v>
      </c>
      <c r="BB87" s="432">
        <f>BA87*AX87</f>
        <v>4108.6965408764872</v>
      </c>
      <c r="BC87" s="267">
        <f>BB87*12</f>
        <v>49304.358490517843</v>
      </c>
    </row>
    <row r="88" spans="2:176">
      <c r="B88" s="512"/>
      <c r="C88" s="512"/>
      <c r="D88" s="279">
        <f>SUM(D85:D87)</f>
        <v>3</v>
      </c>
      <c r="E88" s="281"/>
      <c r="F88" s="282">
        <f>SUM(F85:F87)</f>
        <v>7472.85</v>
      </c>
      <c r="G88" s="282">
        <f>SUM(G85:G87)</f>
        <v>89674.2</v>
      </c>
      <c r="H88" s="281"/>
      <c r="I88" s="282">
        <f>SUM(I85:I87)</f>
        <v>9492.7099999999991</v>
      </c>
      <c r="J88" s="282">
        <f>SUM(J85:J87)</f>
        <v>113912.52</v>
      </c>
      <c r="K88" s="283">
        <f>SUM(K85:K87)</f>
        <v>28478.13</v>
      </c>
      <c r="M88" s="275"/>
      <c r="N88" s="275"/>
      <c r="P88" s="279">
        <f>SUM(P85:P87)</f>
        <v>0</v>
      </c>
      <c r="Q88" s="281"/>
      <c r="R88" s="282">
        <f>SUM(R85:R87)</f>
        <v>0</v>
      </c>
      <c r="S88" s="282">
        <f>SUM(S85:S87)</f>
        <v>0</v>
      </c>
      <c r="Z88" s="279">
        <v>4</v>
      </c>
      <c r="AA88" s="281"/>
      <c r="AB88" s="282">
        <v>10040.85</v>
      </c>
      <c r="AC88" s="282">
        <v>120490.2</v>
      </c>
      <c r="AE88" s="279">
        <v>4</v>
      </c>
      <c r="AF88" s="284"/>
      <c r="AG88" s="282">
        <v>10874.529999999999</v>
      </c>
      <c r="AH88" s="282">
        <v>130494.35999999999</v>
      </c>
      <c r="AJ88" s="279">
        <v>4</v>
      </c>
      <c r="AK88" s="284"/>
      <c r="AL88" s="282">
        <v>10631.05</v>
      </c>
      <c r="AM88" s="282">
        <v>127572.59999999999</v>
      </c>
      <c r="AO88" s="279">
        <v>4</v>
      </c>
      <c r="AP88" s="284"/>
      <c r="AQ88" s="282">
        <v>10631.05</v>
      </c>
      <c r="AR88" s="282">
        <v>127572.59999999999</v>
      </c>
      <c r="AT88" s="279">
        <f>SUM(AT85:AT87)</f>
        <v>3</v>
      </c>
      <c r="AU88" s="284"/>
      <c r="AV88" s="282">
        <f t="shared" ref="AV88:BC88" si="61">SUM(AV85:AV87)</f>
        <v>9492.7099999999991</v>
      </c>
      <c r="AW88" s="282">
        <f t="shared" si="61"/>
        <v>113912.52</v>
      </c>
      <c r="AX88" s="279">
        <f t="shared" si="61"/>
        <v>3</v>
      </c>
      <c r="AY88" s="444"/>
      <c r="AZ88" s="444"/>
      <c r="BA88" s="284">
        <f t="shared" si="61"/>
        <v>11272.822172150183</v>
      </c>
      <c r="BB88" s="437">
        <f t="shared" si="61"/>
        <v>11272.822172150183</v>
      </c>
      <c r="BC88" s="282">
        <f t="shared" si="61"/>
        <v>135273.86606580217</v>
      </c>
    </row>
    <row r="89" spans="2:176">
      <c r="B89" s="331" t="s">
        <v>651</v>
      </c>
      <c r="C89" s="249" t="s">
        <v>652</v>
      </c>
      <c r="E89" s="514" t="s">
        <v>578</v>
      </c>
      <c r="F89" s="514"/>
      <c r="G89" s="514"/>
      <c r="H89" s="514" t="s">
        <v>579</v>
      </c>
      <c r="I89" s="514"/>
      <c r="J89" s="514"/>
      <c r="AA89" s="249" t="s">
        <v>580</v>
      </c>
      <c r="AF89" s="252"/>
      <c r="AK89" s="252"/>
    </row>
    <row r="90" spans="2:176" ht="47.25">
      <c r="B90" s="260" t="s">
        <v>581</v>
      </c>
      <c r="C90" s="261" t="s">
        <v>267</v>
      </c>
      <c r="D90" s="261" t="s">
        <v>582</v>
      </c>
      <c r="E90" s="261" t="s">
        <v>583</v>
      </c>
      <c r="F90" s="261" t="s">
        <v>584</v>
      </c>
      <c r="G90" s="261" t="s">
        <v>585</v>
      </c>
      <c r="H90" s="261" t="s">
        <v>583</v>
      </c>
      <c r="I90" s="261" t="s">
        <v>584</v>
      </c>
      <c r="J90" s="261" t="s">
        <v>585</v>
      </c>
      <c r="L90" s="261" t="s">
        <v>587</v>
      </c>
      <c r="M90" s="261" t="s">
        <v>598</v>
      </c>
      <c r="N90" s="261" t="s">
        <v>588</v>
      </c>
      <c r="P90" s="261" t="s">
        <v>582</v>
      </c>
      <c r="Q90" s="261" t="s">
        <v>583</v>
      </c>
      <c r="R90" s="261" t="s">
        <v>584</v>
      </c>
      <c r="S90" s="261" t="s">
        <v>585</v>
      </c>
      <c r="U90" s="261" t="s">
        <v>582</v>
      </c>
      <c r="V90" s="261" t="s">
        <v>583</v>
      </c>
      <c r="W90" s="261" t="s">
        <v>584</v>
      </c>
      <c r="X90" s="261" t="s">
        <v>585</v>
      </c>
      <c r="Z90" s="261" t="s">
        <v>590</v>
      </c>
      <c r="AA90" s="261" t="s">
        <v>583</v>
      </c>
      <c r="AB90" s="261" t="s">
        <v>584</v>
      </c>
      <c r="AC90" s="261" t="s">
        <v>585</v>
      </c>
      <c r="AE90" s="261" t="s">
        <v>566</v>
      </c>
      <c r="AF90" s="262" t="s">
        <v>583</v>
      </c>
      <c r="AG90" s="261" t="s">
        <v>584</v>
      </c>
      <c r="AH90" s="261" t="s">
        <v>585</v>
      </c>
      <c r="AJ90" s="261" t="s">
        <v>566</v>
      </c>
      <c r="AK90" s="262" t="s">
        <v>583</v>
      </c>
      <c r="AL90" s="261" t="s">
        <v>584</v>
      </c>
      <c r="AM90" s="261" t="s">
        <v>585</v>
      </c>
      <c r="AO90" s="261" t="s">
        <v>566</v>
      </c>
      <c r="AP90" s="262" t="s">
        <v>583</v>
      </c>
      <c r="AQ90" s="261" t="s">
        <v>584</v>
      </c>
      <c r="AR90" s="261" t="s">
        <v>585</v>
      </c>
      <c r="AT90" s="261" t="s">
        <v>566</v>
      </c>
      <c r="AU90" s="262" t="s">
        <v>583</v>
      </c>
      <c r="AV90" s="261" t="s">
        <v>584</v>
      </c>
      <c r="AW90" s="261" t="s">
        <v>585</v>
      </c>
      <c r="AX90" s="261" t="s">
        <v>566</v>
      </c>
      <c r="AY90" s="261"/>
      <c r="AZ90" s="261"/>
      <c r="BA90" s="262" t="s">
        <v>583</v>
      </c>
      <c r="BB90" s="430" t="s">
        <v>584</v>
      </c>
      <c r="BC90" s="261" t="s">
        <v>585</v>
      </c>
    </row>
    <row r="91" spans="2:176">
      <c r="B91" s="263">
        <v>4</v>
      </c>
      <c r="C91" s="264" t="s">
        <v>2</v>
      </c>
      <c r="D91" s="270">
        <v>2</v>
      </c>
      <c r="E91" s="266">
        <v>2526.89</v>
      </c>
      <c r="F91" s="267">
        <v>5053.78</v>
      </c>
      <c r="G91" s="267">
        <v>60645.36</v>
      </c>
      <c r="H91" s="266">
        <f>'[3]Porteiro 4'!$D$137</f>
        <v>3368.47</v>
      </c>
      <c r="I91" s="267">
        <f>D91*H91</f>
        <v>6736.94</v>
      </c>
      <c r="J91" s="267">
        <f>I91*12</f>
        <v>80843.28</v>
      </c>
      <c r="L91" s="269">
        <f>I91*2</f>
        <v>13473.88</v>
      </c>
      <c r="M91" s="288">
        <v>802053</v>
      </c>
      <c r="N91" s="249" t="s">
        <v>602</v>
      </c>
      <c r="P91" s="270">
        <v>2</v>
      </c>
      <c r="Q91" s="266">
        <v>2644.54</v>
      </c>
      <c r="R91" s="267">
        <f>P91*Q91</f>
        <v>5289.08</v>
      </c>
      <c r="S91" s="267">
        <f>R91*12</f>
        <v>63468.959999999999</v>
      </c>
      <c r="U91" s="270">
        <v>2</v>
      </c>
      <c r="V91" s="266">
        <f>'[3]Porteiro 4'!$D$137</f>
        <v>3368.47</v>
      </c>
      <c r="W91" s="267">
        <f>U91*V91</f>
        <v>6736.94</v>
      </c>
      <c r="X91" s="267">
        <f>W91*12</f>
        <v>80843.28</v>
      </c>
      <c r="Z91" s="270">
        <v>2</v>
      </c>
      <c r="AA91" s="266">
        <v>2526.89</v>
      </c>
      <c r="AB91" s="267">
        <v>5053.78</v>
      </c>
      <c r="AC91" s="267">
        <v>60645.36</v>
      </c>
      <c r="AE91" s="270">
        <v>2</v>
      </c>
      <c r="AF91" s="271">
        <v>2850.11</v>
      </c>
      <c r="AG91" s="267">
        <v>5700.22</v>
      </c>
      <c r="AH91" s="267">
        <v>68402.64</v>
      </c>
      <c r="AJ91" s="270">
        <v>2</v>
      </c>
      <c r="AK91" s="271">
        <v>2850.11</v>
      </c>
      <c r="AL91" s="267">
        <v>5700.22</v>
      </c>
      <c r="AM91" s="267">
        <v>68402.64</v>
      </c>
      <c r="AO91" s="270">
        <v>2</v>
      </c>
      <c r="AP91" s="271">
        <v>2850.11</v>
      </c>
      <c r="AQ91" s="267">
        <v>5700.22</v>
      </c>
      <c r="AR91" s="267">
        <v>68402.64</v>
      </c>
      <c r="AT91" s="270">
        <v>2</v>
      </c>
      <c r="AU91" s="271">
        <f>'[3]Porteiro 4'!$D$137</f>
        <v>3368.47</v>
      </c>
      <c r="AV91" s="267">
        <f>AU91*AT91</f>
        <v>6736.94</v>
      </c>
      <c r="AW91" s="267">
        <f>AV91*12</f>
        <v>80843.28</v>
      </c>
      <c r="AX91" s="468">
        <v>2</v>
      </c>
      <c r="AY91" s="270">
        <v>2</v>
      </c>
      <c r="AZ91" s="270">
        <f>AX91-AY91</f>
        <v>0</v>
      </c>
      <c r="BA91" s="271">
        <f>'11-A'!D152</f>
        <v>4019.5115469894331</v>
      </c>
      <c r="BB91" s="432">
        <f>BA91*AX91</f>
        <v>8039.0230939788662</v>
      </c>
      <c r="BC91" s="267">
        <f>BB91*12</f>
        <v>96468.277127746391</v>
      </c>
    </row>
    <row r="92" spans="2:176">
      <c r="B92" s="263">
        <v>5</v>
      </c>
      <c r="C92" s="264" t="s">
        <v>562</v>
      </c>
      <c r="D92" s="270"/>
      <c r="E92" s="266"/>
      <c r="F92" s="267"/>
      <c r="G92" s="267"/>
      <c r="H92" s="266"/>
      <c r="I92" s="267"/>
      <c r="J92" s="267"/>
      <c r="L92" s="269"/>
      <c r="M92" s="288"/>
      <c r="P92" s="270"/>
      <c r="Q92" s="266"/>
      <c r="R92" s="267"/>
      <c r="S92" s="267"/>
      <c r="U92" s="270"/>
      <c r="V92" s="266"/>
      <c r="W92" s="267"/>
      <c r="X92" s="267"/>
      <c r="Z92" s="270"/>
      <c r="AA92" s="266"/>
      <c r="AB92" s="267"/>
      <c r="AC92" s="267"/>
      <c r="AE92" s="270"/>
      <c r="AF92" s="271"/>
      <c r="AG92" s="267"/>
      <c r="AH92" s="267"/>
      <c r="AJ92" s="270"/>
      <c r="AK92" s="271"/>
      <c r="AL92" s="267"/>
      <c r="AM92" s="267"/>
      <c r="AO92" s="270">
        <v>1</v>
      </c>
      <c r="AP92" s="271">
        <v>1956.31</v>
      </c>
      <c r="AQ92" s="267">
        <v>1956.31</v>
      </c>
      <c r="AR92" s="267">
        <v>23475.72</v>
      </c>
      <c r="AS92" s="273" t="s">
        <v>653</v>
      </c>
      <c r="AT92" s="270">
        <v>1</v>
      </c>
      <c r="AU92" s="271">
        <f>'[3]ASG 4'!D134</f>
        <v>2348.0500000000002</v>
      </c>
      <c r="AV92" s="267">
        <f>AU92*AT92</f>
        <v>2348.0500000000002</v>
      </c>
      <c r="AW92" s="267">
        <f>AV92*12</f>
        <v>28176.600000000002</v>
      </c>
      <c r="AX92" s="468">
        <v>1</v>
      </c>
      <c r="AY92" s="270">
        <v>1</v>
      </c>
      <c r="AZ92" s="270">
        <f t="shared" ref="AZ92:AZ93" si="62">AX92-AY92</f>
        <v>0</v>
      </c>
      <c r="BA92" s="271">
        <f>'15-A'!D152</f>
        <v>2815.0895276286642</v>
      </c>
      <c r="BB92" s="432">
        <f>BA92*AX92</f>
        <v>2815.0895276286642</v>
      </c>
      <c r="BC92" s="267">
        <f>BB92*12</f>
        <v>33781.074331543969</v>
      </c>
    </row>
    <row r="93" spans="2:176">
      <c r="B93" s="263">
        <v>8</v>
      </c>
      <c r="C93" s="264" t="s">
        <v>594</v>
      </c>
      <c r="D93" s="270">
        <v>1</v>
      </c>
      <c r="E93" s="266">
        <v>3016.01</v>
      </c>
      <c r="F93" s="267">
        <v>3016.01</v>
      </c>
      <c r="G93" s="267">
        <v>36192.120000000003</v>
      </c>
      <c r="H93" s="266">
        <f>'[3]Oficial 4'!$D$136</f>
        <v>3551.03</v>
      </c>
      <c r="I93" s="267">
        <f>D93*H93</f>
        <v>3551.03</v>
      </c>
      <c r="J93" s="267">
        <f>I93*12</f>
        <v>42612.36</v>
      </c>
      <c r="L93" s="269">
        <f>I93*2</f>
        <v>7102.06</v>
      </c>
      <c r="M93" s="288">
        <v>802056</v>
      </c>
      <c r="N93" s="249" t="s">
        <v>602</v>
      </c>
      <c r="P93" s="270">
        <v>1</v>
      </c>
      <c r="Q93" s="266">
        <v>2920.93</v>
      </c>
      <c r="R93" s="267">
        <f>P93*Q93</f>
        <v>2920.93</v>
      </c>
      <c r="S93" s="267">
        <f>R93*12</f>
        <v>35051.159999999996</v>
      </c>
      <c r="U93" s="270">
        <v>1</v>
      </c>
      <c r="V93" s="266">
        <f>'[3]Oficial 4'!$D$136</f>
        <v>3551.03</v>
      </c>
      <c r="W93" s="267">
        <f>U93*V93</f>
        <v>3551.03</v>
      </c>
      <c r="X93" s="267">
        <f>W93*12</f>
        <v>42612.36</v>
      </c>
      <c r="Z93" s="270">
        <v>1</v>
      </c>
      <c r="AA93" s="266">
        <v>3268.33</v>
      </c>
      <c r="AB93" s="267">
        <v>3268.33</v>
      </c>
      <c r="AC93" s="267">
        <v>39219.96</v>
      </c>
      <c r="AE93" s="270">
        <v>1</v>
      </c>
      <c r="AF93" s="271">
        <v>3268.33</v>
      </c>
      <c r="AG93" s="267">
        <v>3268.33</v>
      </c>
      <c r="AH93" s="267">
        <v>39219.96</v>
      </c>
      <c r="AJ93" s="270">
        <v>1</v>
      </c>
      <c r="AK93" s="271">
        <v>3022.02</v>
      </c>
      <c r="AL93" s="267">
        <v>3022.02</v>
      </c>
      <c r="AM93" s="267">
        <v>36264.239999999998</v>
      </c>
      <c r="AO93" s="270">
        <v>1</v>
      </c>
      <c r="AP93" s="271">
        <v>3022.02</v>
      </c>
      <c r="AQ93" s="267">
        <v>3022.02</v>
      </c>
      <c r="AR93" s="267">
        <v>36264.239999999998</v>
      </c>
      <c r="AT93" s="270">
        <v>1</v>
      </c>
      <c r="AU93" s="271">
        <f>'[3]Oficial 4'!$D$136</f>
        <v>3551.03</v>
      </c>
      <c r="AV93" s="267">
        <f>AU93*AT93</f>
        <v>3551.03</v>
      </c>
      <c r="AW93" s="267">
        <f>AV93*12</f>
        <v>42612.36</v>
      </c>
      <c r="AX93" s="468">
        <v>1</v>
      </c>
      <c r="AY93" s="270">
        <v>1</v>
      </c>
      <c r="AZ93" s="270">
        <f t="shared" si="62"/>
        <v>0</v>
      </c>
      <c r="BA93" s="271">
        <f>'21-A'!D152</f>
        <v>4156.4248501668744</v>
      </c>
      <c r="BB93" s="432">
        <f>BA93*AX93</f>
        <v>4156.4248501668744</v>
      </c>
      <c r="BC93" s="267">
        <f>BB93*12</f>
        <v>49877.098202002497</v>
      </c>
    </row>
    <row r="94" spans="2:176">
      <c r="B94" s="512"/>
      <c r="C94" s="512"/>
      <c r="D94" s="279">
        <f>SUM(D91:D93)</f>
        <v>3</v>
      </c>
      <c r="E94" s="279"/>
      <c r="F94" s="280">
        <f>SUM(F91:F93)</f>
        <v>8069.79</v>
      </c>
      <c r="G94" s="280">
        <f>SUM(G91:G93)</f>
        <v>96837.48000000001</v>
      </c>
      <c r="H94" s="281"/>
      <c r="I94" s="282">
        <f>SUM(I91:I93)</f>
        <v>10287.969999999999</v>
      </c>
      <c r="J94" s="282">
        <f>SUM(J91:J93)</f>
        <v>123455.64</v>
      </c>
      <c r="L94" s="283">
        <f>SUM(L91:L93)</f>
        <v>20575.939999999999</v>
      </c>
      <c r="P94" s="279">
        <f>SUM(P91:P93)</f>
        <v>3</v>
      </c>
      <c r="Q94" s="281"/>
      <c r="R94" s="282">
        <f>SUM(R91:R93)</f>
        <v>8210.01</v>
      </c>
      <c r="S94" s="282">
        <f>SUM(S91:S93)</f>
        <v>98520.12</v>
      </c>
      <c r="U94" s="279">
        <f>SUM(U91:U93)</f>
        <v>3</v>
      </c>
      <c r="V94" s="281"/>
      <c r="W94" s="282">
        <f>SUM(W91:W93)</f>
        <v>10287.969999999999</v>
      </c>
      <c r="X94" s="282">
        <f>SUM(X91:X93)</f>
        <v>123455.64</v>
      </c>
      <c r="Z94" s="279">
        <v>4</v>
      </c>
      <c r="AA94" s="281"/>
      <c r="AB94" s="282">
        <v>10667.390000000001</v>
      </c>
      <c r="AC94" s="282">
        <v>128008.68000000001</v>
      </c>
      <c r="AE94" s="279">
        <v>4</v>
      </c>
      <c r="AF94" s="284"/>
      <c r="AG94" s="282">
        <v>11587.59</v>
      </c>
      <c r="AH94" s="282">
        <v>139051.08000000002</v>
      </c>
      <c r="AJ94" s="279">
        <v>4</v>
      </c>
      <c r="AK94" s="284"/>
      <c r="AL94" s="282">
        <v>11341.279999999999</v>
      </c>
      <c r="AM94" s="282">
        <v>136095.36000000002</v>
      </c>
      <c r="AO94" s="279">
        <v>4</v>
      </c>
      <c r="AP94" s="284"/>
      <c r="AQ94" s="282">
        <v>10678.550000000001</v>
      </c>
      <c r="AR94" s="282">
        <v>128142.6</v>
      </c>
      <c r="AT94" s="279">
        <f>SUM(AT91:AT93)</f>
        <v>4</v>
      </c>
      <c r="AU94" s="284"/>
      <c r="AV94" s="282">
        <f t="shared" ref="AV94:BC94" si="63">SUM(AV91:AV93)</f>
        <v>12636.02</v>
      </c>
      <c r="AW94" s="282">
        <f t="shared" si="63"/>
        <v>151632.24</v>
      </c>
      <c r="AX94" s="279">
        <f t="shared" si="63"/>
        <v>4</v>
      </c>
      <c r="AY94" s="444"/>
      <c r="AZ94" s="444"/>
      <c r="BA94" s="284">
        <f t="shared" si="63"/>
        <v>10991.025924784972</v>
      </c>
      <c r="BB94" s="437">
        <f t="shared" si="63"/>
        <v>15010.537471774405</v>
      </c>
      <c r="BC94" s="282">
        <f t="shared" si="63"/>
        <v>180126.44966129286</v>
      </c>
    </row>
    <row r="95" spans="2:176">
      <c r="B95" s="331" t="s">
        <v>654</v>
      </c>
      <c r="C95" s="249" t="s">
        <v>648</v>
      </c>
      <c r="E95" s="332"/>
      <c r="F95" s="332"/>
      <c r="G95" s="332"/>
      <c r="H95" s="332"/>
      <c r="I95" s="332"/>
      <c r="J95" s="332"/>
      <c r="AA95" s="249" t="s">
        <v>580</v>
      </c>
      <c r="AF95" s="252"/>
      <c r="AK95" s="514" t="s">
        <v>573</v>
      </c>
      <c r="AL95" s="514"/>
      <c r="AM95" s="514"/>
      <c r="AP95" s="517"/>
      <c r="AQ95" s="517"/>
      <c r="AR95" s="517"/>
      <c r="AU95" s="517"/>
      <c r="AV95" s="517"/>
      <c r="AW95" s="517"/>
      <c r="BA95" s="518"/>
      <c r="BB95" s="518"/>
      <c r="BC95" s="518"/>
    </row>
    <row r="96" spans="2:176" ht="47.25">
      <c r="B96" s="260" t="s">
        <v>581</v>
      </c>
      <c r="C96" s="261" t="s">
        <v>267</v>
      </c>
      <c r="D96" s="261" t="s">
        <v>582</v>
      </c>
      <c r="E96" s="261" t="s">
        <v>583</v>
      </c>
      <c r="F96" s="261" t="s">
        <v>584</v>
      </c>
      <c r="G96" s="261" t="s">
        <v>585</v>
      </c>
      <c r="H96" s="261" t="s">
        <v>583</v>
      </c>
      <c r="I96" s="261" t="s">
        <v>584</v>
      </c>
      <c r="J96" s="261" t="s">
        <v>585</v>
      </c>
      <c r="K96" s="261" t="s">
        <v>655</v>
      </c>
      <c r="L96" s="261" t="s">
        <v>587</v>
      </c>
      <c r="M96" s="261" t="s">
        <v>598</v>
      </c>
      <c r="N96" s="261" t="s">
        <v>588</v>
      </c>
      <c r="P96" s="261" t="s">
        <v>582</v>
      </c>
      <c r="Q96" s="261" t="s">
        <v>583</v>
      </c>
      <c r="R96" s="261" t="s">
        <v>584</v>
      </c>
      <c r="S96" s="261" t="s">
        <v>585</v>
      </c>
      <c r="U96" s="261" t="s">
        <v>582</v>
      </c>
      <c r="V96" s="261" t="s">
        <v>583</v>
      </c>
      <c r="W96" s="261" t="s">
        <v>584</v>
      </c>
      <c r="X96" s="261" t="s">
        <v>585</v>
      </c>
      <c r="Z96" s="261" t="s">
        <v>590</v>
      </c>
      <c r="AA96" s="261" t="s">
        <v>583</v>
      </c>
      <c r="AB96" s="261" t="s">
        <v>584</v>
      </c>
      <c r="AC96" s="261" t="s">
        <v>585</v>
      </c>
      <c r="AE96" s="261" t="s">
        <v>566</v>
      </c>
      <c r="AF96" s="262" t="s">
        <v>583</v>
      </c>
      <c r="AG96" s="261" t="s">
        <v>584</v>
      </c>
      <c r="AH96" s="261" t="s">
        <v>585</v>
      </c>
      <c r="AJ96" s="261" t="s">
        <v>566</v>
      </c>
      <c r="AK96" s="262" t="s">
        <v>583</v>
      </c>
      <c r="AL96" s="261" t="s">
        <v>584</v>
      </c>
      <c r="AM96" s="261" t="s">
        <v>585</v>
      </c>
      <c r="AO96" s="261" t="s">
        <v>566</v>
      </c>
      <c r="AP96" s="262" t="s">
        <v>583</v>
      </c>
      <c r="AQ96" s="261" t="s">
        <v>584</v>
      </c>
      <c r="AR96" s="261" t="s">
        <v>585</v>
      </c>
      <c r="AT96" s="261" t="s">
        <v>566</v>
      </c>
      <c r="AU96" s="262" t="s">
        <v>583</v>
      </c>
      <c r="AV96" s="261" t="s">
        <v>584</v>
      </c>
      <c r="AW96" s="261" t="s">
        <v>585</v>
      </c>
      <c r="AX96" s="261" t="s">
        <v>566</v>
      </c>
      <c r="AY96" s="261"/>
      <c r="AZ96" s="261"/>
      <c r="BA96" s="262" t="s">
        <v>583</v>
      </c>
      <c r="BB96" s="430" t="s">
        <v>584</v>
      </c>
      <c r="BC96" s="261" t="s">
        <v>585</v>
      </c>
    </row>
    <row r="97" spans="2:55">
      <c r="B97" s="263">
        <v>4</v>
      </c>
      <c r="C97" s="264" t="s">
        <v>2</v>
      </c>
      <c r="D97" s="270">
        <v>1</v>
      </c>
      <c r="E97" s="266">
        <v>2498.1</v>
      </c>
      <c r="F97" s="335">
        <v>2498.1</v>
      </c>
      <c r="G97" s="335">
        <v>29977.199999999997</v>
      </c>
      <c r="H97" s="266">
        <f>'[3]Porteiro 3'!$D$137</f>
        <v>3330.09</v>
      </c>
      <c r="I97" s="335">
        <f t="shared" ref="I97:I99" si="64">H97*D97</f>
        <v>3330.09</v>
      </c>
      <c r="J97" s="335">
        <f t="shared" ref="J97:J99" si="65">I97*12</f>
        <v>39961.08</v>
      </c>
      <c r="L97" s="269">
        <f>I97*2</f>
        <v>6660.18</v>
      </c>
      <c r="M97" s="288">
        <v>802071</v>
      </c>
      <c r="N97" s="249" t="s">
        <v>602</v>
      </c>
      <c r="P97" s="270">
        <v>1</v>
      </c>
      <c r="Q97" s="266">
        <v>2613.79</v>
      </c>
      <c r="R97" s="335">
        <f t="shared" ref="R97:R99" si="66">Q97*P97</f>
        <v>2613.79</v>
      </c>
      <c r="S97" s="335">
        <f t="shared" ref="S97:S99" si="67">R97*12</f>
        <v>31365.48</v>
      </c>
      <c r="U97" s="270">
        <v>1</v>
      </c>
      <c r="V97" s="266">
        <f>'[3]Porteiro 3'!$D$137</f>
        <v>3330.09</v>
      </c>
      <c r="W97" s="335">
        <f t="shared" ref="W97:W99" si="68">V97*U97</f>
        <v>3330.09</v>
      </c>
      <c r="X97" s="335">
        <f t="shared" ref="X97:X99" si="69">W97*12</f>
        <v>39961.08</v>
      </c>
      <c r="Z97" s="270">
        <v>1</v>
      </c>
      <c r="AA97" s="266">
        <v>2498.1</v>
      </c>
      <c r="AB97" s="267">
        <v>2498.1</v>
      </c>
      <c r="AC97" s="335">
        <v>29977.199999999997</v>
      </c>
      <c r="AE97" s="270">
        <v>1</v>
      </c>
      <c r="AF97" s="271">
        <v>2817.63</v>
      </c>
      <c r="AG97" s="267">
        <v>2817.63</v>
      </c>
      <c r="AH97" s="335">
        <v>33811.56</v>
      </c>
      <c r="AJ97" s="270">
        <v>1</v>
      </c>
      <c r="AK97" s="271">
        <v>2817.63</v>
      </c>
      <c r="AL97" s="267">
        <v>2817.63</v>
      </c>
      <c r="AM97" s="335">
        <v>33811.56</v>
      </c>
      <c r="AO97" s="270">
        <v>1</v>
      </c>
      <c r="AP97" s="271">
        <v>2817.63</v>
      </c>
      <c r="AQ97" s="267">
        <v>2817.63</v>
      </c>
      <c r="AR97" s="335">
        <v>33811.56</v>
      </c>
      <c r="AT97" s="270">
        <v>1</v>
      </c>
      <c r="AU97" s="271">
        <f>'[3]Porteiro 3'!$D$137</f>
        <v>3330.09</v>
      </c>
      <c r="AV97" s="267">
        <f t="shared" ref="AV97:AV99" si="70">AU97*AT97</f>
        <v>3330.09</v>
      </c>
      <c r="AW97" s="335">
        <f t="shared" ref="AW97:AW99" si="71">AV97*12</f>
        <v>39961.08</v>
      </c>
      <c r="AX97" s="468">
        <v>1</v>
      </c>
      <c r="AY97" s="270">
        <v>1</v>
      </c>
      <c r="AZ97" s="270">
        <f>AX97-AY97</f>
        <v>0</v>
      </c>
      <c r="BA97" s="271">
        <f>'10-A'!D152</f>
        <v>3973.3665908528019</v>
      </c>
      <c r="BB97" s="432">
        <f t="shared" ref="BB97:BB99" si="72">BA97*AX97</f>
        <v>3973.3665908528019</v>
      </c>
      <c r="BC97" s="335">
        <f t="shared" ref="BC97:BC99" si="73">BB97*12</f>
        <v>47680.399090233623</v>
      </c>
    </row>
    <row r="98" spans="2:55">
      <c r="B98" s="263">
        <v>5</v>
      </c>
      <c r="C98" s="264" t="s">
        <v>562</v>
      </c>
      <c r="D98" s="270">
        <v>2</v>
      </c>
      <c r="E98" s="266">
        <v>1733.68</v>
      </c>
      <c r="F98" s="335">
        <v>3467.36</v>
      </c>
      <c r="G98" s="335">
        <v>41608.32</v>
      </c>
      <c r="H98" s="266">
        <f>'[3]ASG 3'!$D$137</f>
        <v>2321.3000000000002</v>
      </c>
      <c r="I98" s="335">
        <f t="shared" si="64"/>
        <v>4642.6000000000004</v>
      </c>
      <c r="J98" s="335">
        <f t="shared" si="65"/>
        <v>55711.200000000004</v>
      </c>
      <c r="L98" s="269">
        <f>I98*2</f>
        <v>9285.2000000000007</v>
      </c>
      <c r="M98" s="288">
        <v>802071</v>
      </c>
      <c r="N98" s="249" t="s">
        <v>602</v>
      </c>
      <c r="P98" s="270">
        <v>2</v>
      </c>
      <c r="Q98" s="266">
        <v>2412.94</v>
      </c>
      <c r="R98" s="335">
        <f t="shared" si="66"/>
        <v>4825.88</v>
      </c>
      <c r="S98" s="335">
        <f t="shared" si="67"/>
        <v>57910.559999999998</v>
      </c>
      <c r="U98" s="270">
        <v>2</v>
      </c>
      <c r="V98" s="266">
        <f>'[3]ASG 3'!$D$137</f>
        <v>2321.3000000000002</v>
      </c>
      <c r="W98" s="335">
        <f t="shared" si="68"/>
        <v>4642.6000000000004</v>
      </c>
      <c r="X98" s="335">
        <f t="shared" si="69"/>
        <v>55711.200000000004</v>
      </c>
      <c r="Z98" s="270">
        <v>2</v>
      </c>
      <c r="AA98" s="266">
        <v>1733.68</v>
      </c>
      <c r="AB98" s="267">
        <v>3467.36</v>
      </c>
      <c r="AC98" s="335">
        <v>41608.32</v>
      </c>
      <c r="AE98" s="270">
        <v>2</v>
      </c>
      <c r="AF98" s="271">
        <v>1934.02</v>
      </c>
      <c r="AG98" s="267">
        <v>3868.04</v>
      </c>
      <c r="AH98" s="335">
        <v>46416.479999999996</v>
      </c>
      <c r="AJ98" s="270">
        <v>2</v>
      </c>
      <c r="AK98" s="271">
        <v>1934.02</v>
      </c>
      <c r="AL98" s="267">
        <v>3868.04</v>
      </c>
      <c r="AM98" s="335">
        <v>46416.479999999996</v>
      </c>
      <c r="AO98" s="270">
        <v>2</v>
      </c>
      <c r="AP98" s="271">
        <v>1934.02</v>
      </c>
      <c r="AQ98" s="267">
        <v>3868.04</v>
      </c>
      <c r="AR98" s="335">
        <v>46416.479999999996</v>
      </c>
      <c r="AT98" s="270">
        <v>2</v>
      </c>
      <c r="AU98" s="271">
        <f>'[3]ASG 3'!$D$137</f>
        <v>2321.3000000000002</v>
      </c>
      <c r="AV98" s="267">
        <f t="shared" si="70"/>
        <v>4642.6000000000004</v>
      </c>
      <c r="AW98" s="335">
        <f t="shared" si="71"/>
        <v>55711.200000000004</v>
      </c>
      <c r="AX98" s="468">
        <v>2</v>
      </c>
      <c r="AY98" s="270">
        <v>2</v>
      </c>
      <c r="AZ98" s="270">
        <f t="shared" ref="AZ98:AZ99" si="74">AX98-AY98</f>
        <v>0</v>
      </c>
      <c r="BA98" s="271">
        <f>'14-A'!D152</f>
        <v>2782.7822337969228</v>
      </c>
      <c r="BB98" s="432">
        <f t="shared" si="72"/>
        <v>5565.5644675938456</v>
      </c>
      <c r="BC98" s="335">
        <f t="shared" si="73"/>
        <v>66786.773611126147</v>
      </c>
    </row>
    <row r="99" spans="2:55">
      <c r="B99" s="263">
        <v>8</v>
      </c>
      <c r="C99" s="264" t="s">
        <v>594</v>
      </c>
      <c r="D99" s="270">
        <v>1</v>
      </c>
      <c r="E99" s="266">
        <v>2981.64</v>
      </c>
      <c r="F99" s="335">
        <v>2981.64</v>
      </c>
      <c r="G99" s="335">
        <v>35779.68</v>
      </c>
      <c r="H99" s="266">
        <f>'[3]Oficial 3'!$D$136</f>
        <v>3510.56</v>
      </c>
      <c r="I99" s="335">
        <f t="shared" si="64"/>
        <v>3510.56</v>
      </c>
      <c r="J99" s="335">
        <f t="shared" si="65"/>
        <v>42126.720000000001</v>
      </c>
      <c r="L99" s="269">
        <f>I99*2</f>
        <v>7021.12</v>
      </c>
      <c r="M99" s="288">
        <v>802057</v>
      </c>
      <c r="N99" s="249" t="s">
        <v>602</v>
      </c>
      <c r="P99" s="270">
        <v>1</v>
      </c>
      <c r="Q99" s="266">
        <v>2921.02</v>
      </c>
      <c r="R99" s="335">
        <f t="shared" si="66"/>
        <v>2921.02</v>
      </c>
      <c r="S99" s="335">
        <f t="shared" si="67"/>
        <v>35052.239999999998</v>
      </c>
      <c r="U99" s="270">
        <v>1</v>
      </c>
      <c r="V99" s="266">
        <f>'[3]Oficial 3'!$D$136</f>
        <v>3510.56</v>
      </c>
      <c r="W99" s="335">
        <f t="shared" si="68"/>
        <v>3510.56</v>
      </c>
      <c r="X99" s="335">
        <f t="shared" si="69"/>
        <v>42126.720000000001</v>
      </c>
      <c r="Z99" s="270">
        <v>1</v>
      </c>
      <c r="AA99" s="266">
        <v>3231.08</v>
      </c>
      <c r="AB99" s="267">
        <v>3231.08</v>
      </c>
      <c r="AC99" s="335">
        <v>38772.959999999999</v>
      </c>
      <c r="AE99" s="270">
        <v>1</v>
      </c>
      <c r="AF99" s="271">
        <v>3231.08</v>
      </c>
      <c r="AG99" s="267">
        <v>3231.08</v>
      </c>
      <c r="AH99" s="335">
        <v>38772.959999999999</v>
      </c>
      <c r="AJ99" s="270">
        <v>1</v>
      </c>
      <c r="AK99" s="271">
        <v>2987.6</v>
      </c>
      <c r="AL99" s="267">
        <v>2987.6</v>
      </c>
      <c r="AM99" s="335">
        <v>35851.199999999997</v>
      </c>
      <c r="AO99" s="270">
        <v>1</v>
      </c>
      <c r="AP99" s="271">
        <v>2987.6</v>
      </c>
      <c r="AQ99" s="267">
        <v>2987.6</v>
      </c>
      <c r="AR99" s="335">
        <v>35851.199999999997</v>
      </c>
      <c r="AT99" s="270">
        <v>1</v>
      </c>
      <c r="AU99" s="271">
        <f>'[3]Oficial 3'!$D$136</f>
        <v>3510.56</v>
      </c>
      <c r="AV99" s="267">
        <f t="shared" si="70"/>
        <v>3510.56</v>
      </c>
      <c r="AW99" s="335">
        <f t="shared" si="71"/>
        <v>42126.720000000001</v>
      </c>
      <c r="AX99" s="468">
        <v>1</v>
      </c>
      <c r="AY99" s="270">
        <v>1</v>
      </c>
      <c r="AZ99" s="270">
        <f t="shared" si="74"/>
        <v>0</v>
      </c>
      <c r="BA99" s="271">
        <f>'20-A'!D152</f>
        <v>4108.6965408764872</v>
      </c>
      <c r="BB99" s="432">
        <f t="shared" si="72"/>
        <v>4108.6965408764872</v>
      </c>
      <c r="BC99" s="335">
        <f t="shared" si="73"/>
        <v>49304.358490517843</v>
      </c>
    </row>
    <row r="100" spans="2:55">
      <c r="B100" s="512"/>
      <c r="C100" s="512"/>
      <c r="D100" s="279">
        <f>SUM(D97:D99)</f>
        <v>4</v>
      </c>
      <c r="E100" s="279"/>
      <c r="F100" s="343">
        <f>SUM(F97:F99)</f>
        <v>8947.1</v>
      </c>
      <c r="G100" s="343">
        <f>SUM(G97:G99)</f>
        <v>107365.19999999998</v>
      </c>
      <c r="H100" s="281"/>
      <c r="I100" s="283">
        <f>SUM(I97:I99)</f>
        <v>11483.25</v>
      </c>
      <c r="J100" s="283">
        <f>SUM(J97:J99)</f>
        <v>137799</v>
      </c>
      <c r="L100" s="283">
        <f>SUM(L97:L99)</f>
        <v>22966.5</v>
      </c>
      <c r="P100" s="279">
        <f>SUM(P97:P99)</f>
        <v>4</v>
      </c>
      <c r="Q100" s="281"/>
      <c r="R100" s="283">
        <f>SUM(R97:R99)</f>
        <v>10360.69</v>
      </c>
      <c r="S100" s="283">
        <f>SUM(S97:S99)</f>
        <v>124328.28</v>
      </c>
      <c r="U100" s="279">
        <f>SUM(U97:U99)</f>
        <v>4</v>
      </c>
      <c r="V100" s="281"/>
      <c r="W100" s="283">
        <f>SUM(W97:W99)</f>
        <v>11483.25</v>
      </c>
      <c r="X100" s="283">
        <f>SUM(X97:X99)</f>
        <v>137799</v>
      </c>
      <c r="Z100" s="279">
        <v>7</v>
      </c>
      <c r="AA100" s="281"/>
      <c r="AB100" s="282">
        <v>15501.32</v>
      </c>
      <c r="AC100" s="283">
        <v>186015.84</v>
      </c>
      <c r="AE100" s="279">
        <v>7</v>
      </c>
      <c r="AF100" s="284"/>
      <c r="AG100" s="283">
        <f>SUM(AG97:AG99)</f>
        <v>9916.75</v>
      </c>
      <c r="AH100" s="283">
        <f>SUM(AH97:AH99)</f>
        <v>119001</v>
      </c>
      <c r="AJ100" s="279">
        <v>7</v>
      </c>
      <c r="AK100" s="284"/>
      <c r="AL100" s="282">
        <v>16735.71</v>
      </c>
      <c r="AM100" s="283">
        <v>200828.52</v>
      </c>
      <c r="AO100" s="279">
        <v>7</v>
      </c>
      <c r="AP100" s="284"/>
      <c r="AQ100" s="282">
        <v>16735.71</v>
      </c>
      <c r="AR100" s="283">
        <v>200828.52</v>
      </c>
      <c r="AT100" s="279">
        <f>SUM(AT97:AT99)</f>
        <v>4</v>
      </c>
      <c r="AU100" s="284"/>
      <c r="AV100" s="282">
        <f>SUM(AV97:AV99)</f>
        <v>11483.25</v>
      </c>
      <c r="AW100" s="283">
        <f>SUM(AW97:AW99)</f>
        <v>137799</v>
      </c>
      <c r="AX100" s="279">
        <f>SUM(AX97:AX99)</f>
        <v>4</v>
      </c>
      <c r="AY100" s="444"/>
      <c r="AZ100" s="444"/>
      <c r="BA100" s="284"/>
      <c r="BB100" s="437">
        <f>SUM(BB97:BB99)</f>
        <v>13647.627599323136</v>
      </c>
      <c r="BC100" s="283">
        <f>SUM(BC97:BC99)</f>
        <v>163771.53119187761</v>
      </c>
    </row>
    <row r="101" spans="2:55">
      <c r="B101" s="331" t="s">
        <v>656</v>
      </c>
      <c r="C101" s="249" t="s">
        <v>648</v>
      </c>
      <c r="E101" s="514" t="s">
        <v>578</v>
      </c>
      <c r="F101" s="514"/>
      <c r="G101" s="514"/>
      <c r="H101" s="514" t="s">
        <v>579</v>
      </c>
      <c r="I101" s="514"/>
      <c r="J101" s="514"/>
      <c r="AA101" s="249" t="s">
        <v>580</v>
      </c>
      <c r="AF101" s="252"/>
      <c r="AK101" s="514" t="s">
        <v>573</v>
      </c>
      <c r="AL101" s="514"/>
      <c r="AM101" s="514"/>
      <c r="AP101" s="517"/>
      <c r="AQ101" s="517"/>
      <c r="AR101" s="517"/>
      <c r="AU101" s="517"/>
      <c r="AV101" s="517"/>
      <c r="AW101" s="517"/>
      <c r="BA101" s="518"/>
      <c r="BB101" s="518"/>
      <c r="BC101" s="518"/>
    </row>
    <row r="102" spans="2:55" ht="47.25">
      <c r="B102" s="260" t="s">
        <v>581</v>
      </c>
      <c r="C102" s="261" t="s">
        <v>267</v>
      </c>
      <c r="D102" s="261" t="s">
        <v>582</v>
      </c>
      <c r="E102" s="261" t="s">
        <v>583</v>
      </c>
      <c r="F102" s="261" t="s">
        <v>584</v>
      </c>
      <c r="G102" s="261" t="s">
        <v>585</v>
      </c>
      <c r="H102" s="261" t="s">
        <v>583</v>
      </c>
      <c r="I102" s="261" t="s">
        <v>584</v>
      </c>
      <c r="J102" s="261" t="s">
        <v>585</v>
      </c>
      <c r="K102" s="261" t="s">
        <v>586</v>
      </c>
      <c r="L102" s="261" t="s">
        <v>587</v>
      </c>
      <c r="M102" s="261" t="s">
        <v>598</v>
      </c>
      <c r="N102" s="261" t="s">
        <v>588</v>
      </c>
      <c r="P102" s="261" t="s">
        <v>582</v>
      </c>
      <c r="Q102" s="261" t="s">
        <v>583</v>
      </c>
      <c r="R102" s="261" t="s">
        <v>584</v>
      </c>
      <c r="S102" s="261" t="s">
        <v>585</v>
      </c>
      <c r="U102" s="261" t="s">
        <v>582</v>
      </c>
      <c r="V102" s="261" t="s">
        <v>583</v>
      </c>
      <c r="W102" s="261" t="s">
        <v>584</v>
      </c>
      <c r="X102" s="261" t="s">
        <v>585</v>
      </c>
      <c r="Z102" s="261" t="s">
        <v>590</v>
      </c>
      <c r="AA102" s="261" t="s">
        <v>583</v>
      </c>
      <c r="AB102" s="261" t="s">
        <v>584</v>
      </c>
      <c r="AC102" s="261" t="s">
        <v>585</v>
      </c>
      <c r="AE102" s="261" t="s">
        <v>566</v>
      </c>
      <c r="AF102" s="262" t="s">
        <v>583</v>
      </c>
      <c r="AG102" s="261" t="s">
        <v>584</v>
      </c>
      <c r="AH102" s="261" t="s">
        <v>585</v>
      </c>
      <c r="AJ102" s="261" t="s">
        <v>566</v>
      </c>
      <c r="AK102" s="262" t="s">
        <v>583</v>
      </c>
      <c r="AL102" s="261" t="s">
        <v>584</v>
      </c>
      <c r="AM102" s="261" t="s">
        <v>585</v>
      </c>
      <c r="AO102" s="261" t="s">
        <v>566</v>
      </c>
      <c r="AP102" s="262" t="s">
        <v>583</v>
      </c>
      <c r="AQ102" s="261" t="s">
        <v>584</v>
      </c>
      <c r="AR102" s="261" t="s">
        <v>585</v>
      </c>
      <c r="AT102" s="261" t="s">
        <v>566</v>
      </c>
      <c r="AU102" s="262" t="s">
        <v>583</v>
      </c>
      <c r="AV102" s="261" t="s">
        <v>584</v>
      </c>
      <c r="AW102" s="261" t="s">
        <v>585</v>
      </c>
      <c r="AX102" s="261" t="s">
        <v>566</v>
      </c>
      <c r="AY102" s="261"/>
      <c r="AZ102" s="261"/>
      <c r="BA102" s="262" t="s">
        <v>583</v>
      </c>
      <c r="BB102" s="430" t="s">
        <v>584</v>
      </c>
      <c r="BC102" s="261" t="s">
        <v>585</v>
      </c>
    </row>
    <row r="103" spans="2:55">
      <c r="B103" s="344">
        <v>2</v>
      </c>
      <c r="C103" s="333" t="s">
        <v>1</v>
      </c>
      <c r="D103" s="334">
        <v>2</v>
      </c>
      <c r="E103" s="335">
        <v>1993.11</v>
      </c>
      <c r="F103" s="335">
        <v>3986.22</v>
      </c>
      <c r="G103" s="335">
        <v>47834.64</v>
      </c>
      <c r="H103" s="335">
        <f>'[3]Recepção 3'!$D$137</f>
        <v>2652.06</v>
      </c>
      <c r="I103" s="335">
        <f>H103*D103</f>
        <v>5304.12</v>
      </c>
      <c r="J103" s="335">
        <f>I103*12</f>
        <v>63649.440000000002</v>
      </c>
      <c r="K103" s="272"/>
      <c r="L103" s="269">
        <f>I103*2</f>
        <v>10608.24</v>
      </c>
      <c r="M103" s="288">
        <v>802058</v>
      </c>
      <c r="N103" s="249" t="s">
        <v>602</v>
      </c>
      <c r="P103" s="334">
        <v>2</v>
      </c>
      <c r="Q103" s="335">
        <v>2644.54</v>
      </c>
      <c r="R103" s="335">
        <f>Q103*P103</f>
        <v>5289.08</v>
      </c>
      <c r="S103" s="335">
        <f>R103*12</f>
        <v>63468.959999999999</v>
      </c>
      <c r="U103" s="334">
        <v>2</v>
      </c>
      <c r="V103" s="335">
        <f>'[3]Recepção 3'!$D$137</f>
        <v>2652.06</v>
      </c>
      <c r="W103" s="335">
        <f>V103*U103</f>
        <v>5304.12</v>
      </c>
      <c r="X103" s="335">
        <f>W103*12</f>
        <v>63649.440000000002</v>
      </c>
      <c r="Z103" s="334">
        <v>2</v>
      </c>
      <c r="AA103" s="335">
        <v>1993.11</v>
      </c>
      <c r="AB103" s="267">
        <v>3986.22</v>
      </c>
      <c r="AC103" s="335">
        <v>47834.64</v>
      </c>
      <c r="AE103" s="334">
        <v>2</v>
      </c>
      <c r="AF103" s="336">
        <v>2236.62</v>
      </c>
      <c r="AG103" s="267">
        <v>4473.24</v>
      </c>
      <c r="AH103" s="335">
        <v>53678.879999999997</v>
      </c>
      <c r="AJ103" s="334">
        <v>2</v>
      </c>
      <c r="AK103" s="336">
        <v>2236.62</v>
      </c>
      <c r="AL103" s="267">
        <v>4473.24</v>
      </c>
      <c r="AM103" s="335">
        <v>53678.879999999997</v>
      </c>
      <c r="AO103" s="334">
        <v>2</v>
      </c>
      <c r="AP103" s="336">
        <v>2236.62</v>
      </c>
      <c r="AQ103" s="267">
        <v>4473.24</v>
      </c>
      <c r="AR103" s="335">
        <v>53678.879999999997</v>
      </c>
      <c r="AT103" s="334">
        <v>2</v>
      </c>
      <c r="AU103" s="336">
        <f>'[3]Recepção 3'!$D$137</f>
        <v>2652.06</v>
      </c>
      <c r="AV103" s="267">
        <f>AU103*AT103</f>
        <v>5304.12</v>
      </c>
      <c r="AW103" s="335">
        <f>AV103*12</f>
        <v>63649.440000000002</v>
      </c>
      <c r="AX103" s="469">
        <v>2</v>
      </c>
      <c r="AY103" s="334">
        <v>2</v>
      </c>
      <c r="AZ103" s="334">
        <f>AX103-AY103</f>
        <v>0</v>
      </c>
      <c r="BA103" s="336">
        <v>3190.7590404208936</v>
      </c>
      <c r="BB103" s="432">
        <f>BA103*AX103</f>
        <v>6381.5180808417872</v>
      </c>
      <c r="BC103" s="335">
        <f>BB103*12</f>
        <v>76578.21697010145</v>
      </c>
    </row>
    <row r="104" spans="2:55">
      <c r="B104" s="263">
        <v>4</v>
      </c>
      <c r="C104" s="264" t="s">
        <v>2</v>
      </c>
      <c r="D104" s="270">
        <v>1</v>
      </c>
      <c r="E104" s="266">
        <v>2498.1</v>
      </c>
      <c r="F104" s="335">
        <v>2498.1</v>
      </c>
      <c r="G104" s="335">
        <v>29977.199999999997</v>
      </c>
      <c r="H104" s="266">
        <f>'[3]Porteiro 3'!$D$137</f>
        <v>3330.09</v>
      </c>
      <c r="I104" s="335">
        <f>H104*D104</f>
        <v>3330.09</v>
      </c>
      <c r="J104" s="335">
        <f>I104*12</f>
        <v>39961.08</v>
      </c>
      <c r="K104" s="272"/>
      <c r="L104" s="269">
        <f>I104*2</f>
        <v>6660.18</v>
      </c>
      <c r="M104" s="288">
        <v>802058</v>
      </c>
      <c r="N104" s="249" t="s">
        <v>602</v>
      </c>
      <c r="P104" s="270">
        <v>1</v>
      </c>
      <c r="Q104" s="266">
        <v>2644.54</v>
      </c>
      <c r="R104" s="335">
        <f>Q104*P104</f>
        <v>2644.54</v>
      </c>
      <c r="S104" s="335">
        <f>R104*12</f>
        <v>31734.48</v>
      </c>
      <c r="U104" s="270">
        <v>1</v>
      </c>
      <c r="V104" s="266">
        <f>'[3]Porteiro 3'!$D$137</f>
        <v>3330.09</v>
      </c>
      <c r="W104" s="335">
        <f>V104*U104</f>
        <v>3330.09</v>
      </c>
      <c r="X104" s="335">
        <f>W104*12</f>
        <v>39961.08</v>
      </c>
      <c r="Z104" s="270">
        <v>1</v>
      </c>
      <c r="AA104" s="266">
        <v>2498.1</v>
      </c>
      <c r="AB104" s="267">
        <v>2498.1</v>
      </c>
      <c r="AC104" s="335">
        <v>29977.199999999997</v>
      </c>
      <c r="AE104" s="270">
        <v>1</v>
      </c>
      <c r="AF104" s="271">
        <v>2817.63</v>
      </c>
      <c r="AG104" s="267">
        <v>2817.63</v>
      </c>
      <c r="AH104" s="335">
        <v>33811.56</v>
      </c>
      <c r="AJ104" s="270">
        <v>1</v>
      </c>
      <c r="AK104" s="271">
        <v>2817.63</v>
      </c>
      <c r="AL104" s="267">
        <v>2817.63</v>
      </c>
      <c r="AM104" s="335">
        <v>33811.56</v>
      </c>
      <c r="AO104" s="270">
        <v>1</v>
      </c>
      <c r="AP104" s="271">
        <v>2817.63</v>
      </c>
      <c r="AQ104" s="267">
        <v>2817.63</v>
      </c>
      <c r="AR104" s="335">
        <v>33811.56</v>
      </c>
      <c r="AT104" s="270">
        <v>1</v>
      </c>
      <c r="AU104" s="271">
        <f>'[3]Porteiro 3'!$D$137</f>
        <v>3330.09</v>
      </c>
      <c r="AV104" s="267">
        <f>AU104*AT104</f>
        <v>3330.09</v>
      </c>
      <c r="AW104" s="335">
        <f>AV104*12</f>
        <v>39961.08</v>
      </c>
      <c r="AX104" s="468">
        <v>1</v>
      </c>
      <c r="AY104" s="270">
        <v>1</v>
      </c>
      <c r="AZ104" s="334">
        <f t="shared" ref="AZ104:AZ105" si="75">AX104-AY104</f>
        <v>0</v>
      </c>
      <c r="BA104" s="271">
        <f>BA97</f>
        <v>3973.3665908528019</v>
      </c>
      <c r="BB104" s="432">
        <f>BA104*AX104</f>
        <v>3973.3665908528019</v>
      </c>
      <c r="BC104" s="335">
        <f>BB104*12</f>
        <v>47680.399090233623</v>
      </c>
    </row>
    <row r="105" spans="2:55">
      <c r="B105" s="263">
        <v>8</v>
      </c>
      <c r="C105" s="264" t="s">
        <v>594</v>
      </c>
      <c r="D105" s="270">
        <v>1</v>
      </c>
      <c r="E105" s="266">
        <v>2981.64</v>
      </c>
      <c r="F105" s="335">
        <v>2981.64</v>
      </c>
      <c r="G105" s="335">
        <v>35779.68</v>
      </c>
      <c r="H105" s="266">
        <f>'[3]Oficial 3'!$D$136</f>
        <v>3510.56</v>
      </c>
      <c r="I105" s="335">
        <f>H105*D105</f>
        <v>3510.56</v>
      </c>
      <c r="J105" s="335">
        <f>I105*12</f>
        <v>42126.720000000001</v>
      </c>
      <c r="K105" s="272"/>
      <c r="L105" s="269">
        <f>I105*2</f>
        <v>7021.12</v>
      </c>
      <c r="M105" s="288">
        <v>802059</v>
      </c>
      <c r="N105" s="249" t="s">
        <v>602</v>
      </c>
      <c r="P105" s="270">
        <v>1</v>
      </c>
      <c r="Q105" s="266">
        <v>2851.97</v>
      </c>
      <c r="R105" s="335">
        <f>Q105*P105</f>
        <v>2851.97</v>
      </c>
      <c r="S105" s="335">
        <f>R105*12</f>
        <v>34223.64</v>
      </c>
      <c r="U105" s="270">
        <v>1</v>
      </c>
      <c r="V105" s="266">
        <f>'[3]Oficial 3'!$D$136</f>
        <v>3510.56</v>
      </c>
      <c r="W105" s="335">
        <f>V105*U105</f>
        <v>3510.56</v>
      </c>
      <c r="X105" s="335">
        <f>W105*12</f>
        <v>42126.720000000001</v>
      </c>
      <c r="Z105" s="270">
        <v>1</v>
      </c>
      <c r="AA105" s="266">
        <v>3231.08</v>
      </c>
      <c r="AB105" s="267">
        <v>3231.08</v>
      </c>
      <c r="AC105" s="335">
        <v>38772.959999999999</v>
      </c>
      <c r="AE105" s="270">
        <v>1</v>
      </c>
      <c r="AF105" s="271">
        <v>3231.08</v>
      </c>
      <c r="AG105" s="267">
        <v>3231.08</v>
      </c>
      <c r="AH105" s="335">
        <v>38772.959999999999</v>
      </c>
      <c r="AJ105" s="270">
        <v>1</v>
      </c>
      <c r="AK105" s="271">
        <v>2987.6</v>
      </c>
      <c r="AL105" s="267">
        <v>2987.6</v>
      </c>
      <c r="AM105" s="335">
        <v>35851.199999999997</v>
      </c>
      <c r="AO105" s="325">
        <v>2</v>
      </c>
      <c r="AP105" s="326">
        <v>2987.6</v>
      </c>
      <c r="AQ105" s="327">
        <v>5975.2</v>
      </c>
      <c r="AR105" s="339">
        <v>71702.399999999994</v>
      </c>
      <c r="AS105" s="273" t="s">
        <v>653</v>
      </c>
      <c r="AT105" s="265">
        <v>2</v>
      </c>
      <c r="AU105" s="278">
        <f>'[3]Oficial 3'!$D$136</f>
        <v>3510.56</v>
      </c>
      <c r="AV105" s="289">
        <f>AU105*AT105</f>
        <v>7021.12</v>
      </c>
      <c r="AW105" s="342">
        <f>AV105*12</f>
        <v>84253.440000000002</v>
      </c>
      <c r="AX105" s="455">
        <v>2</v>
      </c>
      <c r="AY105" s="265">
        <v>2</v>
      </c>
      <c r="AZ105" s="334">
        <f t="shared" si="75"/>
        <v>0</v>
      </c>
      <c r="BA105" s="278">
        <f>BA99</f>
        <v>4108.6965408764872</v>
      </c>
      <c r="BB105" s="434">
        <f>BA105*AX105</f>
        <v>8217.3930817529745</v>
      </c>
      <c r="BC105" s="342">
        <f>BB105*12</f>
        <v>98608.716981035686</v>
      </c>
    </row>
    <row r="106" spans="2:55">
      <c r="B106" s="512"/>
      <c r="C106" s="512"/>
      <c r="D106" s="279">
        <f>SUM(D103:D105)</f>
        <v>4</v>
      </c>
      <c r="E106" s="281"/>
      <c r="F106" s="283">
        <v>11199.64</v>
      </c>
      <c r="G106" s="283">
        <v>134395.68</v>
      </c>
      <c r="H106" s="281"/>
      <c r="I106" s="283">
        <f>SUM(I103:I105)</f>
        <v>12144.769999999999</v>
      </c>
      <c r="J106" s="283">
        <f>SUM(J103:J105)</f>
        <v>145737.24</v>
      </c>
      <c r="K106" s="283">
        <f>SUM(K103:K105)</f>
        <v>0</v>
      </c>
      <c r="L106" s="283">
        <f>SUM(L103:L105)</f>
        <v>24289.539999999997</v>
      </c>
      <c r="P106" s="279">
        <f>SUM(P103:P105)</f>
        <v>4</v>
      </c>
      <c r="Q106" s="281"/>
      <c r="R106" s="283">
        <f>SUM(R103:R105)</f>
        <v>10785.59</v>
      </c>
      <c r="S106" s="283">
        <f>SUM(S103:S105)</f>
        <v>129427.08</v>
      </c>
      <c r="U106" s="279">
        <f>SUM(U103:U105)</f>
        <v>4</v>
      </c>
      <c r="V106" s="281"/>
      <c r="W106" s="283">
        <f>SUM(W103:W105)</f>
        <v>12144.769999999999</v>
      </c>
      <c r="X106" s="283">
        <f>SUM(X103:X105)</f>
        <v>145737.24</v>
      </c>
      <c r="Z106" s="279">
        <v>5</v>
      </c>
      <c r="AA106" s="281"/>
      <c r="AB106" s="283">
        <v>11449.08</v>
      </c>
      <c r="AC106" s="283">
        <v>137388.96</v>
      </c>
      <c r="AE106" s="279">
        <v>5</v>
      </c>
      <c r="AF106" s="284"/>
      <c r="AG106" s="283">
        <v>12455.97</v>
      </c>
      <c r="AH106" s="283">
        <v>149471.63999999998</v>
      </c>
      <c r="AJ106" s="279">
        <v>5</v>
      </c>
      <c r="AK106" s="284"/>
      <c r="AL106" s="283">
        <v>12212.49</v>
      </c>
      <c r="AM106" s="283">
        <v>146549.88</v>
      </c>
      <c r="AO106" s="279">
        <v>5</v>
      </c>
      <c r="AP106" s="284"/>
      <c r="AQ106" s="282">
        <v>13266.07</v>
      </c>
      <c r="AR106" s="283">
        <v>159192.84</v>
      </c>
      <c r="AT106" s="279">
        <f>SUM(AT103:AT105)</f>
        <v>5</v>
      </c>
      <c r="AU106" s="284"/>
      <c r="AV106" s="282">
        <f>SUM(AV103:AV105)</f>
        <v>15655.329999999998</v>
      </c>
      <c r="AW106" s="283">
        <f>SUM(AW103:AW105)</f>
        <v>187863.96000000002</v>
      </c>
      <c r="AX106" s="279">
        <f>SUM(AX103:AX105)</f>
        <v>5</v>
      </c>
      <c r="AY106" s="444"/>
      <c r="AZ106" s="444"/>
      <c r="BA106" s="284"/>
      <c r="BB106" s="437">
        <f>SUM(BB103:BB105)</f>
        <v>18572.277753447561</v>
      </c>
      <c r="BC106" s="283">
        <f>SUM(BC103:BC105)</f>
        <v>222867.33304137076</v>
      </c>
    </row>
    <row r="107" spans="2:55" ht="16.5" thickBot="1">
      <c r="B107" s="331" t="s">
        <v>657</v>
      </c>
      <c r="C107" s="345" t="s">
        <v>658</v>
      </c>
      <c r="E107" s="514" t="s">
        <v>578</v>
      </c>
      <c r="F107" s="514"/>
      <c r="G107" s="514"/>
      <c r="H107" s="514" t="s">
        <v>579</v>
      </c>
      <c r="I107" s="514"/>
      <c r="J107" s="514"/>
      <c r="P107" s="249" t="s">
        <v>659</v>
      </c>
      <c r="AA107" s="249" t="s">
        <v>580</v>
      </c>
      <c r="AF107" s="252"/>
      <c r="AK107" s="252"/>
    </row>
    <row r="108" spans="2:55" ht="48" thickBot="1">
      <c r="B108" s="260" t="s">
        <v>581</v>
      </c>
      <c r="C108" s="261" t="s">
        <v>267</v>
      </c>
      <c r="D108" s="261" t="s">
        <v>582</v>
      </c>
      <c r="E108" s="261" t="s">
        <v>583</v>
      </c>
      <c r="F108" s="261" t="s">
        <v>584</v>
      </c>
      <c r="G108" s="261" t="s">
        <v>585</v>
      </c>
      <c r="H108" s="261" t="s">
        <v>583</v>
      </c>
      <c r="I108" s="261" t="s">
        <v>584</v>
      </c>
      <c r="J108" s="261" t="s">
        <v>585</v>
      </c>
      <c r="L108" s="261" t="s">
        <v>587</v>
      </c>
      <c r="M108" s="261" t="s">
        <v>598</v>
      </c>
      <c r="N108" s="261" t="s">
        <v>588</v>
      </c>
      <c r="P108" s="346" t="s">
        <v>582</v>
      </c>
      <c r="Q108" s="347" t="s">
        <v>583</v>
      </c>
      <c r="R108" s="347" t="s">
        <v>584</v>
      </c>
      <c r="S108" s="347" t="s">
        <v>585</v>
      </c>
      <c r="U108" s="347" t="s">
        <v>582</v>
      </c>
      <c r="V108" s="347" t="s">
        <v>583</v>
      </c>
      <c r="W108" s="347" t="s">
        <v>584</v>
      </c>
      <c r="X108" s="347" t="s">
        <v>585</v>
      </c>
      <c r="Z108" s="261" t="s">
        <v>590</v>
      </c>
      <c r="AA108" s="261" t="s">
        <v>583</v>
      </c>
      <c r="AB108" s="261" t="s">
        <v>584</v>
      </c>
      <c r="AC108" s="261" t="s">
        <v>585</v>
      </c>
      <c r="AE108" s="261" t="s">
        <v>566</v>
      </c>
      <c r="AF108" s="262" t="s">
        <v>583</v>
      </c>
      <c r="AG108" s="261" t="s">
        <v>584</v>
      </c>
      <c r="AH108" s="261" t="s">
        <v>585</v>
      </c>
      <c r="AJ108" s="261" t="s">
        <v>566</v>
      </c>
      <c r="AK108" s="262" t="s">
        <v>583</v>
      </c>
      <c r="AL108" s="261" t="s">
        <v>584</v>
      </c>
      <c r="AM108" s="261" t="s">
        <v>585</v>
      </c>
      <c r="AO108" s="261" t="s">
        <v>566</v>
      </c>
      <c r="AP108" s="262" t="s">
        <v>583</v>
      </c>
      <c r="AQ108" s="261" t="s">
        <v>584</v>
      </c>
      <c r="AR108" s="261" t="s">
        <v>585</v>
      </c>
      <c r="AT108" s="261" t="s">
        <v>566</v>
      </c>
      <c r="AU108" s="262" t="s">
        <v>583</v>
      </c>
      <c r="AV108" s="261" t="s">
        <v>584</v>
      </c>
      <c r="AW108" s="261" t="s">
        <v>585</v>
      </c>
      <c r="AX108" s="261" t="s">
        <v>566</v>
      </c>
      <c r="AY108" s="261"/>
      <c r="AZ108" s="261"/>
      <c r="BA108" s="262" t="s">
        <v>583</v>
      </c>
      <c r="BB108" s="430" t="s">
        <v>584</v>
      </c>
      <c r="BC108" s="261" t="s">
        <v>585</v>
      </c>
    </row>
    <row r="109" spans="2:55" s="391" customFormat="1" ht="16.5" thickBot="1">
      <c r="B109" s="344">
        <v>4</v>
      </c>
      <c r="C109" s="328" t="s">
        <v>2</v>
      </c>
      <c r="D109" s="348">
        <v>0</v>
      </c>
      <c r="E109" s="348"/>
      <c r="F109" s="348"/>
      <c r="G109" s="348"/>
      <c r="H109" s="348"/>
      <c r="I109" s="348"/>
      <c r="J109" s="348"/>
      <c r="K109" s="447"/>
      <c r="L109" s="348"/>
      <c r="M109" s="348"/>
      <c r="N109" s="409"/>
      <c r="P109" s="448"/>
      <c r="Q109" s="449"/>
      <c r="R109" s="449"/>
      <c r="S109" s="449"/>
      <c r="U109" s="449"/>
      <c r="V109" s="449"/>
      <c r="W109" s="449"/>
      <c r="X109" s="449"/>
      <c r="Z109" s="348"/>
      <c r="AA109" s="348"/>
      <c r="AB109" s="348"/>
      <c r="AC109" s="348"/>
      <c r="AE109" s="348"/>
      <c r="AF109" s="450"/>
      <c r="AG109" s="348"/>
      <c r="AH109" s="348"/>
      <c r="AJ109" s="348"/>
      <c r="AK109" s="450"/>
      <c r="AL109" s="348"/>
      <c r="AM109" s="348"/>
      <c r="AO109" s="348"/>
      <c r="AP109" s="450"/>
      <c r="AQ109" s="348"/>
      <c r="AR109" s="348"/>
      <c r="AT109" s="348">
        <v>1</v>
      </c>
      <c r="AU109" s="398">
        <f>'[3]Porteiro 5'!D137</f>
        <v>3436.5</v>
      </c>
      <c r="AV109" s="396">
        <f>AU109*AT109</f>
        <v>3436.5</v>
      </c>
      <c r="AW109" s="335">
        <f>AV109*12</f>
        <v>41238</v>
      </c>
      <c r="AX109" s="348">
        <v>1</v>
      </c>
      <c r="AY109" s="328">
        <v>1</v>
      </c>
      <c r="AZ109" s="328">
        <f>AX109-AY109</f>
        <v>0</v>
      </c>
      <c r="BA109" s="470">
        <f>'12-A'!D152</f>
        <v>4066.7407068299322</v>
      </c>
      <c r="BB109" s="471">
        <f>BA109*AX109</f>
        <v>4066.7407068299322</v>
      </c>
      <c r="BC109" s="335">
        <f>BB109*12</f>
        <v>48800.888481959184</v>
      </c>
    </row>
    <row r="110" spans="2:55" ht="16.5" thickBot="1">
      <c r="B110" s="344">
        <v>5</v>
      </c>
      <c r="C110" s="333" t="s">
        <v>562</v>
      </c>
      <c r="D110" s="334">
        <v>1</v>
      </c>
      <c r="E110" s="335">
        <v>1774.11</v>
      </c>
      <c r="F110" s="335">
        <v>1774.11</v>
      </c>
      <c r="G110" s="335">
        <v>21289.32</v>
      </c>
      <c r="H110" s="335">
        <f>'[3]ASG 5'!$D$137</f>
        <v>2375.4299999999998</v>
      </c>
      <c r="I110" s="335">
        <f>H110*D110</f>
        <v>2375.4299999999998</v>
      </c>
      <c r="J110" s="335">
        <f>I110*12</f>
        <v>28505.159999999996</v>
      </c>
      <c r="L110" s="269">
        <f>I110*2</f>
        <v>4750.8599999999997</v>
      </c>
      <c r="M110" s="288">
        <v>802060</v>
      </c>
      <c r="N110" s="249" t="s">
        <v>602</v>
      </c>
      <c r="P110" s="349">
        <v>1</v>
      </c>
      <c r="Q110" s="350">
        <v>2413.92</v>
      </c>
      <c r="R110" s="350">
        <f>Q110*P110</f>
        <v>2413.92</v>
      </c>
      <c r="S110" s="350">
        <f>R110*12</f>
        <v>28967.040000000001</v>
      </c>
      <c r="U110" s="351">
        <v>1</v>
      </c>
      <c r="V110" s="350">
        <f>'[3]ASG 5'!$D$137</f>
        <v>2375.4299999999998</v>
      </c>
      <c r="W110" s="350">
        <f>V110*U110</f>
        <v>2375.4299999999998</v>
      </c>
      <c r="X110" s="350">
        <f>W110*12</f>
        <v>28505.159999999996</v>
      </c>
      <c r="Z110" s="334">
        <v>1</v>
      </c>
      <c r="AA110" s="335">
        <v>1774.11</v>
      </c>
      <c r="AB110" s="267">
        <v>1774.11</v>
      </c>
      <c r="AC110" s="335">
        <v>21289.32</v>
      </c>
      <c r="AE110" s="334">
        <v>1</v>
      </c>
      <c r="AF110" s="336">
        <v>1979.13</v>
      </c>
      <c r="AG110" s="267">
        <v>1979.13</v>
      </c>
      <c r="AH110" s="335">
        <v>23749.56</v>
      </c>
      <c r="AJ110" s="334">
        <v>1</v>
      </c>
      <c r="AK110" s="336">
        <v>1979.13</v>
      </c>
      <c r="AL110" s="267">
        <v>1979.13</v>
      </c>
      <c r="AM110" s="335">
        <v>23749.56</v>
      </c>
      <c r="AO110" s="334">
        <v>1</v>
      </c>
      <c r="AP110" s="336">
        <v>1979.13</v>
      </c>
      <c r="AQ110" s="267">
        <v>1979.13</v>
      </c>
      <c r="AR110" s="335">
        <v>23749.56</v>
      </c>
      <c r="AT110" s="334">
        <v>1</v>
      </c>
      <c r="AU110" s="336">
        <f>'[3]ASG 5'!$D$137</f>
        <v>2375.4299999999998</v>
      </c>
      <c r="AV110" s="267">
        <f>AU110*AT110</f>
        <v>2375.4299999999998</v>
      </c>
      <c r="AW110" s="335">
        <f>AV110*12</f>
        <v>28505.159999999996</v>
      </c>
      <c r="AX110" s="469">
        <v>1</v>
      </c>
      <c r="AY110" s="334">
        <v>1</v>
      </c>
      <c r="AZ110" s="328">
        <f t="shared" ref="AZ110:AZ111" si="76">AX110-AY110</f>
        <v>0</v>
      </c>
      <c r="BA110" s="336">
        <f>'16-A'!D152</f>
        <v>2848.1724234293483</v>
      </c>
      <c r="BB110" s="432">
        <f>BA110*AX110</f>
        <v>2848.1724234293483</v>
      </c>
      <c r="BC110" s="335">
        <f>BB110*12</f>
        <v>34178.069081152178</v>
      </c>
    </row>
    <row r="111" spans="2:55" ht="16.5" thickBot="1">
      <c r="B111" s="263">
        <v>8</v>
      </c>
      <c r="C111" s="264" t="s">
        <v>594</v>
      </c>
      <c r="D111" s="270">
        <v>1</v>
      </c>
      <c r="E111" s="266">
        <v>3051.18</v>
      </c>
      <c r="F111" s="335">
        <v>3051.18</v>
      </c>
      <c r="G111" s="335">
        <v>36614.159999999996</v>
      </c>
      <c r="H111" s="266">
        <f>'[3]Oficial 5'!$D$136</f>
        <v>3592.45</v>
      </c>
      <c r="I111" s="335">
        <f>H111*D111</f>
        <v>3592.45</v>
      </c>
      <c r="J111" s="335">
        <f>I111*12</f>
        <v>43109.399999999994</v>
      </c>
      <c r="L111" s="269">
        <f>I111*2</f>
        <v>7184.9</v>
      </c>
      <c r="M111" s="288">
        <v>802061</v>
      </c>
      <c r="N111" s="249" t="s">
        <v>602</v>
      </c>
      <c r="P111" s="352">
        <v>1</v>
      </c>
      <c r="Q111" s="353">
        <v>2851.97</v>
      </c>
      <c r="R111" s="350">
        <f>Q111*P111</f>
        <v>2851.97</v>
      </c>
      <c r="S111" s="350">
        <f>R111*12</f>
        <v>34223.64</v>
      </c>
      <c r="U111" s="354">
        <v>1</v>
      </c>
      <c r="V111" s="353">
        <f>'[3]Oficial 5'!$D$136</f>
        <v>3592.45</v>
      </c>
      <c r="W111" s="350">
        <f>V111*U111</f>
        <v>3592.45</v>
      </c>
      <c r="X111" s="350">
        <f>W111*12</f>
        <v>43109.399999999994</v>
      </c>
      <c r="Z111" s="270">
        <v>1</v>
      </c>
      <c r="AA111" s="266">
        <v>3306.45</v>
      </c>
      <c r="AB111" s="267">
        <v>3306.45</v>
      </c>
      <c r="AC111" s="335">
        <v>39677.399999999994</v>
      </c>
      <c r="AE111" s="270">
        <v>1</v>
      </c>
      <c r="AF111" s="271">
        <v>3306.45</v>
      </c>
      <c r="AG111" s="267">
        <v>3306.45</v>
      </c>
      <c r="AH111" s="335">
        <v>39677.399999999994</v>
      </c>
      <c r="AJ111" s="270">
        <v>1</v>
      </c>
      <c r="AK111" s="271">
        <v>3057.26</v>
      </c>
      <c r="AL111" s="267">
        <v>3057.26</v>
      </c>
      <c r="AM111" s="335">
        <v>36687.120000000003</v>
      </c>
      <c r="AO111" s="270">
        <v>1</v>
      </c>
      <c r="AP111" s="271">
        <v>3057.26</v>
      </c>
      <c r="AQ111" s="267">
        <v>3057.26</v>
      </c>
      <c r="AR111" s="335">
        <v>36687.120000000003</v>
      </c>
      <c r="AT111" s="270">
        <v>1</v>
      </c>
      <c r="AU111" s="271">
        <f>'[3]Oficial 5'!$D$136</f>
        <v>3592.45</v>
      </c>
      <c r="AV111" s="267">
        <f>AU111*AT111</f>
        <v>3592.45</v>
      </c>
      <c r="AW111" s="335">
        <f>AV111*12</f>
        <v>43109.399999999994</v>
      </c>
      <c r="AX111" s="468">
        <v>1</v>
      </c>
      <c r="AY111" s="270">
        <v>1</v>
      </c>
      <c r="AZ111" s="328">
        <f t="shared" si="76"/>
        <v>0</v>
      </c>
      <c r="BA111" s="271">
        <f>'22-A'!D152</f>
        <v>4205.2547943245409</v>
      </c>
      <c r="BB111" s="432">
        <f>BA111*AX111</f>
        <v>4205.2547943245409</v>
      </c>
      <c r="BC111" s="335">
        <f>BB111*12</f>
        <v>50463.05753189449</v>
      </c>
    </row>
    <row r="112" spans="2:55" ht="16.5" thickBot="1">
      <c r="B112" s="512"/>
      <c r="C112" s="512"/>
      <c r="D112" s="279">
        <f>SUM(D110:D111)</f>
        <v>2</v>
      </c>
      <c r="E112" s="281"/>
      <c r="F112" s="283">
        <v>7197.92</v>
      </c>
      <c r="G112" s="283">
        <v>86375.039999999994</v>
      </c>
      <c r="H112" s="281"/>
      <c r="I112" s="283">
        <f>SUM(I110:I111)</f>
        <v>5967.8799999999992</v>
      </c>
      <c r="J112" s="283">
        <f>SUM(J110:J111)</f>
        <v>71614.559999999998</v>
      </c>
      <c r="L112" s="283">
        <f>SUM(L110:L111)</f>
        <v>11935.759999999998</v>
      </c>
      <c r="P112" s="355">
        <f>SUM(P110:P111)</f>
        <v>2</v>
      </c>
      <c r="Q112" s="356"/>
      <c r="R112" s="357">
        <f>SUM(R110:R111)</f>
        <v>5265.8899999999994</v>
      </c>
      <c r="S112" s="357">
        <f>SUM(S110:S111)</f>
        <v>63190.68</v>
      </c>
      <c r="U112" s="358">
        <f>SUM(U110:U111)</f>
        <v>2</v>
      </c>
      <c r="V112" s="356"/>
      <c r="W112" s="357">
        <f>SUM(W110:W111)</f>
        <v>5967.8799999999992</v>
      </c>
      <c r="X112" s="357">
        <f>SUM(X110:X111)</f>
        <v>71614.559999999998</v>
      </c>
      <c r="Z112" s="279">
        <v>3</v>
      </c>
      <c r="AA112" s="281"/>
      <c r="AB112" s="282">
        <v>7453.19</v>
      </c>
      <c r="AC112" s="283">
        <v>89438.28</v>
      </c>
      <c r="AE112" s="279">
        <v>3</v>
      </c>
      <c r="AF112" s="284"/>
      <c r="AG112" s="282">
        <v>7935.17</v>
      </c>
      <c r="AH112" s="283">
        <v>95222.04</v>
      </c>
      <c r="AJ112" s="279">
        <v>3</v>
      </c>
      <c r="AK112" s="284"/>
      <c r="AL112" s="282">
        <v>7685.9800000000005</v>
      </c>
      <c r="AM112" s="283">
        <v>92231.760000000009</v>
      </c>
      <c r="AO112" s="279">
        <v>3</v>
      </c>
      <c r="AP112" s="284"/>
      <c r="AQ112" s="282">
        <v>7685.9800000000005</v>
      </c>
      <c r="AR112" s="283">
        <v>92231.760000000009</v>
      </c>
      <c r="AT112" s="279">
        <f>SUM(AT110:AT111)</f>
        <v>2</v>
      </c>
      <c r="AU112" s="284"/>
      <c r="AV112" s="282">
        <f>SUM(AV110:AV111)</f>
        <v>5967.8799999999992</v>
      </c>
      <c r="AW112" s="283">
        <f>SUM(AW109:AW111)</f>
        <v>112852.56</v>
      </c>
      <c r="AX112" s="279">
        <f>SUM(AX109:AX111)</f>
        <v>3</v>
      </c>
      <c r="AY112" s="444"/>
      <c r="AZ112" s="444"/>
      <c r="BA112" s="284"/>
      <c r="BB112" s="438">
        <f>SUM(BB109:BB111)</f>
        <v>11120.16792458382</v>
      </c>
      <c r="BC112" s="283">
        <f>SUM(BC109:BC111)</f>
        <v>133442.01509500586</v>
      </c>
    </row>
    <row r="113" spans="2:176">
      <c r="B113" s="331" t="s">
        <v>660</v>
      </c>
      <c r="C113" s="345" t="s">
        <v>648</v>
      </c>
      <c r="E113" s="514" t="s">
        <v>578</v>
      </c>
      <c r="F113" s="514"/>
      <c r="G113" s="514"/>
      <c r="H113" s="514" t="s">
        <v>579</v>
      </c>
      <c r="I113" s="514"/>
      <c r="J113" s="514"/>
      <c r="AA113" s="249" t="s">
        <v>580</v>
      </c>
      <c r="AF113" s="252"/>
      <c r="AK113" s="514" t="s">
        <v>573</v>
      </c>
      <c r="AL113" s="514"/>
      <c r="AM113" s="514"/>
      <c r="AP113" s="517"/>
      <c r="AQ113" s="517"/>
      <c r="AR113" s="517"/>
      <c r="AU113" s="517"/>
      <c r="AV113" s="517"/>
      <c r="AW113" s="517"/>
      <c r="BA113" s="518"/>
      <c r="BB113" s="518"/>
      <c r="BC113" s="518"/>
    </row>
    <row r="114" spans="2:176" ht="47.25">
      <c r="B114" s="260" t="s">
        <v>581</v>
      </c>
      <c r="C114" s="261" t="s">
        <v>267</v>
      </c>
      <c r="D114" s="261" t="s">
        <v>582</v>
      </c>
      <c r="E114" s="261" t="s">
        <v>583</v>
      </c>
      <c r="F114" s="261" t="s">
        <v>584</v>
      </c>
      <c r="G114" s="261" t="s">
        <v>585</v>
      </c>
      <c r="H114" s="261" t="s">
        <v>583</v>
      </c>
      <c r="I114" s="261" t="s">
        <v>584</v>
      </c>
      <c r="J114" s="261" t="s">
        <v>585</v>
      </c>
      <c r="K114" s="261" t="s">
        <v>586</v>
      </c>
      <c r="L114" s="261" t="s">
        <v>587</v>
      </c>
      <c r="M114" s="261" t="s">
        <v>598</v>
      </c>
      <c r="N114" s="261" t="s">
        <v>588</v>
      </c>
      <c r="P114" s="261" t="s">
        <v>582</v>
      </c>
      <c r="Q114" s="261" t="s">
        <v>583</v>
      </c>
      <c r="R114" s="261" t="s">
        <v>584</v>
      </c>
      <c r="S114" s="261" t="s">
        <v>585</v>
      </c>
      <c r="U114" s="261" t="s">
        <v>582</v>
      </c>
      <c r="V114" s="261" t="s">
        <v>583</v>
      </c>
      <c r="W114" s="261" t="s">
        <v>584</v>
      </c>
      <c r="X114" s="261" t="s">
        <v>585</v>
      </c>
      <c r="Z114" s="261" t="s">
        <v>590</v>
      </c>
      <c r="AA114" s="261" t="s">
        <v>583</v>
      </c>
      <c r="AB114" s="261" t="s">
        <v>584</v>
      </c>
      <c r="AC114" s="261" t="s">
        <v>585</v>
      </c>
      <c r="AE114" s="261" t="s">
        <v>566</v>
      </c>
      <c r="AF114" s="262" t="s">
        <v>583</v>
      </c>
      <c r="AG114" s="261" t="s">
        <v>584</v>
      </c>
      <c r="AH114" s="261" t="s">
        <v>585</v>
      </c>
      <c r="AJ114" s="261" t="s">
        <v>566</v>
      </c>
      <c r="AK114" s="262" t="s">
        <v>583</v>
      </c>
      <c r="AL114" s="261" t="s">
        <v>584</v>
      </c>
      <c r="AM114" s="261" t="s">
        <v>585</v>
      </c>
      <c r="AO114" s="261" t="s">
        <v>566</v>
      </c>
      <c r="AP114" s="262" t="s">
        <v>583</v>
      </c>
      <c r="AQ114" s="261" t="s">
        <v>584</v>
      </c>
      <c r="AR114" s="261" t="s">
        <v>585</v>
      </c>
      <c r="AT114" s="261" t="s">
        <v>566</v>
      </c>
      <c r="AU114" s="262" t="s">
        <v>583</v>
      </c>
      <c r="AV114" s="261" t="s">
        <v>584</v>
      </c>
      <c r="AW114" s="261" t="s">
        <v>585</v>
      </c>
      <c r="AX114" s="261" t="s">
        <v>566</v>
      </c>
      <c r="AY114" s="261"/>
      <c r="AZ114" s="261"/>
      <c r="BA114" s="262" t="s">
        <v>583</v>
      </c>
      <c r="BB114" s="430" t="s">
        <v>584</v>
      </c>
      <c r="BC114" s="261" t="s">
        <v>585</v>
      </c>
    </row>
    <row r="115" spans="2:176" s="359" customFormat="1">
      <c r="B115" s="344">
        <v>2</v>
      </c>
      <c r="C115" s="333" t="s">
        <v>1</v>
      </c>
      <c r="D115" s="334">
        <v>1</v>
      </c>
      <c r="E115" s="335">
        <v>1993.11</v>
      </c>
      <c r="F115" s="335">
        <v>1993.11</v>
      </c>
      <c r="G115" s="335">
        <v>23917.32</v>
      </c>
      <c r="H115" s="335">
        <f>'[3]Recepção 3'!$D$137</f>
        <v>2652.06</v>
      </c>
      <c r="I115" s="335">
        <f t="shared" ref="I115:I118" si="77">H115*D115</f>
        <v>2652.06</v>
      </c>
      <c r="J115" s="335">
        <f t="shared" ref="J115:J118" si="78">I115*12</f>
        <v>31824.720000000001</v>
      </c>
      <c r="K115" s="268">
        <f>I115*3</f>
        <v>7956.18</v>
      </c>
      <c r="L115" s="269" t="s">
        <v>591</v>
      </c>
      <c r="M115" s="288">
        <v>801860</v>
      </c>
      <c r="N115" s="249" t="s">
        <v>600</v>
      </c>
      <c r="O115" s="249"/>
      <c r="P115" s="334"/>
      <c r="Q115" s="335" t="e">
        <f>'[3]Recepção 3'!I137</f>
        <v>#REF!</v>
      </c>
      <c r="R115" s="335" t="e">
        <f>Q115*P115</f>
        <v>#REF!</v>
      </c>
      <c r="S115" s="335" t="e">
        <f>R115*12</f>
        <v>#REF!</v>
      </c>
      <c r="T115" s="249"/>
      <c r="U115" s="334">
        <v>0</v>
      </c>
      <c r="V115" s="335">
        <f>'[3]Recepção 3'!$D$137</f>
        <v>2652.06</v>
      </c>
      <c r="W115" s="335">
        <f>V115*U115</f>
        <v>0</v>
      </c>
      <c r="X115" s="335">
        <f>W115*12</f>
        <v>0</v>
      </c>
      <c r="Y115" s="249"/>
      <c r="Z115" s="334">
        <v>1</v>
      </c>
      <c r="AA115" s="335">
        <v>1993.11</v>
      </c>
      <c r="AB115" s="267">
        <v>1993.11</v>
      </c>
      <c r="AC115" s="335">
        <v>23917.32</v>
      </c>
      <c r="AD115" s="249"/>
      <c r="AE115" s="334">
        <v>1</v>
      </c>
      <c r="AF115" s="336">
        <v>2236.62</v>
      </c>
      <c r="AG115" s="267">
        <v>2236.62</v>
      </c>
      <c r="AH115" s="335">
        <v>26839.439999999999</v>
      </c>
      <c r="AI115" s="249"/>
      <c r="AJ115" s="334">
        <v>1</v>
      </c>
      <c r="AK115" s="336">
        <v>2236.62</v>
      </c>
      <c r="AL115" s="267">
        <v>2236.62</v>
      </c>
      <c r="AM115" s="335">
        <v>26839.439999999999</v>
      </c>
      <c r="AN115" s="249"/>
      <c r="AO115" s="334">
        <v>1</v>
      </c>
      <c r="AP115" s="336">
        <v>2236.62</v>
      </c>
      <c r="AQ115" s="267">
        <v>2236.62</v>
      </c>
      <c r="AR115" s="335">
        <v>26839.439999999999</v>
      </c>
      <c r="AS115" s="249"/>
      <c r="AT115" s="334">
        <v>1</v>
      </c>
      <c r="AU115" s="336">
        <f>'[3]Recepção 3'!$D$137</f>
        <v>2652.06</v>
      </c>
      <c r="AV115" s="267">
        <f t="shared" ref="AV115:AV118" si="79">AU115*AT115</f>
        <v>2652.06</v>
      </c>
      <c r="AW115" s="335">
        <f t="shared" ref="AW115:AW118" si="80">AV115*12</f>
        <v>31824.720000000001</v>
      </c>
      <c r="AX115" s="469">
        <v>1</v>
      </c>
      <c r="AY115" s="334">
        <v>1</v>
      </c>
      <c r="AZ115" s="334">
        <f>AX115-AY115</f>
        <v>0</v>
      </c>
      <c r="BA115" s="336">
        <f>'3-A'!D152</f>
        <v>3190.7590404208936</v>
      </c>
      <c r="BB115" s="432">
        <f t="shared" ref="BB115:BB118" si="81">BA115*AX115</f>
        <v>3190.7590404208936</v>
      </c>
      <c r="BC115" s="335">
        <f t="shared" ref="BC115:BC118" si="82">BB115*12</f>
        <v>38289.108485050725</v>
      </c>
      <c r="BD115" s="453"/>
      <c r="BE115" s="453"/>
      <c r="BF115" s="453"/>
      <c r="BG115" s="453"/>
      <c r="BH115" s="453"/>
      <c r="BI115" s="453"/>
      <c r="BJ115" s="453"/>
      <c r="BK115" s="453"/>
      <c r="BL115" s="453"/>
      <c r="BM115" s="453"/>
      <c r="BN115" s="453"/>
      <c r="BO115" s="453"/>
      <c r="BP115" s="453"/>
      <c r="BQ115" s="453"/>
      <c r="BR115" s="453"/>
      <c r="BS115" s="453"/>
      <c r="BT115" s="453"/>
      <c r="BU115" s="453"/>
      <c r="BV115" s="453"/>
      <c r="BW115" s="453"/>
      <c r="BX115" s="453"/>
      <c r="BY115" s="453"/>
      <c r="BZ115" s="453"/>
      <c r="CA115" s="453"/>
      <c r="CB115" s="453"/>
      <c r="CC115" s="453"/>
      <c r="CD115" s="453"/>
      <c r="CE115" s="453"/>
      <c r="CF115" s="453"/>
      <c r="CG115" s="453"/>
      <c r="CH115" s="453"/>
      <c r="CI115" s="453"/>
      <c r="CJ115" s="453"/>
      <c r="CK115" s="453"/>
      <c r="CL115" s="453"/>
      <c r="CM115" s="453"/>
      <c r="CN115" s="453"/>
      <c r="CO115" s="453"/>
      <c r="CP115" s="453"/>
      <c r="CQ115" s="453"/>
      <c r="CR115" s="453"/>
      <c r="CS115" s="453"/>
      <c r="CT115" s="453"/>
      <c r="CU115" s="453"/>
      <c r="CV115" s="453"/>
      <c r="CW115" s="453"/>
      <c r="CX115" s="453"/>
      <c r="CY115" s="453"/>
      <c r="CZ115" s="453"/>
      <c r="DA115" s="453"/>
      <c r="DB115" s="453"/>
      <c r="DC115" s="453"/>
      <c r="DD115" s="453"/>
      <c r="DE115" s="453"/>
      <c r="DF115" s="453"/>
      <c r="DG115" s="453"/>
      <c r="DH115" s="453"/>
      <c r="DI115" s="453"/>
      <c r="DJ115" s="453"/>
      <c r="DK115" s="453"/>
      <c r="DL115" s="453"/>
      <c r="DM115" s="453"/>
      <c r="DN115" s="453"/>
      <c r="DO115" s="453"/>
      <c r="DP115" s="453"/>
      <c r="DQ115" s="453"/>
      <c r="DR115" s="453"/>
      <c r="DS115" s="453"/>
      <c r="DT115" s="453"/>
      <c r="DU115" s="453"/>
      <c r="DV115" s="453"/>
      <c r="DW115" s="453"/>
      <c r="DX115" s="453"/>
      <c r="DY115" s="453"/>
      <c r="DZ115" s="453"/>
      <c r="EA115" s="453"/>
      <c r="EB115" s="453"/>
      <c r="EC115" s="453"/>
      <c r="ED115" s="453"/>
      <c r="EE115" s="453"/>
      <c r="EF115" s="453"/>
      <c r="EG115" s="453"/>
      <c r="EH115" s="453"/>
      <c r="EI115" s="453"/>
      <c r="EJ115" s="453"/>
      <c r="EK115" s="453"/>
      <c r="EL115" s="453"/>
      <c r="EM115" s="453"/>
      <c r="EN115" s="453"/>
      <c r="EO115" s="453"/>
      <c r="EP115" s="453"/>
      <c r="EQ115" s="453"/>
      <c r="ER115" s="453"/>
      <c r="ES115" s="453"/>
      <c r="ET115" s="453"/>
      <c r="EU115" s="453"/>
      <c r="EV115" s="453"/>
      <c r="EW115" s="453"/>
      <c r="EX115" s="453"/>
      <c r="EY115" s="453"/>
      <c r="EZ115" s="453"/>
      <c r="FA115" s="453"/>
      <c r="FB115" s="453"/>
      <c r="FC115" s="453"/>
      <c r="FD115" s="453"/>
      <c r="FE115" s="453"/>
      <c r="FF115" s="453"/>
      <c r="FG115" s="453"/>
      <c r="FH115" s="453"/>
      <c r="FI115" s="453"/>
      <c r="FJ115" s="453"/>
      <c r="FK115" s="453"/>
      <c r="FL115" s="453"/>
      <c r="FM115" s="453"/>
      <c r="FN115" s="453"/>
      <c r="FO115" s="453"/>
      <c r="FP115" s="453"/>
      <c r="FQ115" s="453"/>
      <c r="FR115" s="453"/>
      <c r="FS115" s="453"/>
      <c r="FT115" s="453"/>
    </row>
    <row r="116" spans="2:176">
      <c r="B116" s="263">
        <v>4</v>
      </c>
      <c r="C116" s="264" t="s">
        <v>2</v>
      </c>
      <c r="D116" s="270">
        <v>1</v>
      </c>
      <c r="E116" s="266">
        <v>2498.1</v>
      </c>
      <c r="F116" s="335">
        <v>2498.1</v>
      </c>
      <c r="G116" s="335">
        <v>29977.199999999997</v>
      </c>
      <c r="H116" s="266">
        <f>'[3]Porteiro 3'!$D$137</f>
        <v>3330.09</v>
      </c>
      <c r="I116" s="335">
        <f t="shared" si="77"/>
        <v>3330.09</v>
      </c>
      <c r="J116" s="335">
        <f t="shared" si="78"/>
        <v>39961.08</v>
      </c>
      <c r="K116" s="272" t="s">
        <v>591</v>
      </c>
      <c r="L116" s="269">
        <f>I116*2</f>
        <v>6660.18</v>
      </c>
      <c r="M116" s="288">
        <v>802062</v>
      </c>
      <c r="N116" s="249" t="s">
        <v>602</v>
      </c>
      <c r="P116" s="270">
        <v>1</v>
      </c>
      <c r="Q116" s="266">
        <v>2614.6</v>
      </c>
      <c r="R116" s="335">
        <f>Q116*P116</f>
        <v>2614.6</v>
      </c>
      <c r="S116" s="335">
        <f>R116*12</f>
        <v>31375.199999999997</v>
      </c>
      <c r="U116" s="270">
        <v>1</v>
      </c>
      <c r="V116" s="266">
        <f>'[3]Porteiro 3'!$D$137</f>
        <v>3330.09</v>
      </c>
      <c r="W116" s="335">
        <f>V116*U116</f>
        <v>3330.09</v>
      </c>
      <c r="X116" s="335">
        <f>W116*12</f>
        <v>39961.08</v>
      </c>
      <c r="Z116" s="270">
        <v>1</v>
      </c>
      <c r="AA116" s="266">
        <v>2498.1</v>
      </c>
      <c r="AB116" s="267">
        <v>2498.1</v>
      </c>
      <c r="AC116" s="335">
        <v>29977.199999999997</v>
      </c>
      <c r="AE116" s="270">
        <v>1</v>
      </c>
      <c r="AF116" s="271">
        <v>2817.63</v>
      </c>
      <c r="AG116" s="267">
        <v>2817.63</v>
      </c>
      <c r="AH116" s="335">
        <v>33811.56</v>
      </c>
      <c r="AJ116" s="270">
        <v>1</v>
      </c>
      <c r="AK116" s="271">
        <v>2817.63</v>
      </c>
      <c r="AL116" s="267">
        <v>2817.63</v>
      </c>
      <c r="AM116" s="335">
        <v>33811.56</v>
      </c>
      <c r="AO116" s="270">
        <v>1</v>
      </c>
      <c r="AP116" s="271">
        <v>2817.63</v>
      </c>
      <c r="AQ116" s="267">
        <v>2817.63</v>
      </c>
      <c r="AR116" s="335">
        <v>33811.56</v>
      </c>
      <c r="AT116" s="270">
        <v>1</v>
      </c>
      <c r="AU116" s="271">
        <f>'[3]Porteiro 3'!$D$137</f>
        <v>3330.09</v>
      </c>
      <c r="AV116" s="267">
        <f t="shared" si="79"/>
        <v>3330.09</v>
      </c>
      <c r="AW116" s="335">
        <f t="shared" si="80"/>
        <v>39961.08</v>
      </c>
      <c r="AX116" s="468">
        <v>1</v>
      </c>
      <c r="AY116" s="270">
        <v>1</v>
      </c>
      <c r="AZ116" s="334">
        <f t="shared" ref="AZ116:AZ118" si="83">AX116-AY116</f>
        <v>0</v>
      </c>
      <c r="BA116" s="271">
        <f>'10-A'!D152</f>
        <v>3973.3665908528019</v>
      </c>
      <c r="BB116" s="432">
        <f t="shared" si="81"/>
        <v>3973.3665908528019</v>
      </c>
      <c r="BC116" s="335">
        <f t="shared" si="82"/>
        <v>47680.399090233623</v>
      </c>
    </row>
    <row r="117" spans="2:176">
      <c r="B117" s="263">
        <v>5</v>
      </c>
      <c r="C117" s="264" t="s">
        <v>661</v>
      </c>
      <c r="D117" s="270">
        <v>1</v>
      </c>
      <c r="E117" s="266">
        <v>1733.68</v>
      </c>
      <c r="F117" s="335">
        <v>1733.68</v>
      </c>
      <c r="G117" s="335">
        <v>20804.16</v>
      </c>
      <c r="H117" s="266">
        <f>'[3]ASG 3'!$D$137</f>
        <v>2321.3000000000002</v>
      </c>
      <c r="I117" s="335">
        <f t="shared" si="77"/>
        <v>2321.3000000000002</v>
      </c>
      <c r="J117" s="335">
        <f t="shared" si="78"/>
        <v>27855.600000000002</v>
      </c>
      <c r="K117" s="268">
        <f>I117*3</f>
        <v>6963.9000000000005</v>
      </c>
      <c r="L117" s="269" t="s">
        <v>591</v>
      </c>
      <c r="M117" s="288">
        <v>801860</v>
      </c>
      <c r="N117" s="249" t="s">
        <v>600</v>
      </c>
      <c r="P117" s="270"/>
      <c r="Q117" s="266" t="e">
        <f>'[3]ASG 3'!I137</f>
        <v>#REF!</v>
      </c>
      <c r="R117" s="335" t="e">
        <f>Q117*P117</f>
        <v>#REF!</v>
      </c>
      <c r="S117" s="335" t="e">
        <f>R117*12</f>
        <v>#REF!</v>
      </c>
      <c r="T117" s="359"/>
      <c r="U117" s="270">
        <v>0</v>
      </c>
      <c r="V117" s="266">
        <f>'[3]ASG 3'!$D$137</f>
        <v>2321.3000000000002</v>
      </c>
      <c r="W117" s="335">
        <f>V117*U117</f>
        <v>0</v>
      </c>
      <c r="X117" s="335">
        <f>W117*12</f>
        <v>0</v>
      </c>
      <c r="Z117" s="270">
        <v>1</v>
      </c>
      <c r="AA117" s="266">
        <v>1733.68</v>
      </c>
      <c r="AB117" s="267">
        <v>1733.68</v>
      </c>
      <c r="AC117" s="335">
        <v>20804.16</v>
      </c>
      <c r="AE117" s="270">
        <v>1</v>
      </c>
      <c r="AF117" s="271">
        <v>1934.02</v>
      </c>
      <c r="AG117" s="267">
        <v>1934.02</v>
      </c>
      <c r="AH117" s="335">
        <v>23208.239999999998</v>
      </c>
      <c r="AJ117" s="270">
        <v>1</v>
      </c>
      <c r="AK117" s="271">
        <v>1934.02</v>
      </c>
      <c r="AL117" s="267">
        <v>1934.02</v>
      </c>
      <c r="AM117" s="335">
        <v>23208.239999999998</v>
      </c>
      <c r="AO117" s="270">
        <v>1</v>
      </c>
      <c r="AP117" s="271">
        <v>1934.02</v>
      </c>
      <c r="AQ117" s="267">
        <v>1934.02</v>
      </c>
      <c r="AR117" s="335">
        <v>23208.239999999998</v>
      </c>
      <c r="AT117" s="270">
        <v>1</v>
      </c>
      <c r="AU117" s="271">
        <f>'[3]ASG 3'!$D$137</f>
        <v>2321.3000000000002</v>
      </c>
      <c r="AV117" s="267">
        <f t="shared" si="79"/>
        <v>2321.3000000000002</v>
      </c>
      <c r="AW117" s="335">
        <f t="shared" si="80"/>
        <v>27855.600000000002</v>
      </c>
      <c r="AX117" s="468">
        <v>1</v>
      </c>
      <c r="AY117" s="270">
        <v>1</v>
      </c>
      <c r="AZ117" s="334">
        <f t="shared" si="83"/>
        <v>0</v>
      </c>
      <c r="BA117" s="271">
        <f>'14-A'!D152</f>
        <v>2782.7822337969228</v>
      </c>
      <c r="BB117" s="432">
        <f t="shared" si="81"/>
        <v>2782.7822337969228</v>
      </c>
      <c r="BC117" s="335">
        <f t="shared" si="82"/>
        <v>33393.386805563074</v>
      </c>
    </row>
    <row r="118" spans="2:176">
      <c r="B118" s="263">
        <v>8</v>
      </c>
      <c r="C118" s="264" t="s">
        <v>594</v>
      </c>
      <c r="D118" s="270">
        <v>1</v>
      </c>
      <c r="E118" s="266">
        <v>2981.64</v>
      </c>
      <c r="F118" s="335">
        <v>2981.64</v>
      </c>
      <c r="G118" s="335">
        <v>35779.68</v>
      </c>
      <c r="H118" s="266">
        <f>'[3]Oficial 3'!$D$136</f>
        <v>3510.56</v>
      </c>
      <c r="I118" s="335">
        <f t="shared" si="77"/>
        <v>3510.56</v>
      </c>
      <c r="J118" s="335">
        <f t="shared" si="78"/>
        <v>42126.720000000001</v>
      </c>
      <c r="K118" s="272" t="s">
        <v>591</v>
      </c>
      <c r="L118" s="269">
        <f>I118*2</f>
        <v>7021.12</v>
      </c>
      <c r="M118" s="288">
        <v>802063</v>
      </c>
      <c r="N118" s="249" t="s">
        <v>600</v>
      </c>
      <c r="P118" s="270">
        <v>1</v>
      </c>
      <c r="Q118" s="266">
        <v>2851.97</v>
      </c>
      <c r="R118" s="335">
        <f>Q118*P118</f>
        <v>2851.97</v>
      </c>
      <c r="S118" s="335">
        <f>R118*12</f>
        <v>34223.64</v>
      </c>
      <c r="U118" s="270">
        <v>1</v>
      </c>
      <c r="V118" s="266">
        <f>'[3]Oficial 3'!$D$136</f>
        <v>3510.56</v>
      </c>
      <c r="W118" s="335">
        <f>V118*U118</f>
        <v>3510.56</v>
      </c>
      <c r="X118" s="335">
        <f>W118*12</f>
        <v>42126.720000000001</v>
      </c>
      <c r="Z118" s="270">
        <v>1</v>
      </c>
      <c r="AA118" s="266">
        <v>3231.08</v>
      </c>
      <c r="AB118" s="267">
        <v>3231.08</v>
      </c>
      <c r="AC118" s="335">
        <v>38772.959999999999</v>
      </c>
      <c r="AE118" s="270">
        <v>1</v>
      </c>
      <c r="AF118" s="271">
        <v>3231.08</v>
      </c>
      <c r="AG118" s="267">
        <v>3231.08</v>
      </c>
      <c r="AH118" s="335">
        <v>38772.959999999999</v>
      </c>
      <c r="AJ118" s="270">
        <v>1</v>
      </c>
      <c r="AK118" s="271">
        <v>2987.6</v>
      </c>
      <c r="AL118" s="267">
        <v>2987.6</v>
      </c>
      <c r="AM118" s="335">
        <v>35851.199999999997</v>
      </c>
      <c r="AO118" s="270">
        <v>1</v>
      </c>
      <c r="AP118" s="271">
        <v>2987.6</v>
      </c>
      <c r="AQ118" s="267">
        <v>2987.6</v>
      </c>
      <c r="AR118" s="335">
        <v>35851.199999999997</v>
      </c>
      <c r="AT118" s="270">
        <v>1</v>
      </c>
      <c r="AU118" s="271">
        <f>'[3]Oficial 3'!$D$136</f>
        <v>3510.56</v>
      </c>
      <c r="AV118" s="267">
        <f t="shared" si="79"/>
        <v>3510.56</v>
      </c>
      <c r="AW118" s="335">
        <f t="shared" si="80"/>
        <v>42126.720000000001</v>
      </c>
      <c r="AX118" s="468">
        <v>1</v>
      </c>
      <c r="AY118" s="270">
        <v>1</v>
      </c>
      <c r="AZ118" s="334">
        <f t="shared" si="83"/>
        <v>0</v>
      </c>
      <c r="BA118" s="271">
        <f>'20-A'!D152</f>
        <v>4108.6965408764872</v>
      </c>
      <c r="BB118" s="432">
        <f t="shared" si="81"/>
        <v>4108.6965408764872</v>
      </c>
      <c r="BC118" s="335">
        <f t="shared" si="82"/>
        <v>49304.358490517843</v>
      </c>
    </row>
    <row r="119" spans="2:176">
      <c r="B119" s="360"/>
      <c r="C119" s="361"/>
      <c r="D119" s="279">
        <f>SUM(D115:D118)</f>
        <v>4</v>
      </c>
      <c r="E119" s="281"/>
      <c r="F119" s="283">
        <v>11525.09</v>
      </c>
      <c r="G119" s="283">
        <v>138301.07999999999</v>
      </c>
      <c r="H119" s="281"/>
      <c r="I119" s="283">
        <f>SUM(I115:I118)</f>
        <v>11814.01</v>
      </c>
      <c r="J119" s="283">
        <f>SUM(J115:J118)</f>
        <v>141768.12</v>
      </c>
      <c r="K119" s="283">
        <f>SUM(K115:K118)</f>
        <v>14920.080000000002</v>
      </c>
      <c r="L119" s="283">
        <f>SUM(L115:L118)</f>
        <v>13681.3</v>
      </c>
      <c r="P119" s="279">
        <f>SUM(P115:P118)</f>
        <v>2</v>
      </c>
      <c r="Q119" s="281"/>
      <c r="R119" s="283" t="e">
        <f>SUM(R115:R118)</f>
        <v>#REF!</v>
      </c>
      <c r="S119" s="283" t="e">
        <f>SUM(S115:S118)</f>
        <v>#REF!</v>
      </c>
      <c r="U119" s="279">
        <f>SUM(U115:U118)</f>
        <v>2</v>
      </c>
      <c r="V119" s="281"/>
      <c r="W119" s="283">
        <f>SUM(W115:W118)</f>
        <v>6840.65</v>
      </c>
      <c r="X119" s="283">
        <f>SUM(X115:X118)</f>
        <v>82087.8</v>
      </c>
      <c r="Z119" s="279">
        <v>5</v>
      </c>
      <c r="AA119" s="281"/>
      <c r="AB119" s="282">
        <v>11774.53</v>
      </c>
      <c r="AC119" s="283">
        <v>141294.35999999999</v>
      </c>
      <c r="AE119" s="279">
        <v>5</v>
      </c>
      <c r="AF119" s="284"/>
      <c r="AG119" s="282">
        <v>12808.55</v>
      </c>
      <c r="AH119" s="283">
        <v>153702.59999999998</v>
      </c>
      <c r="AJ119" s="279">
        <v>5</v>
      </c>
      <c r="AK119" s="284"/>
      <c r="AL119" s="282">
        <v>12565.07</v>
      </c>
      <c r="AM119" s="283">
        <v>150780.84</v>
      </c>
      <c r="AO119" s="279">
        <v>5</v>
      </c>
      <c r="AP119" s="284"/>
      <c r="AQ119" s="282">
        <v>12565.07</v>
      </c>
      <c r="AR119" s="283">
        <v>150780.84</v>
      </c>
      <c r="AT119" s="279">
        <f>SUM(AT115:AT118)</f>
        <v>4</v>
      </c>
      <c r="AU119" s="284"/>
      <c r="AV119" s="282">
        <f>SUM(AV115:AV118)</f>
        <v>11814.01</v>
      </c>
      <c r="AW119" s="283">
        <f>SUM(AW115:AW118)</f>
        <v>141768.12</v>
      </c>
      <c r="AX119" s="279">
        <f>SUM(AX115:AX118)</f>
        <v>4</v>
      </c>
      <c r="AY119" s="444"/>
      <c r="AZ119" s="444"/>
      <c r="BA119" s="284"/>
      <c r="BB119" s="437">
        <f>SUM(BB115:BB118)</f>
        <v>14055.604405947106</v>
      </c>
      <c r="BC119" s="283">
        <f>SUM(BC115:BC118)</f>
        <v>168667.25287136526</v>
      </c>
    </row>
    <row r="120" spans="2:176">
      <c r="B120" s="331" t="s">
        <v>662</v>
      </c>
      <c r="C120" s="345" t="s">
        <v>648</v>
      </c>
      <c r="E120" s="514" t="s">
        <v>578</v>
      </c>
      <c r="F120" s="514"/>
      <c r="G120" s="514"/>
      <c r="H120" s="514" t="s">
        <v>579</v>
      </c>
      <c r="I120" s="514"/>
      <c r="J120" s="514"/>
      <c r="L120" s="275" t="e">
        <f>#REF!-#REF!</f>
        <v>#REF!</v>
      </c>
      <c r="AA120" s="249" t="s">
        <v>580</v>
      </c>
      <c r="AF120" s="252"/>
      <c r="AK120" s="252"/>
    </row>
    <row r="121" spans="2:176" ht="47.25">
      <c r="B121" s="260" t="s">
        <v>581</v>
      </c>
      <c r="C121" s="261" t="s">
        <v>267</v>
      </c>
      <c r="D121" s="261" t="s">
        <v>582</v>
      </c>
      <c r="E121" s="261" t="s">
        <v>583</v>
      </c>
      <c r="F121" s="261" t="s">
        <v>584</v>
      </c>
      <c r="G121" s="261" t="s">
        <v>585</v>
      </c>
      <c r="H121" s="261" t="s">
        <v>583</v>
      </c>
      <c r="I121" s="261" t="s">
        <v>584</v>
      </c>
      <c r="J121" s="261" t="s">
        <v>585</v>
      </c>
      <c r="K121" s="261" t="s">
        <v>586</v>
      </c>
      <c r="M121" s="261" t="s">
        <v>598</v>
      </c>
      <c r="N121" s="261" t="s">
        <v>588</v>
      </c>
      <c r="P121" s="261" t="s">
        <v>582</v>
      </c>
      <c r="Q121" s="261" t="s">
        <v>583</v>
      </c>
      <c r="R121" s="261" t="s">
        <v>584</v>
      </c>
      <c r="S121" s="261" t="s">
        <v>585</v>
      </c>
      <c r="Z121" s="261" t="s">
        <v>590</v>
      </c>
      <c r="AA121" s="261" t="s">
        <v>583</v>
      </c>
      <c r="AB121" s="261" t="s">
        <v>584</v>
      </c>
      <c r="AC121" s="261" t="s">
        <v>585</v>
      </c>
      <c r="AE121" s="261" t="s">
        <v>566</v>
      </c>
      <c r="AF121" s="262" t="s">
        <v>583</v>
      </c>
      <c r="AG121" s="261" t="s">
        <v>584</v>
      </c>
      <c r="AH121" s="261" t="s">
        <v>585</v>
      </c>
      <c r="AJ121" s="261" t="s">
        <v>566</v>
      </c>
      <c r="AK121" s="262" t="s">
        <v>583</v>
      </c>
      <c r="AL121" s="261" t="s">
        <v>584</v>
      </c>
      <c r="AM121" s="261" t="s">
        <v>585</v>
      </c>
      <c r="AO121" s="261" t="s">
        <v>566</v>
      </c>
      <c r="AP121" s="262" t="s">
        <v>583</v>
      </c>
      <c r="AQ121" s="261" t="s">
        <v>584</v>
      </c>
      <c r="AR121" s="261" t="s">
        <v>585</v>
      </c>
      <c r="AT121" s="261" t="s">
        <v>566</v>
      </c>
      <c r="AU121" s="262" t="s">
        <v>583</v>
      </c>
      <c r="AV121" s="261" t="s">
        <v>584</v>
      </c>
      <c r="AW121" s="261" t="s">
        <v>585</v>
      </c>
      <c r="AX121" s="261" t="s">
        <v>566</v>
      </c>
      <c r="AY121" s="261"/>
      <c r="AZ121" s="261"/>
      <c r="BA121" s="262" t="s">
        <v>583</v>
      </c>
      <c r="BB121" s="430" t="s">
        <v>584</v>
      </c>
      <c r="BC121" s="261" t="s">
        <v>585</v>
      </c>
    </row>
    <row r="122" spans="2:176">
      <c r="B122" s="344">
        <v>2</v>
      </c>
      <c r="C122" s="333" t="s">
        <v>1</v>
      </c>
      <c r="D122" s="334">
        <v>1</v>
      </c>
      <c r="E122" s="335">
        <v>1993.11</v>
      </c>
      <c r="F122" s="335">
        <v>1993.11</v>
      </c>
      <c r="G122" s="335">
        <v>23917.32</v>
      </c>
      <c r="H122" s="335">
        <f>'[3]Recepção 3'!$D$137</f>
        <v>2652.06</v>
      </c>
      <c r="I122" s="335">
        <f>H122*D122</f>
        <v>2652.06</v>
      </c>
      <c r="J122" s="335">
        <f>I122*12</f>
        <v>31824.720000000001</v>
      </c>
      <c r="K122" s="268">
        <f>H122*3</f>
        <v>7956.18</v>
      </c>
      <c r="M122" s="288">
        <v>801648</v>
      </c>
      <c r="N122" s="249" t="s">
        <v>600</v>
      </c>
      <c r="P122" s="334"/>
      <c r="Q122" s="335" t="e">
        <f>'[3]Recepção 3'!I137</f>
        <v>#REF!</v>
      </c>
      <c r="R122" s="335" t="e">
        <f>Q122*P122</f>
        <v>#REF!</v>
      </c>
      <c r="S122" s="335" t="e">
        <f>R122*12</f>
        <v>#REF!</v>
      </c>
      <c r="Z122" s="334">
        <v>1</v>
      </c>
      <c r="AA122" s="335">
        <v>1993.11</v>
      </c>
      <c r="AB122" s="267">
        <v>1993.11</v>
      </c>
      <c r="AC122" s="335">
        <v>23917.32</v>
      </c>
      <c r="AE122" s="334">
        <v>1</v>
      </c>
      <c r="AF122" s="336">
        <v>2236.62</v>
      </c>
      <c r="AG122" s="267">
        <v>2236.62</v>
      </c>
      <c r="AH122" s="335">
        <v>26839.439999999999</v>
      </c>
      <c r="AJ122" s="334">
        <v>1</v>
      </c>
      <c r="AK122" s="336">
        <v>2236.62</v>
      </c>
      <c r="AL122" s="267">
        <v>2236.62</v>
      </c>
      <c r="AM122" s="335">
        <v>26839.439999999999</v>
      </c>
      <c r="AO122" s="334">
        <v>1</v>
      </c>
      <c r="AP122" s="336">
        <v>2236.62</v>
      </c>
      <c r="AQ122" s="267">
        <v>2236.62</v>
      </c>
      <c r="AR122" s="335">
        <v>26839.439999999999</v>
      </c>
      <c r="AT122" s="334">
        <v>1</v>
      </c>
      <c r="AU122" s="336">
        <f>'[3]Recepção 3'!$D$137</f>
        <v>2652.06</v>
      </c>
      <c r="AV122" s="267">
        <f>AU122*AT122</f>
        <v>2652.06</v>
      </c>
      <c r="AW122" s="335">
        <f>AV122*12</f>
        <v>31824.720000000001</v>
      </c>
      <c r="AX122" s="469">
        <v>1</v>
      </c>
      <c r="AY122" s="334">
        <v>1</v>
      </c>
      <c r="AZ122" s="334">
        <f>AX122-AY122</f>
        <v>0</v>
      </c>
      <c r="BA122" s="336">
        <f>BA115</f>
        <v>3190.7590404208936</v>
      </c>
      <c r="BB122" s="432">
        <f>BA122*AX122</f>
        <v>3190.7590404208936</v>
      </c>
      <c r="BC122" s="335">
        <f>BB122*12</f>
        <v>38289.108485050725</v>
      </c>
      <c r="BG122" s="452">
        <f>AU130*8</f>
        <v>18784.400000000001</v>
      </c>
    </row>
    <row r="123" spans="2:176" s="451" customFormat="1">
      <c r="B123" s="472">
        <v>5</v>
      </c>
      <c r="C123" s="473" t="s">
        <v>562</v>
      </c>
      <c r="D123" s="474">
        <v>4</v>
      </c>
      <c r="E123" s="475">
        <v>1733.68</v>
      </c>
      <c r="F123" s="476">
        <v>6934.72</v>
      </c>
      <c r="G123" s="476">
        <v>83216.639999999999</v>
      </c>
      <c r="H123" s="475">
        <f>'[3]ASG 3'!$D$137</f>
        <v>2321.3000000000002</v>
      </c>
      <c r="I123" s="476">
        <f t="shared" ref="I123" si="84">H123*D123</f>
        <v>9285.2000000000007</v>
      </c>
      <c r="J123" s="476">
        <f t="shared" ref="J123" si="85">I123*12</f>
        <v>111422.40000000001</v>
      </c>
      <c r="K123" s="477"/>
      <c r="L123" s="478">
        <f t="shared" ref="L123" si="86">I123*2</f>
        <v>18570.400000000001</v>
      </c>
      <c r="M123" s="479">
        <v>802066</v>
      </c>
      <c r="N123" s="480" t="s">
        <v>602</v>
      </c>
      <c r="O123" s="480"/>
      <c r="P123" s="474">
        <v>3</v>
      </c>
      <c r="Q123" s="475">
        <v>2437.31</v>
      </c>
      <c r="R123" s="476">
        <f t="shared" ref="R123" si="87">Q123*P123</f>
        <v>7311.93</v>
      </c>
      <c r="S123" s="476">
        <f t="shared" ref="S123" si="88">R123*12</f>
        <v>87743.16</v>
      </c>
      <c r="T123" s="480"/>
      <c r="U123" s="474">
        <v>3</v>
      </c>
      <c r="V123" s="475">
        <f>'[3]ASG 3'!$D$137</f>
        <v>2321.3000000000002</v>
      </c>
      <c r="W123" s="476">
        <f t="shared" ref="W123" si="89">V123*U123</f>
        <v>6963.9000000000005</v>
      </c>
      <c r="X123" s="476">
        <f t="shared" ref="X123" si="90">W123*12</f>
        <v>83566.8</v>
      </c>
      <c r="Y123" s="480"/>
      <c r="Z123" s="474">
        <v>4</v>
      </c>
      <c r="AA123" s="475">
        <v>1733.68</v>
      </c>
      <c r="AB123" s="481">
        <v>6934.72</v>
      </c>
      <c r="AC123" s="476">
        <v>83216.639999999999</v>
      </c>
      <c r="AD123" s="480"/>
      <c r="AE123" s="474">
        <v>4</v>
      </c>
      <c r="AF123" s="482">
        <v>1934.02</v>
      </c>
      <c r="AG123" s="481">
        <v>7736.08</v>
      </c>
      <c r="AH123" s="476">
        <v>92832.959999999992</v>
      </c>
      <c r="AI123" s="480"/>
      <c r="AJ123" s="474">
        <v>4</v>
      </c>
      <c r="AK123" s="482">
        <v>1934.02</v>
      </c>
      <c r="AL123" s="481">
        <v>7736.08</v>
      </c>
      <c r="AM123" s="476">
        <v>92832.959999999992</v>
      </c>
      <c r="AN123" s="480"/>
      <c r="AO123" s="474">
        <v>4</v>
      </c>
      <c r="AP123" s="482">
        <v>1934.02</v>
      </c>
      <c r="AQ123" s="481">
        <v>7736.08</v>
      </c>
      <c r="AR123" s="476">
        <v>92832.959999999992</v>
      </c>
      <c r="AS123" s="480"/>
      <c r="AT123" s="474">
        <v>0</v>
      </c>
      <c r="AU123" s="482">
        <f>'[3]ASG 3'!$D$137</f>
        <v>2321.3000000000002</v>
      </c>
      <c r="AV123" s="481">
        <f t="shared" ref="AV123" si="91">AU123*AT123</f>
        <v>0</v>
      </c>
      <c r="AW123" s="476">
        <f t="shared" ref="AW123" si="92">AV123*12</f>
        <v>0</v>
      </c>
      <c r="AX123" s="474">
        <v>1</v>
      </c>
      <c r="AY123" s="474">
        <v>0</v>
      </c>
      <c r="AZ123" s="474">
        <f t="shared" ref="AZ123:AZ124" si="93">AX123-AY123</f>
        <v>1</v>
      </c>
      <c r="BA123" s="482">
        <f>BA117</f>
        <v>2782.7822337969228</v>
      </c>
      <c r="BB123" s="483">
        <f t="shared" ref="BB123" si="94">BA123*AX123</f>
        <v>2782.7822337969228</v>
      </c>
      <c r="BC123" s="476">
        <f>BB123*12</f>
        <v>33393.386805563074</v>
      </c>
      <c r="BD123" s="391"/>
      <c r="BE123" s="391"/>
      <c r="BF123" s="391"/>
      <c r="BG123" s="391"/>
      <c r="BH123" s="391"/>
      <c r="BI123" s="391"/>
      <c r="BJ123" s="391"/>
      <c r="BK123" s="391"/>
      <c r="BL123" s="391"/>
      <c r="BM123" s="391"/>
      <c r="BN123" s="391"/>
      <c r="BO123" s="391"/>
      <c r="BP123" s="391"/>
      <c r="BQ123" s="391"/>
      <c r="BR123" s="391"/>
      <c r="BS123" s="391"/>
      <c r="BT123" s="391"/>
      <c r="BU123" s="391"/>
      <c r="BV123" s="391"/>
      <c r="BW123" s="391"/>
      <c r="BX123" s="391"/>
      <c r="BY123" s="391"/>
      <c r="BZ123" s="391"/>
      <c r="CA123" s="391"/>
      <c r="CB123" s="391"/>
      <c r="CC123" s="391"/>
      <c r="CD123" s="391"/>
      <c r="CE123" s="391"/>
      <c r="CF123" s="391"/>
      <c r="CG123" s="391"/>
      <c r="CH123" s="391"/>
      <c r="CI123" s="391"/>
      <c r="CJ123" s="391"/>
      <c r="CK123" s="391"/>
      <c r="CL123" s="391"/>
      <c r="CM123" s="391"/>
      <c r="CN123" s="391"/>
      <c r="CO123" s="391"/>
      <c r="CP123" s="391"/>
      <c r="CQ123" s="391"/>
      <c r="CR123" s="391"/>
      <c r="CS123" s="391"/>
      <c r="CT123" s="391"/>
      <c r="CU123" s="391"/>
      <c r="CV123" s="391"/>
      <c r="CW123" s="391"/>
      <c r="CX123" s="391"/>
      <c r="CY123" s="391"/>
      <c r="CZ123" s="391"/>
      <c r="DA123" s="391"/>
      <c r="DB123" s="391"/>
      <c r="DC123" s="391"/>
      <c r="DD123" s="391"/>
      <c r="DE123" s="391"/>
      <c r="DF123" s="391"/>
      <c r="DG123" s="391"/>
      <c r="DH123" s="391"/>
      <c r="DI123" s="391"/>
      <c r="DJ123" s="391"/>
      <c r="DK123" s="391"/>
      <c r="DL123" s="391"/>
      <c r="DM123" s="391"/>
      <c r="DN123" s="391"/>
      <c r="DO123" s="391"/>
      <c r="DP123" s="391"/>
      <c r="DQ123" s="391"/>
      <c r="DR123" s="391"/>
      <c r="DS123" s="391"/>
      <c r="DT123" s="391"/>
      <c r="DU123" s="391"/>
      <c r="DV123" s="391"/>
      <c r="DW123" s="391"/>
      <c r="DX123" s="391"/>
      <c r="DY123" s="391"/>
      <c r="DZ123" s="391"/>
      <c r="EA123" s="391"/>
      <c r="EB123" s="391"/>
      <c r="EC123" s="391"/>
      <c r="ED123" s="391"/>
      <c r="EE123" s="391"/>
      <c r="EF123" s="391"/>
      <c r="EG123" s="391"/>
      <c r="EH123" s="391"/>
      <c r="EI123" s="391"/>
      <c r="EJ123" s="391"/>
      <c r="EK123" s="391"/>
      <c r="EL123" s="391"/>
      <c r="EM123" s="391"/>
      <c r="EN123" s="391"/>
      <c r="EO123" s="391"/>
      <c r="EP123" s="391"/>
      <c r="EQ123" s="391"/>
      <c r="ER123" s="391"/>
      <c r="ES123" s="391"/>
      <c r="ET123" s="391"/>
      <c r="EU123" s="391"/>
      <c r="EV123" s="391"/>
      <c r="EW123" s="391"/>
      <c r="EX123" s="391"/>
      <c r="EY123" s="391"/>
      <c r="EZ123" s="391"/>
      <c r="FA123" s="391"/>
      <c r="FB123" s="391"/>
      <c r="FC123" s="391"/>
      <c r="FD123" s="391"/>
      <c r="FE123" s="391"/>
      <c r="FF123" s="391"/>
      <c r="FG123" s="391"/>
      <c r="FH123" s="391"/>
      <c r="FI123" s="391"/>
      <c r="FJ123" s="391"/>
      <c r="FK123" s="391"/>
      <c r="FL123" s="391"/>
      <c r="FM123" s="391"/>
      <c r="FN123" s="391"/>
      <c r="FO123" s="391"/>
      <c r="FP123" s="391"/>
      <c r="FQ123" s="391"/>
      <c r="FR123" s="391"/>
      <c r="FS123" s="391"/>
      <c r="FT123" s="391"/>
    </row>
    <row r="124" spans="2:176">
      <c r="B124" s="263">
        <v>8</v>
      </c>
      <c r="C124" s="264" t="s">
        <v>594</v>
      </c>
      <c r="D124" s="270">
        <v>1</v>
      </c>
      <c r="E124" s="266">
        <v>2981.64</v>
      </c>
      <c r="F124" s="335">
        <v>2981.64</v>
      </c>
      <c r="G124" s="335">
        <v>35779.68</v>
      </c>
      <c r="H124" s="266">
        <f>'[3]Oficial 3'!$D$136</f>
        <v>3510.56</v>
      </c>
      <c r="I124" s="335">
        <f>H124*D124</f>
        <v>3510.56</v>
      </c>
      <c r="J124" s="335">
        <f>I124*12</f>
        <v>42126.720000000001</v>
      </c>
      <c r="K124" s="268">
        <f>H124*3</f>
        <v>10531.68</v>
      </c>
      <c r="M124" s="288">
        <v>801647</v>
      </c>
      <c r="N124" s="249" t="s">
        <v>600</v>
      </c>
      <c r="P124" s="270"/>
      <c r="Q124" s="266" t="e">
        <f>'[3]Oficial 3'!I136</f>
        <v>#REF!</v>
      </c>
      <c r="R124" s="335" t="e">
        <f>Q124*P124</f>
        <v>#REF!</v>
      </c>
      <c r="S124" s="335" t="e">
        <f>R124*12</f>
        <v>#REF!</v>
      </c>
      <c r="Z124" s="270">
        <v>1</v>
      </c>
      <c r="AA124" s="266">
        <v>3231.08</v>
      </c>
      <c r="AB124" s="267">
        <v>3231.08</v>
      </c>
      <c r="AC124" s="335">
        <v>38772.959999999999</v>
      </c>
      <c r="AE124" s="270">
        <v>1</v>
      </c>
      <c r="AF124" s="271">
        <v>3231.08</v>
      </c>
      <c r="AG124" s="267">
        <v>3231.08</v>
      </c>
      <c r="AH124" s="335">
        <v>38772.959999999999</v>
      </c>
      <c r="AJ124" s="270">
        <v>1</v>
      </c>
      <c r="AK124" s="271">
        <v>2987.6</v>
      </c>
      <c r="AL124" s="267">
        <v>2987.6</v>
      </c>
      <c r="AM124" s="335">
        <v>35851.199999999997</v>
      </c>
      <c r="AO124" s="270">
        <v>1</v>
      </c>
      <c r="AP124" s="271">
        <v>2987.6</v>
      </c>
      <c r="AQ124" s="267">
        <v>2987.6</v>
      </c>
      <c r="AR124" s="335">
        <v>35851.199999999997</v>
      </c>
      <c r="AT124" s="270">
        <v>1</v>
      </c>
      <c r="AU124" s="271">
        <f>'[3]Oficial 3'!$D$136</f>
        <v>3510.56</v>
      </c>
      <c r="AV124" s="267">
        <f>AU124*AT124</f>
        <v>3510.56</v>
      </c>
      <c r="AW124" s="335">
        <f>AV124*12</f>
        <v>42126.720000000001</v>
      </c>
      <c r="AX124" s="468">
        <v>1</v>
      </c>
      <c r="AY124" s="270">
        <v>1</v>
      </c>
      <c r="AZ124" s="334">
        <f t="shared" si="93"/>
        <v>0</v>
      </c>
      <c r="BA124" s="271">
        <f>BA118</f>
        <v>4108.6965408764872</v>
      </c>
      <c r="BB124" s="432">
        <f>BA124*AX124</f>
        <v>4108.6965408764872</v>
      </c>
      <c r="BC124" s="335">
        <f>BB124*12</f>
        <v>49304.358490517843</v>
      </c>
    </row>
    <row r="125" spans="2:176">
      <c r="B125" s="360"/>
      <c r="C125" s="361"/>
      <c r="D125" s="279">
        <f>SUM(D122:D124)</f>
        <v>6</v>
      </c>
      <c r="E125" s="281"/>
      <c r="F125" s="283">
        <v>7293.3099999999995</v>
      </c>
      <c r="G125" s="283">
        <v>87519.72</v>
      </c>
      <c r="H125" s="281"/>
      <c r="I125" s="283">
        <f>SUM(I122:I124)</f>
        <v>15447.82</v>
      </c>
      <c r="J125" s="283">
        <f>SUM(J122:J124)</f>
        <v>185373.84</v>
      </c>
      <c r="K125" s="283">
        <f>SUM(K122:K124)</f>
        <v>18487.86</v>
      </c>
      <c r="P125" s="279">
        <f>SUM(P122:P124)</f>
        <v>3</v>
      </c>
      <c r="Q125" s="281"/>
      <c r="R125" s="283" t="e">
        <f>SUM(R122:R124)</f>
        <v>#REF!</v>
      </c>
      <c r="S125" s="283" t="e">
        <f>SUM(S122:S124)</f>
        <v>#REF!</v>
      </c>
      <c r="Z125" s="279">
        <v>3</v>
      </c>
      <c r="AA125" s="281"/>
      <c r="AB125" s="282">
        <v>7542.75</v>
      </c>
      <c r="AC125" s="283">
        <v>90513</v>
      </c>
      <c r="AE125" s="279">
        <v>3</v>
      </c>
      <c r="AF125" s="284"/>
      <c r="AG125" s="282">
        <v>8056.9</v>
      </c>
      <c r="AH125" s="283">
        <v>96682.799999999988</v>
      </c>
      <c r="AJ125" s="279">
        <v>3</v>
      </c>
      <c r="AK125" s="284"/>
      <c r="AL125" s="282">
        <v>7813.4199999999992</v>
      </c>
      <c r="AM125" s="283">
        <v>93761.04</v>
      </c>
      <c r="AO125" s="279">
        <v>3</v>
      </c>
      <c r="AP125" s="284"/>
      <c r="AQ125" s="282">
        <v>7813.4199999999992</v>
      </c>
      <c r="AR125" s="283">
        <v>93761.04</v>
      </c>
      <c r="AT125" s="279">
        <f>SUM(AT122:AT124)</f>
        <v>2</v>
      </c>
      <c r="AU125" s="284"/>
      <c r="AV125" s="282">
        <f>SUM(AV122:AV124)</f>
        <v>6162.62</v>
      </c>
      <c r="AW125" s="283">
        <f>SUM(AW122:AW124)</f>
        <v>73951.44</v>
      </c>
      <c r="AX125" s="279">
        <f>SUM(AX122:AX124)</f>
        <v>3</v>
      </c>
      <c r="AY125" s="444"/>
      <c r="AZ125" s="444"/>
      <c r="BA125" s="284"/>
      <c r="BB125" s="437">
        <f>SUM(BB122:BB124)</f>
        <v>10082.237815094304</v>
      </c>
      <c r="BC125" s="283">
        <f>SUM(BC122:BC124)</f>
        <v>120986.85378113163</v>
      </c>
    </row>
    <row r="126" spans="2:176">
      <c r="B126" s="331" t="s">
        <v>663</v>
      </c>
      <c r="C126" s="345" t="s">
        <v>652</v>
      </c>
      <c r="E126" s="514" t="s">
        <v>578</v>
      </c>
      <c r="F126" s="514"/>
      <c r="G126" s="514"/>
      <c r="H126" s="514" t="s">
        <v>664</v>
      </c>
      <c r="I126" s="514"/>
      <c r="J126" s="514"/>
      <c r="P126" s="249" t="s">
        <v>665</v>
      </c>
      <c r="AA126" s="249" t="s">
        <v>580</v>
      </c>
      <c r="AF126" s="252"/>
      <c r="AK126" s="514" t="s">
        <v>573</v>
      </c>
      <c r="AL126" s="514"/>
      <c r="AM126" s="514"/>
    </row>
    <row r="127" spans="2:176" ht="47.25">
      <c r="B127" s="260" t="s">
        <v>581</v>
      </c>
      <c r="C127" s="261" t="s">
        <v>267</v>
      </c>
      <c r="D127" s="261" t="s">
        <v>582</v>
      </c>
      <c r="E127" s="261" t="s">
        <v>583</v>
      </c>
      <c r="F127" s="261" t="s">
        <v>584</v>
      </c>
      <c r="G127" s="261" t="s">
        <v>585</v>
      </c>
      <c r="H127" s="261" t="s">
        <v>583</v>
      </c>
      <c r="I127" s="261" t="s">
        <v>584</v>
      </c>
      <c r="J127" s="261" t="s">
        <v>585</v>
      </c>
      <c r="L127" s="261" t="s">
        <v>587</v>
      </c>
      <c r="M127" s="261" t="s">
        <v>598</v>
      </c>
      <c r="N127" s="261" t="s">
        <v>588</v>
      </c>
      <c r="P127" s="261" t="s">
        <v>582</v>
      </c>
      <c r="Q127" s="261" t="s">
        <v>583</v>
      </c>
      <c r="R127" s="261" t="s">
        <v>584</v>
      </c>
      <c r="S127" s="261" t="s">
        <v>585</v>
      </c>
      <c r="U127" s="261" t="s">
        <v>582</v>
      </c>
      <c r="V127" s="261" t="s">
        <v>583</v>
      </c>
      <c r="W127" s="261" t="s">
        <v>584</v>
      </c>
      <c r="X127" s="261" t="s">
        <v>585</v>
      </c>
      <c r="Z127" s="261" t="s">
        <v>590</v>
      </c>
      <c r="AA127" s="261" t="s">
        <v>583</v>
      </c>
      <c r="AB127" s="261" t="s">
        <v>584</v>
      </c>
      <c r="AC127" s="261" t="s">
        <v>585</v>
      </c>
      <c r="AE127" s="261" t="s">
        <v>566</v>
      </c>
      <c r="AF127" s="262" t="s">
        <v>583</v>
      </c>
      <c r="AG127" s="261" t="s">
        <v>584</v>
      </c>
      <c r="AH127" s="261" t="s">
        <v>585</v>
      </c>
      <c r="AJ127" s="261" t="s">
        <v>566</v>
      </c>
      <c r="AK127" s="262" t="s">
        <v>583</v>
      </c>
      <c r="AL127" s="261" t="s">
        <v>584</v>
      </c>
      <c r="AM127" s="261" t="s">
        <v>585</v>
      </c>
      <c r="AO127" s="261" t="s">
        <v>566</v>
      </c>
      <c r="AP127" s="262" t="s">
        <v>583</v>
      </c>
      <c r="AQ127" s="261" t="s">
        <v>584</v>
      </c>
      <c r="AR127" s="261" t="s">
        <v>585</v>
      </c>
      <c r="AT127" s="261" t="s">
        <v>566</v>
      </c>
      <c r="AU127" s="262" t="s">
        <v>583</v>
      </c>
      <c r="AV127" s="261" t="s">
        <v>584</v>
      </c>
      <c r="AW127" s="261" t="s">
        <v>585</v>
      </c>
      <c r="AX127" s="261" t="s">
        <v>566</v>
      </c>
      <c r="AY127" s="261"/>
      <c r="AZ127" s="261"/>
      <c r="BA127" s="262" t="s">
        <v>583</v>
      </c>
      <c r="BB127" s="430" t="s">
        <v>584</v>
      </c>
      <c r="BC127" s="261" t="s">
        <v>585</v>
      </c>
    </row>
    <row r="128" spans="2:176">
      <c r="B128" s="344">
        <v>2</v>
      </c>
      <c r="C128" s="333" t="s">
        <v>1</v>
      </c>
      <c r="D128" s="334">
        <v>1</v>
      </c>
      <c r="E128" s="335">
        <v>2016.08</v>
      </c>
      <c r="F128" s="335">
        <v>2016.08</v>
      </c>
      <c r="G128" s="335">
        <v>24192.959999999999</v>
      </c>
      <c r="H128" s="335">
        <f>'[3]Recepção 4'!$D$137</f>
        <v>2682.63</v>
      </c>
      <c r="I128" s="335">
        <f>H128*D128</f>
        <v>2682.63</v>
      </c>
      <c r="J128" s="335">
        <f>I128*12</f>
        <v>32191.56</v>
      </c>
      <c r="L128" s="269">
        <f>I128*2</f>
        <v>5365.26</v>
      </c>
      <c r="M128" s="288">
        <v>802065</v>
      </c>
      <c r="N128" s="249" t="s">
        <v>602</v>
      </c>
      <c r="P128" s="334"/>
      <c r="Q128" s="335" t="e">
        <f>'[3]Recepção 4'!I137</f>
        <v>#REF!</v>
      </c>
      <c r="R128" s="335" t="e">
        <f>Q128*P128</f>
        <v>#REF!</v>
      </c>
      <c r="S128" s="335" t="e">
        <f>R128*12</f>
        <v>#REF!</v>
      </c>
      <c r="U128" s="334">
        <v>0</v>
      </c>
      <c r="V128" s="335">
        <f>'[3]Recepção 4'!$D$137</f>
        <v>2682.63</v>
      </c>
      <c r="W128" s="335">
        <f>V128*U128</f>
        <v>0</v>
      </c>
      <c r="X128" s="335">
        <f>W128*12</f>
        <v>0</v>
      </c>
      <c r="Z128" s="334">
        <v>1</v>
      </c>
      <c r="AA128" s="335">
        <v>2016.08</v>
      </c>
      <c r="AB128" s="267">
        <v>2016.08</v>
      </c>
      <c r="AC128" s="335">
        <v>24192.959999999999</v>
      </c>
      <c r="AE128" s="334">
        <v>1</v>
      </c>
      <c r="AF128" s="336">
        <v>2262.41</v>
      </c>
      <c r="AG128" s="267">
        <v>2262.41</v>
      </c>
      <c r="AH128" s="335">
        <v>27148.92</v>
      </c>
      <c r="AJ128" s="334">
        <v>1</v>
      </c>
      <c r="AK128" s="336">
        <v>2262.41</v>
      </c>
      <c r="AL128" s="267">
        <v>2262.41</v>
      </c>
      <c r="AM128" s="335">
        <v>27148.92</v>
      </c>
      <c r="AO128" s="334">
        <v>1</v>
      </c>
      <c r="AP128" s="336">
        <v>2262.41</v>
      </c>
      <c r="AQ128" s="267">
        <v>2262.41</v>
      </c>
      <c r="AR128" s="335">
        <v>27148.92</v>
      </c>
      <c r="AT128" s="334">
        <v>1</v>
      </c>
      <c r="AU128" s="336">
        <f>'[3]Recepção 4'!$D$137</f>
        <v>2682.63</v>
      </c>
      <c r="AV128" s="267">
        <f>AU128*AT128</f>
        <v>2682.63</v>
      </c>
      <c r="AW128" s="335">
        <f>AV128*12</f>
        <v>32191.56</v>
      </c>
      <c r="AX128" s="469">
        <v>1</v>
      </c>
      <c r="AY128" s="334">
        <v>1</v>
      </c>
      <c r="AZ128" s="334">
        <f>AX128-AY128</f>
        <v>0</v>
      </c>
      <c r="BA128" s="336">
        <f>'4-A'!D152</f>
        <v>3227.8062916603271</v>
      </c>
      <c r="BB128" s="432">
        <f>BA128*AX128</f>
        <v>3227.8062916603271</v>
      </c>
      <c r="BC128" s="335">
        <f>BB128*12</f>
        <v>38733.675499923927</v>
      </c>
      <c r="BF128" s="452">
        <f>AU138*8</f>
        <v>28084.48</v>
      </c>
    </row>
    <row r="129" spans="2:58">
      <c r="B129" s="344">
        <v>4</v>
      </c>
      <c r="C129" s="333" t="s">
        <v>2</v>
      </c>
      <c r="D129" s="334">
        <v>1</v>
      </c>
      <c r="E129" s="335">
        <v>2526.89</v>
      </c>
      <c r="F129" s="335">
        <v>2526.89</v>
      </c>
      <c r="G129" s="335">
        <v>30322.68</v>
      </c>
      <c r="H129" s="335">
        <f>'[3]Porteiro 4'!$D$137</f>
        <v>3368.47</v>
      </c>
      <c r="I129" s="335">
        <f>H129*D129</f>
        <v>3368.47</v>
      </c>
      <c r="J129" s="335">
        <f>I129*12</f>
        <v>40421.64</v>
      </c>
      <c r="L129" s="269">
        <f>I129*2</f>
        <v>6736.94</v>
      </c>
      <c r="M129" s="288">
        <v>802065</v>
      </c>
      <c r="N129" s="249" t="s">
        <v>602</v>
      </c>
      <c r="P129" s="334">
        <v>1</v>
      </c>
      <c r="Q129" s="335">
        <v>2644.54</v>
      </c>
      <c r="R129" s="335">
        <f>Q129*P129</f>
        <v>2644.54</v>
      </c>
      <c r="S129" s="335">
        <f>R129*12</f>
        <v>31734.48</v>
      </c>
      <c r="U129" s="334">
        <v>1</v>
      </c>
      <c r="V129" s="335">
        <f>'[3]Porteiro 4'!$D$137</f>
        <v>3368.47</v>
      </c>
      <c r="W129" s="335">
        <f>V129*U129</f>
        <v>3368.47</v>
      </c>
      <c r="X129" s="335">
        <f>W129*12</f>
        <v>40421.64</v>
      </c>
      <c r="Z129" s="334">
        <v>1</v>
      </c>
      <c r="AA129" s="335">
        <v>2526.89</v>
      </c>
      <c r="AB129" s="267">
        <v>2526.89</v>
      </c>
      <c r="AC129" s="335">
        <v>30322.68</v>
      </c>
      <c r="AE129" s="340">
        <v>1</v>
      </c>
      <c r="AF129" s="341">
        <v>2850.11</v>
      </c>
      <c r="AG129" s="289">
        <v>2850.11</v>
      </c>
      <c r="AH129" s="342">
        <v>34201.32</v>
      </c>
      <c r="AJ129" s="340">
        <v>1</v>
      </c>
      <c r="AK129" s="341">
        <v>2850.11</v>
      </c>
      <c r="AL129" s="289">
        <v>2850.11</v>
      </c>
      <c r="AM129" s="342">
        <v>34201.32</v>
      </c>
      <c r="AO129" s="340">
        <v>1</v>
      </c>
      <c r="AP129" s="341">
        <v>2850.11</v>
      </c>
      <c r="AQ129" s="289">
        <v>2850.11</v>
      </c>
      <c r="AR129" s="342">
        <v>34201.32</v>
      </c>
      <c r="AT129" s="340">
        <v>1</v>
      </c>
      <c r="AU129" s="341">
        <f>'[3]Porteiro 4'!$D$137</f>
        <v>3368.47</v>
      </c>
      <c r="AV129" s="289">
        <f>AU129*D129</f>
        <v>3368.47</v>
      </c>
      <c r="AW129" s="342">
        <f>AV129*12</f>
        <v>40421.64</v>
      </c>
      <c r="AX129" s="484">
        <v>1</v>
      </c>
      <c r="AY129" s="340">
        <v>1</v>
      </c>
      <c r="AZ129" s="334">
        <f t="shared" ref="AZ129:AZ131" si="95">AX129-AY129</f>
        <v>0</v>
      </c>
      <c r="BA129" s="341">
        <f>'11-A'!D152</f>
        <v>4019.5115469894331</v>
      </c>
      <c r="BB129" s="434">
        <f>BA129*AX129</f>
        <v>4019.5115469894331</v>
      </c>
      <c r="BC129" s="342">
        <f>BB129*12</f>
        <v>48234.138563873195</v>
      </c>
    </row>
    <row r="130" spans="2:58">
      <c r="B130" s="290">
        <v>5</v>
      </c>
      <c r="C130" s="364" t="s">
        <v>562</v>
      </c>
      <c r="D130" s="340" t="s">
        <v>591</v>
      </c>
      <c r="E130" s="342" t="s">
        <v>591</v>
      </c>
      <c r="F130" s="342" t="s">
        <v>591</v>
      </c>
      <c r="G130" s="342" t="s">
        <v>591</v>
      </c>
      <c r="H130" s="342" t="s">
        <v>591</v>
      </c>
      <c r="I130" s="342" t="s">
        <v>591</v>
      </c>
      <c r="J130" s="342" t="s">
        <v>591</v>
      </c>
      <c r="K130" s="365" t="e">
        <f>H130*3</f>
        <v>#VALUE!</v>
      </c>
      <c r="L130" s="276"/>
      <c r="M130" s="366">
        <v>801649</v>
      </c>
      <c r="N130" s="276" t="s">
        <v>600</v>
      </c>
      <c r="O130" s="276"/>
      <c r="P130" s="340"/>
      <c r="Q130" s="342" t="e">
        <f>'[3]ASG 4'!I117</f>
        <v>#REF!</v>
      </c>
      <c r="R130" s="342" t="e">
        <f>Q130*P130</f>
        <v>#REF!</v>
      </c>
      <c r="S130" s="342" t="e">
        <f>R130*12</f>
        <v>#REF!</v>
      </c>
      <c r="T130" s="276"/>
      <c r="U130" s="276"/>
      <c r="V130" s="276"/>
      <c r="W130" s="276"/>
      <c r="X130" s="276"/>
      <c r="Y130" s="276"/>
      <c r="Z130" s="340">
        <v>1</v>
      </c>
      <c r="AA130" s="342">
        <v>1753.67</v>
      </c>
      <c r="AB130" s="367">
        <v>1753.67</v>
      </c>
      <c r="AC130" s="368">
        <v>21044.04</v>
      </c>
      <c r="AE130" s="340">
        <v>1</v>
      </c>
      <c r="AF130" s="341">
        <v>1956.31</v>
      </c>
      <c r="AG130" s="289">
        <v>1956.31</v>
      </c>
      <c r="AH130" s="342">
        <v>23475.72</v>
      </c>
      <c r="AJ130" s="340">
        <v>1</v>
      </c>
      <c r="AK130" s="341">
        <v>1956.31</v>
      </c>
      <c r="AL130" s="289">
        <v>1956.31</v>
      </c>
      <c r="AM130" s="342">
        <v>23475.72</v>
      </c>
      <c r="AO130" s="340">
        <v>1</v>
      </c>
      <c r="AP130" s="341">
        <v>1956.31</v>
      </c>
      <c r="AQ130" s="289">
        <v>1956.31</v>
      </c>
      <c r="AR130" s="342">
        <v>23475.72</v>
      </c>
      <c r="AT130" s="340">
        <v>1</v>
      </c>
      <c r="AU130" s="341">
        <f>'[3]ASG 4'!$D$137</f>
        <v>2348.0500000000002</v>
      </c>
      <c r="AV130" s="289">
        <f>AU130*AT130</f>
        <v>2348.0500000000002</v>
      </c>
      <c r="AW130" s="342">
        <f>AV130*12</f>
        <v>28176.600000000002</v>
      </c>
      <c r="AX130" s="484">
        <v>1</v>
      </c>
      <c r="AY130" s="340">
        <v>1</v>
      </c>
      <c r="AZ130" s="334">
        <f t="shared" si="95"/>
        <v>0</v>
      </c>
      <c r="BA130" s="341">
        <f>'15-A'!D152</f>
        <v>2815.0895276286642</v>
      </c>
      <c r="BB130" s="434">
        <f>BA130*AX130</f>
        <v>2815.0895276286642</v>
      </c>
      <c r="BC130" s="342">
        <f>BB130*12</f>
        <v>33781.074331543969</v>
      </c>
    </row>
    <row r="131" spans="2:58">
      <c r="B131" s="263">
        <v>8</v>
      </c>
      <c r="C131" s="264" t="s">
        <v>594</v>
      </c>
      <c r="D131" s="270">
        <v>1</v>
      </c>
      <c r="E131" s="266">
        <v>3016.01</v>
      </c>
      <c r="F131" s="335">
        <v>3016.01</v>
      </c>
      <c r="G131" s="335">
        <v>36192.120000000003</v>
      </c>
      <c r="H131" s="266">
        <f>'[3]Oficial 4'!$D$136</f>
        <v>3551.03</v>
      </c>
      <c r="I131" s="335">
        <f>H131*D131</f>
        <v>3551.03</v>
      </c>
      <c r="J131" s="335">
        <f>I131*12</f>
        <v>42612.36</v>
      </c>
      <c r="L131" s="269">
        <f>I131*2</f>
        <v>7102.06</v>
      </c>
      <c r="M131" s="288">
        <v>802064</v>
      </c>
      <c r="N131" s="249" t="s">
        <v>602</v>
      </c>
      <c r="P131" s="270"/>
      <c r="Q131" s="266" t="e">
        <f>'[3]Oficial 4'!I136</f>
        <v>#REF!</v>
      </c>
      <c r="R131" s="335" t="e">
        <f>Q131*P131</f>
        <v>#REF!</v>
      </c>
      <c r="S131" s="335" t="e">
        <f>R131*12</f>
        <v>#REF!</v>
      </c>
      <c r="U131" s="270">
        <v>0</v>
      </c>
      <c r="V131" s="266">
        <f>'[3]Oficial 4'!$D$136</f>
        <v>3551.03</v>
      </c>
      <c r="W131" s="335">
        <f>V131*U131</f>
        <v>0</v>
      </c>
      <c r="X131" s="335">
        <f>W131*12</f>
        <v>0</v>
      </c>
      <c r="Z131" s="270">
        <v>1</v>
      </c>
      <c r="AA131" s="266">
        <v>3268.33</v>
      </c>
      <c r="AB131" s="267">
        <v>3268.33</v>
      </c>
      <c r="AC131" s="335">
        <v>39219.96</v>
      </c>
      <c r="AE131" s="265">
        <v>1</v>
      </c>
      <c r="AF131" s="278">
        <v>3268.33</v>
      </c>
      <c r="AG131" s="289">
        <v>3268.33</v>
      </c>
      <c r="AH131" s="342">
        <v>39219.96</v>
      </c>
      <c r="AJ131" s="265">
        <v>1</v>
      </c>
      <c r="AK131" s="278">
        <v>3022.02</v>
      </c>
      <c r="AL131" s="289">
        <v>3022.02</v>
      </c>
      <c r="AM131" s="342">
        <v>36264.239999999998</v>
      </c>
      <c r="AO131" s="265">
        <v>1</v>
      </c>
      <c r="AP131" s="278">
        <v>3022.02</v>
      </c>
      <c r="AQ131" s="289">
        <v>3022.02</v>
      </c>
      <c r="AR131" s="342">
        <v>36264.239999999998</v>
      </c>
      <c r="AT131" s="265">
        <v>1</v>
      </c>
      <c r="AU131" s="278">
        <f>'[3]Oficial 4'!$D$136</f>
        <v>3551.03</v>
      </c>
      <c r="AV131" s="289">
        <f>AU131*D131</f>
        <v>3551.03</v>
      </c>
      <c r="AW131" s="342">
        <f>AV131*12</f>
        <v>42612.36</v>
      </c>
      <c r="AX131" s="455">
        <v>1</v>
      </c>
      <c r="AY131" s="265">
        <v>1</v>
      </c>
      <c r="AZ131" s="334">
        <f t="shared" si="95"/>
        <v>0</v>
      </c>
      <c r="BA131" s="278">
        <f>'21-A'!D152</f>
        <v>4156.4248501668744</v>
      </c>
      <c r="BB131" s="434">
        <f>BA131*AX131</f>
        <v>4156.4248501668744</v>
      </c>
      <c r="BC131" s="342">
        <f>BB131*12</f>
        <v>49877.098202002497</v>
      </c>
    </row>
    <row r="132" spans="2:58">
      <c r="B132" s="512"/>
      <c r="C132" s="512"/>
      <c r="D132" s="279">
        <f>SUM(D128:D131)</f>
        <v>3</v>
      </c>
      <c r="E132" s="281"/>
      <c r="F132" s="283">
        <v>9904.26</v>
      </c>
      <c r="G132" s="283">
        <v>118851.12000000001</v>
      </c>
      <c r="H132" s="281"/>
      <c r="I132" s="283">
        <f>SUM(I128:I131)</f>
        <v>9602.130000000001</v>
      </c>
      <c r="J132" s="283">
        <f>SUM(J128:J131)</f>
        <v>115225.56</v>
      </c>
      <c r="L132" s="283">
        <f>SUM(L128:L131)</f>
        <v>19204.260000000002</v>
      </c>
      <c r="P132" s="279">
        <f>SUM(P128:P131)</f>
        <v>1</v>
      </c>
      <c r="Q132" s="281"/>
      <c r="R132" s="283" t="e">
        <f>SUM(R128:R131)</f>
        <v>#REF!</v>
      </c>
      <c r="S132" s="283" t="e">
        <f>SUM(S128:S131)</f>
        <v>#REF!</v>
      </c>
      <c r="U132" s="279">
        <f>SUM(U128:U131)</f>
        <v>1</v>
      </c>
      <c r="V132" s="281"/>
      <c r="W132" s="283">
        <f>SUM(W128:W131)</f>
        <v>3368.47</v>
      </c>
      <c r="X132" s="283">
        <f>SUM(X128:X131)</f>
        <v>40421.64</v>
      </c>
      <c r="Z132" s="279">
        <v>5</v>
      </c>
      <c r="AA132" s="281"/>
      <c r="AB132" s="282">
        <v>11910.25</v>
      </c>
      <c r="AC132" s="283">
        <v>142923</v>
      </c>
      <c r="AE132" s="279">
        <v>5</v>
      </c>
      <c r="AF132" s="284"/>
      <c r="AG132" s="282">
        <v>12956.2</v>
      </c>
      <c r="AH132" s="283">
        <v>155474.4</v>
      </c>
      <c r="AJ132" s="279">
        <v>5</v>
      </c>
      <c r="AK132" s="284"/>
      <c r="AL132" s="282">
        <v>12709.89</v>
      </c>
      <c r="AM132" s="283">
        <v>152518.68</v>
      </c>
      <c r="AO132" s="279">
        <v>5</v>
      </c>
      <c r="AP132" s="284"/>
      <c r="AQ132" s="282">
        <v>12709.89</v>
      </c>
      <c r="AR132" s="283">
        <v>152518.68</v>
      </c>
      <c r="AT132" s="279">
        <f>SUM(AT128:AT131)</f>
        <v>4</v>
      </c>
      <c r="AU132" s="284"/>
      <c r="AV132" s="282">
        <f>SUM(AV128:AV131)</f>
        <v>11950.180000000002</v>
      </c>
      <c r="AW132" s="283">
        <f>SUM(AW128:AW131)</f>
        <v>143402.16</v>
      </c>
      <c r="AX132" s="279">
        <f>SUM(AX128:AX131)</f>
        <v>4</v>
      </c>
      <c r="AY132" s="444"/>
      <c r="AZ132" s="444"/>
      <c r="BA132" s="284"/>
      <c r="BB132" s="437">
        <f>SUM(BB128:BB131)</f>
        <v>14218.832216445298</v>
      </c>
      <c r="BC132" s="283">
        <f>SUM(BC128:BC131)</f>
        <v>170625.98659734358</v>
      </c>
    </row>
    <row r="133" spans="2:58">
      <c r="B133" s="331" t="s">
        <v>666</v>
      </c>
      <c r="C133" s="345" t="s">
        <v>648</v>
      </c>
      <c r="E133" s="514" t="s">
        <v>578</v>
      </c>
      <c r="F133" s="514"/>
      <c r="G133" s="514"/>
      <c r="H133" s="514" t="s">
        <v>579</v>
      </c>
      <c r="I133" s="514"/>
      <c r="J133" s="514"/>
      <c r="AA133" s="249" t="s">
        <v>580</v>
      </c>
      <c r="AF133" s="252"/>
      <c r="AK133" s="252"/>
    </row>
    <row r="134" spans="2:58" ht="47.25">
      <c r="B134" s="260" t="s">
        <v>581</v>
      </c>
      <c r="C134" s="261" t="s">
        <v>267</v>
      </c>
      <c r="D134" s="261" t="s">
        <v>582</v>
      </c>
      <c r="E134" s="261" t="s">
        <v>583</v>
      </c>
      <c r="F134" s="261" t="s">
        <v>584</v>
      </c>
      <c r="G134" s="261" t="s">
        <v>585</v>
      </c>
      <c r="H134" s="261" t="s">
        <v>583</v>
      </c>
      <c r="I134" s="261" t="s">
        <v>584</v>
      </c>
      <c r="J134" s="261" t="s">
        <v>585</v>
      </c>
      <c r="L134" s="261" t="s">
        <v>587</v>
      </c>
      <c r="M134" s="261" t="s">
        <v>598</v>
      </c>
      <c r="N134" s="261" t="s">
        <v>588</v>
      </c>
      <c r="P134" s="261" t="s">
        <v>582</v>
      </c>
      <c r="Q134" s="261" t="s">
        <v>583</v>
      </c>
      <c r="R134" s="261" t="s">
        <v>584</v>
      </c>
      <c r="S134" s="261" t="s">
        <v>585</v>
      </c>
      <c r="U134" s="261" t="s">
        <v>582</v>
      </c>
      <c r="V134" s="261" t="s">
        <v>583</v>
      </c>
      <c r="W134" s="261" t="s">
        <v>584</v>
      </c>
      <c r="X134" s="261" t="s">
        <v>585</v>
      </c>
      <c r="Z134" s="261" t="s">
        <v>590</v>
      </c>
      <c r="AA134" s="261" t="s">
        <v>583</v>
      </c>
      <c r="AB134" s="261" t="s">
        <v>584</v>
      </c>
      <c r="AC134" s="261" t="s">
        <v>585</v>
      </c>
      <c r="AE134" s="261" t="s">
        <v>566</v>
      </c>
      <c r="AF134" s="262" t="s">
        <v>583</v>
      </c>
      <c r="AG134" s="261" t="s">
        <v>584</v>
      </c>
      <c r="AH134" s="261" t="s">
        <v>585</v>
      </c>
      <c r="AJ134" s="261" t="s">
        <v>566</v>
      </c>
      <c r="AK134" s="262" t="s">
        <v>583</v>
      </c>
      <c r="AL134" s="261" t="s">
        <v>584</v>
      </c>
      <c r="AM134" s="261" t="s">
        <v>585</v>
      </c>
      <c r="AO134" s="261" t="s">
        <v>566</v>
      </c>
      <c r="AP134" s="262" t="s">
        <v>583</v>
      </c>
      <c r="AQ134" s="261" t="s">
        <v>584</v>
      </c>
      <c r="AR134" s="261" t="s">
        <v>585</v>
      </c>
      <c r="AT134" s="261" t="s">
        <v>566</v>
      </c>
      <c r="AU134" s="262" t="s">
        <v>583</v>
      </c>
      <c r="AV134" s="261" t="s">
        <v>584</v>
      </c>
      <c r="AW134" s="261" t="s">
        <v>585</v>
      </c>
      <c r="AX134" s="261" t="s">
        <v>566</v>
      </c>
      <c r="AY134" s="261"/>
      <c r="AZ134" s="261"/>
      <c r="BA134" s="262" t="s">
        <v>583</v>
      </c>
      <c r="BB134" s="430" t="s">
        <v>584</v>
      </c>
      <c r="BC134" s="261" t="s">
        <v>585</v>
      </c>
      <c r="BF134" s="504">
        <v>3265.735264342235</v>
      </c>
    </row>
    <row r="135" spans="2:58">
      <c r="B135" s="344">
        <v>2</v>
      </c>
      <c r="C135" s="333" t="s">
        <v>1</v>
      </c>
      <c r="D135" s="334">
        <v>3</v>
      </c>
      <c r="E135" s="362">
        <v>1993.11</v>
      </c>
      <c r="F135" s="335">
        <v>5979.33</v>
      </c>
      <c r="G135" s="335">
        <v>71751.959999999992</v>
      </c>
      <c r="H135" s="362">
        <f>'[3]Recepção 3'!$D$137</f>
        <v>2652.06</v>
      </c>
      <c r="I135" s="335">
        <f>H135*D135</f>
        <v>7956.18</v>
      </c>
      <c r="J135" s="335">
        <f>I135*12</f>
        <v>95474.16</v>
      </c>
      <c r="L135" s="269">
        <f>I135*2</f>
        <v>15912.36</v>
      </c>
      <c r="M135" s="288">
        <v>802066</v>
      </c>
      <c r="N135" s="249" t="s">
        <v>602</v>
      </c>
      <c r="P135" s="334">
        <v>3</v>
      </c>
      <c r="Q135" s="362">
        <v>2039.36</v>
      </c>
      <c r="R135" s="335">
        <f>Q135*P135</f>
        <v>6118.08</v>
      </c>
      <c r="S135" s="335">
        <f>R135*12</f>
        <v>73416.959999999992</v>
      </c>
      <c r="U135" s="334">
        <v>3</v>
      </c>
      <c r="V135" s="362">
        <f>'[3]Recepção 3'!$D$137</f>
        <v>2652.06</v>
      </c>
      <c r="W135" s="335">
        <f>V135*U135</f>
        <v>7956.18</v>
      </c>
      <c r="X135" s="335">
        <f>W135*12</f>
        <v>95474.16</v>
      </c>
      <c r="Z135" s="334">
        <v>3</v>
      </c>
      <c r="AA135" s="362">
        <v>1993.11</v>
      </c>
      <c r="AB135" s="267">
        <v>5979.33</v>
      </c>
      <c r="AC135" s="335">
        <v>71751.959999999992</v>
      </c>
      <c r="AE135" s="334">
        <v>3</v>
      </c>
      <c r="AF135" s="363">
        <v>2236.62</v>
      </c>
      <c r="AG135" s="267">
        <v>6709.86</v>
      </c>
      <c r="AH135" s="335">
        <v>80518.319999999992</v>
      </c>
      <c r="AJ135" s="334">
        <v>3</v>
      </c>
      <c r="AK135" s="363">
        <v>2236.62</v>
      </c>
      <c r="AL135" s="267">
        <v>6709.86</v>
      </c>
      <c r="AM135" s="335">
        <v>80518.319999999992</v>
      </c>
      <c r="AO135" s="334">
        <v>3</v>
      </c>
      <c r="AP135" s="363">
        <v>2236.62</v>
      </c>
      <c r="AQ135" s="267">
        <v>6709.86</v>
      </c>
      <c r="AR135" s="335">
        <v>80518.319999999992</v>
      </c>
      <c r="AT135" s="334">
        <v>5</v>
      </c>
      <c r="AU135" s="363">
        <f>'[3]Recepção 3'!$D$137</f>
        <v>2652.06</v>
      </c>
      <c r="AV135" s="267">
        <f t="shared" ref="AV135:AV139" si="96">AU135*AT135</f>
        <v>13260.3</v>
      </c>
      <c r="AW135" s="335">
        <f>AV135*12</f>
        <v>159123.59999999998</v>
      </c>
      <c r="AX135" s="469">
        <v>5</v>
      </c>
      <c r="AY135" s="334">
        <v>5</v>
      </c>
      <c r="AZ135" s="334">
        <f>AX135-AY135</f>
        <v>0</v>
      </c>
      <c r="BA135" s="363">
        <f>'3-A'!D152</f>
        <v>3190.7590404208936</v>
      </c>
      <c r="BB135" s="432">
        <f t="shared" ref="BB135:BB139" si="97">BA135*AX135</f>
        <v>15953.795202104468</v>
      </c>
      <c r="BC135" s="335">
        <f>BB135*12</f>
        <v>191445.5424252536</v>
      </c>
    </row>
    <row r="136" spans="2:58">
      <c r="B136" s="344">
        <v>4</v>
      </c>
      <c r="C136" s="333" t="s">
        <v>2</v>
      </c>
      <c r="D136" s="334">
        <v>1</v>
      </c>
      <c r="E136" s="362">
        <v>2498.1</v>
      </c>
      <c r="F136" s="335">
        <v>2498.1</v>
      </c>
      <c r="G136" s="335">
        <v>29977.199999999997</v>
      </c>
      <c r="H136" s="362">
        <f>'[3]Porteiro 3'!$D$137</f>
        <v>3330.09</v>
      </c>
      <c r="I136" s="335">
        <f t="shared" ref="I136:I139" si="98">H136*D136</f>
        <v>3330.09</v>
      </c>
      <c r="J136" s="335">
        <f t="shared" ref="J136:J139" si="99">I136*12</f>
        <v>39961.08</v>
      </c>
      <c r="L136" s="269">
        <f t="shared" ref="L136:L139" si="100">I136*2</f>
        <v>6660.18</v>
      </c>
      <c r="M136" s="288">
        <v>802066</v>
      </c>
      <c r="N136" s="249" t="s">
        <v>602</v>
      </c>
      <c r="P136" s="334">
        <v>1</v>
      </c>
      <c r="Q136" s="362">
        <v>2585.48</v>
      </c>
      <c r="R136" s="335">
        <f t="shared" ref="R136:R139" si="101">Q136*P136</f>
        <v>2585.48</v>
      </c>
      <c r="S136" s="335">
        <f t="shared" ref="S136:S139" si="102">R136*12</f>
        <v>31025.760000000002</v>
      </c>
      <c r="U136" s="334">
        <v>1</v>
      </c>
      <c r="V136" s="362">
        <f>'[3]Porteiro 3'!$D$137</f>
        <v>3330.09</v>
      </c>
      <c r="W136" s="335">
        <f t="shared" ref="W136:W139" si="103">V136*U136</f>
        <v>3330.09</v>
      </c>
      <c r="X136" s="335">
        <f t="shared" ref="X136:X139" si="104">W136*12</f>
        <v>39961.08</v>
      </c>
      <c r="Z136" s="334">
        <v>1</v>
      </c>
      <c r="AA136" s="362">
        <v>2498.1</v>
      </c>
      <c r="AB136" s="267">
        <v>2498.1</v>
      </c>
      <c r="AC136" s="335">
        <v>29977.199999999997</v>
      </c>
      <c r="AE136" s="334">
        <v>1</v>
      </c>
      <c r="AF136" s="363">
        <v>2817.63</v>
      </c>
      <c r="AG136" s="267">
        <v>2817.63</v>
      </c>
      <c r="AH136" s="335">
        <v>33811.56</v>
      </c>
      <c r="AJ136" s="334">
        <v>1</v>
      </c>
      <c r="AK136" s="363">
        <v>2817.63</v>
      </c>
      <c r="AL136" s="267">
        <v>2817.63</v>
      </c>
      <c r="AM136" s="335">
        <v>33811.56</v>
      </c>
      <c r="AO136" s="334">
        <v>1</v>
      </c>
      <c r="AP136" s="363">
        <v>2817.63</v>
      </c>
      <c r="AQ136" s="267">
        <v>2817.63</v>
      </c>
      <c r="AR136" s="335">
        <v>33811.56</v>
      </c>
      <c r="AT136" s="334">
        <v>1</v>
      </c>
      <c r="AU136" s="363">
        <f>'[3]Porteiro 3'!$D$137</f>
        <v>3330.09</v>
      </c>
      <c r="AV136" s="267">
        <f t="shared" si="96"/>
        <v>3330.09</v>
      </c>
      <c r="AW136" s="335">
        <f t="shared" ref="AW136:AW139" si="105">AV136*12</f>
        <v>39961.08</v>
      </c>
      <c r="AX136" s="469">
        <v>1</v>
      </c>
      <c r="AY136" s="334">
        <v>1</v>
      </c>
      <c r="AZ136" s="334">
        <f t="shared" ref="AZ136:AZ139" si="106">AX136-AY136</f>
        <v>0</v>
      </c>
      <c r="BA136" s="363">
        <f>'10-A'!D152</f>
        <v>3973.3665908528019</v>
      </c>
      <c r="BB136" s="432">
        <f t="shared" si="97"/>
        <v>3973.3665908528019</v>
      </c>
      <c r="BC136" s="335">
        <f t="shared" ref="BC136:BC139" si="107">BB136*12</f>
        <v>47680.399090233623</v>
      </c>
    </row>
    <row r="137" spans="2:58">
      <c r="B137" s="344">
        <v>6</v>
      </c>
      <c r="C137" s="333" t="s">
        <v>667</v>
      </c>
      <c r="D137" s="334">
        <v>1</v>
      </c>
      <c r="E137" s="335">
        <v>2981.85</v>
      </c>
      <c r="F137" s="335">
        <v>2981.85</v>
      </c>
      <c r="G137" s="335">
        <v>35782.199999999997</v>
      </c>
      <c r="H137" s="335">
        <f>'[3]Caldereiro 3'!$D$136</f>
        <v>3902.63</v>
      </c>
      <c r="I137" s="335">
        <f t="shared" si="98"/>
        <v>3902.63</v>
      </c>
      <c r="J137" s="335">
        <f t="shared" si="99"/>
        <v>46831.56</v>
      </c>
      <c r="L137" s="269">
        <f t="shared" si="100"/>
        <v>7805.26</v>
      </c>
      <c r="M137" s="288">
        <v>802066</v>
      </c>
      <c r="N137" s="249" t="s">
        <v>602</v>
      </c>
      <c r="P137" s="334"/>
      <c r="Q137" s="335" t="e">
        <f>'[3]Caldereiro 3'!I136</f>
        <v>#REF!</v>
      </c>
      <c r="R137" s="335" t="e">
        <f t="shared" si="101"/>
        <v>#REF!</v>
      </c>
      <c r="S137" s="335" t="e">
        <f t="shared" si="102"/>
        <v>#REF!</v>
      </c>
      <c r="U137" s="334">
        <v>0</v>
      </c>
      <c r="V137" s="335">
        <f>'[3]Caldereiro 3'!$D$136</f>
        <v>3902.63</v>
      </c>
      <c r="W137" s="335">
        <f t="shared" si="103"/>
        <v>0</v>
      </c>
      <c r="X137" s="335">
        <f t="shared" si="104"/>
        <v>0</v>
      </c>
      <c r="Z137" s="334">
        <v>1</v>
      </c>
      <c r="AA137" s="335">
        <v>3274.27</v>
      </c>
      <c r="AB137" s="267">
        <v>3274.27</v>
      </c>
      <c r="AC137" s="335">
        <v>39291.24</v>
      </c>
      <c r="AE137" s="334">
        <v>1</v>
      </c>
      <c r="AF137" s="336">
        <v>3274.27</v>
      </c>
      <c r="AG137" s="267">
        <v>3274.27</v>
      </c>
      <c r="AH137" s="335">
        <v>39291.24</v>
      </c>
      <c r="AJ137" s="334">
        <v>1</v>
      </c>
      <c r="AK137" s="336">
        <v>3274.27</v>
      </c>
      <c r="AL137" s="267">
        <v>3274.27</v>
      </c>
      <c r="AM137" s="335">
        <v>39291.24</v>
      </c>
      <c r="AO137" s="334">
        <v>1</v>
      </c>
      <c r="AP137" s="336">
        <v>3274.27</v>
      </c>
      <c r="AQ137" s="267">
        <v>3274.27</v>
      </c>
      <c r="AR137" s="335">
        <v>39291.24</v>
      </c>
      <c r="AT137" s="334">
        <v>1</v>
      </c>
      <c r="AU137" s="336">
        <f>'[3]Caldereiro 3'!$D$136</f>
        <v>3902.63</v>
      </c>
      <c r="AV137" s="267">
        <f t="shared" si="96"/>
        <v>3902.63</v>
      </c>
      <c r="AW137" s="335">
        <f t="shared" si="105"/>
        <v>46831.56</v>
      </c>
      <c r="AX137" s="469">
        <v>1</v>
      </c>
      <c r="AY137" s="334">
        <v>1</v>
      </c>
      <c r="AZ137" s="334">
        <f t="shared" si="106"/>
        <v>0</v>
      </c>
      <c r="BA137" s="336">
        <f>'17-A'!D152</f>
        <v>5044.9833821173797</v>
      </c>
      <c r="BB137" s="432">
        <f t="shared" si="97"/>
        <v>5044.9833821173797</v>
      </c>
      <c r="BC137" s="335">
        <f t="shared" si="107"/>
        <v>60539.800585408557</v>
      </c>
    </row>
    <row r="138" spans="2:58">
      <c r="B138" s="263">
        <v>8</v>
      </c>
      <c r="C138" s="264" t="s">
        <v>594</v>
      </c>
      <c r="D138" s="270">
        <v>1</v>
      </c>
      <c r="E138" s="266">
        <v>2981.64</v>
      </c>
      <c r="F138" s="335">
        <v>2981.64</v>
      </c>
      <c r="G138" s="335">
        <v>35779.68</v>
      </c>
      <c r="H138" s="266">
        <f>'[3]Oficial 3'!$D$136</f>
        <v>3510.56</v>
      </c>
      <c r="I138" s="335">
        <f t="shared" si="98"/>
        <v>3510.56</v>
      </c>
      <c r="J138" s="335">
        <f t="shared" si="99"/>
        <v>42126.720000000001</v>
      </c>
      <c r="L138" s="269">
        <f t="shared" si="100"/>
        <v>7021.12</v>
      </c>
      <c r="M138" s="288">
        <v>802067</v>
      </c>
      <c r="N138" s="249" t="s">
        <v>602</v>
      </c>
      <c r="P138" s="270">
        <v>1</v>
      </c>
      <c r="Q138" s="266">
        <v>2921.02</v>
      </c>
      <c r="R138" s="335">
        <f t="shared" si="101"/>
        <v>2921.02</v>
      </c>
      <c r="S138" s="335">
        <f t="shared" si="102"/>
        <v>35052.239999999998</v>
      </c>
      <c r="U138" s="270">
        <v>1</v>
      </c>
      <c r="V138" s="266">
        <f>'[3]Oficial 3'!$D$136</f>
        <v>3510.56</v>
      </c>
      <c r="W138" s="335">
        <f t="shared" si="103"/>
        <v>3510.56</v>
      </c>
      <c r="X138" s="335">
        <f t="shared" si="104"/>
        <v>42126.720000000001</v>
      </c>
      <c r="Z138" s="277">
        <v>2</v>
      </c>
      <c r="AA138" s="294">
        <v>3231.08</v>
      </c>
      <c r="AB138" s="295">
        <v>6462.16</v>
      </c>
      <c r="AC138" s="368">
        <v>77545.919999999998</v>
      </c>
      <c r="AE138" s="265">
        <v>2</v>
      </c>
      <c r="AF138" s="278">
        <v>3231.08</v>
      </c>
      <c r="AG138" s="289">
        <v>6462.16</v>
      </c>
      <c r="AH138" s="342">
        <v>77545.919999999998</v>
      </c>
      <c r="AJ138" s="265">
        <v>2</v>
      </c>
      <c r="AK138" s="278">
        <v>2987.6</v>
      </c>
      <c r="AL138" s="289">
        <v>5975.2</v>
      </c>
      <c r="AM138" s="342">
        <v>71702.399999999994</v>
      </c>
      <c r="AO138" s="265">
        <v>2</v>
      </c>
      <c r="AP138" s="278">
        <v>2987.6</v>
      </c>
      <c r="AQ138" s="289">
        <v>5975.2</v>
      </c>
      <c r="AR138" s="342">
        <v>71702.399999999994</v>
      </c>
      <c r="AT138" s="265">
        <v>2</v>
      </c>
      <c r="AU138" s="278">
        <f>'[3]Oficial 3'!$D$136</f>
        <v>3510.56</v>
      </c>
      <c r="AV138" s="289">
        <f t="shared" si="96"/>
        <v>7021.12</v>
      </c>
      <c r="AW138" s="342">
        <f t="shared" si="105"/>
        <v>84253.440000000002</v>
      </c>
      <c r="AX138" s="455">
        <v>2</v>
      </c>
      <c r="AY138" s="265">
        <v>2</v>
      </c>
      <c r="AZ138" s="334">
        <f t="shared" si="106"/>
        <v>0</v>
      </c>
      <c r="BA138" s="278">
        <f>'20-A'!D152</f>
        <v>4108.6965408764872</v>
      </c>
      <c r="BB138" s="434">
        <f t="shared" si="97"/>
        <v>8217.3930817529745</v>
      </c>
      <c r="BC138" s="342">
        <f t="shared" si="107"/>
        <v>98608.716981035686</v>
      </c>
    </row>
    <row r="139" spans="2:58">
      <c r="B139" s="263">
        <v>10</v>
      </c>
      <c r="C139" s="264" t="s">
        <v>563</v>
      </c>
      <c r="D139" s="270">
        <v>1</v>
      </c>
      <c r="E139" s="266">
        <v>1951.36</v>
      </c>
      <c r="F139" s="335">
        <v>1951.36</v>
      </c>
      <c r="G139" s="335">
        <v>23416.32</v>
      </c>
      <c r="H139" s="266">
        <f>'[3]Jardineiro 3'!$D$137</f>
        <v>2504.21</v>
      </c>
      <c r="I139" s="335">
        <f t="shared" si="98"/>
        <v>2504.21</v>
      </c>
      <c r="J139" s="335">
        <f t="shared" si="99"/>
        <v>30050.52</v>
      </c>
      <c r="L139" s="269">
        <f t="shared" si="100"/>
        <v>5008.42</v>
      </c>
      <c r="M139" s="288">
        <v>802066</v>
      </c>
      <c r="N139" s="249" t="s">
        <v>602</v>
      </c>
      <c r="P139" s="270">
        <v>4</v>
      </c>
      <c r="Q139" s="266">
        <v>2031.16</v>
      </c>
      <c r="R139" s="335">
        <f t="shared" si="101"/>
        <v>8124.64</v>
      </c>
      <c r="S139" s="335">
        <f t="shared" si="102"/>
        <v>97495.680000000008</v>
      </c>
      <c r="U139" s="270">
        <v>4</v>
      </c>
      <c r="V139" s="266">
        <f>'[3]Jardineiro 3'!$D$137</f>
        <v>2504.21</v>
      </c>
      <c r="W139" s="335">
        <f t="shared" si="103"/>
        <v>10016.84</v>
      </c>
      <c r="X139" s="335">
        <f t="shared" si="104"/>
        <v>120202.08</v>
      </c>
      <c r="Z139" s="270">
        <v>1</v>
      </c>
      <c r="AA139" s="266">
        <v>1951.36</v>
      </c>
      <c r="AB139" s="267">
        <v>1951.36</v>
      </c>
      <c r="AC139" s="335">
        <v>23416.32</v>
      </c>
      <c r="AE139" s="270">
        <v>1</v>
      </c>
      <c r="AF139" s="271">
        <v>2176.35</v>
      </c>
      <c r="AG139" s="267">
        <v>2176.35</v>
      </c>
      <c r="AH139" s="335">
        <v>26116.199999999997</v>
      </c>
      <c r="AJ139" s="270">
        <v>1</v>
      </c>
      <c r="AK139" s="271">
        <v>2176.35</v>
      </c>
      <c r="AL139" s="267">
        <v>2176.35</v>
      </c>
      <c r="AM139" s="335">
        <v>26116.199999999997</v>
      </c>
      <c r="AO139" s="270">
        <v>1</v>
      </c>
      <c r="AP139" s="271">
        <v>2176.35</v>
      </c>
      <c r="AQ139" s="267">
        <v>2176.35</v>
      </c>
      <c r="AR139" s="335">
        <v>26116.199999999997</v>
      </c>
      <c r="AT139" s="270">
        <v>1</v>
      </c>
      <c r="AU139" s="271">
        <f>'[3]Jardineiro 3'!$D$137</f>
        <v>2504.21</v>
      </c>
      <c r="AV139" s="267">
        <f t="shared" si="96"/>
        <v>2504.21</v>
      </c>
      <c r="AW139" s="335">
        <f t="shared" si="105"/>
        <v>30050.52</v>
      </c>
      <c r="AX139" s="468">
        <v>1</v>
      </c>
      <c r="AY139" s="270">
        <v>1</v>
      </c>
      <c r="AZ139" s="334">
        <f t="shared" si="106"/>
        <v>0</v>
      </c>
      <c r="BA139" s="271">
        <f>'26-A'!D152</f>
        <v>3032.9258646664389</v>
      </c>
      <c r="BB139" s="432">
        <f t="shared" si="97"/>
        <v>3032.9258646664389</v>
      </c>
      <c r="BC139" s="335">
        <f t="shared" si="107"/>
        <v>36395.110375997268</v>
      </c>
    </row>
    <row r="140" spans="2:58">
      <c r="B140" s="512"/>
      <c r="C140" s="512"/>
      <c r="D140" s="279">
        <f>SUM(D135:D139)</f>
        <v>7</v>
      </c>
      <c r="E140" s="281"/>
      <c r="F140" s="283">
        <v>30282.68</v>
      </c>
      <c r="G140" s="283">
        <v>363392.16</v>
      </c>
      <c r="H140" s="281"/>
      <c r="I140" s="283">
        <f>SUM(I135:I139)</f>
        <v>21203.670000000002</v>
      </c>
      <c r="J140" s="283">
        <f>SUM(J135:J139)</f>
        <v>254444.03999999998</v>
      </c>
      <c r="L140" s="283">
        <f>SUM(L135:L139)</f>
        <v>42407.340000000004</v>
      </c>
      <c r="P140" s="279">
        <f>SUM(P135:P139)</f>
        <v>9</v>
      </c>
      <c r="Q140" s="281"/>
      <c r="R140" s="283" t="e">
        <f>SUM(R135:R139)</f>
        <v>#REF!</v>
      </c>
      <c r="S140" s="283" t="e">
        <f>SUM(S135:S139)</f>
        <v>#REF!</v>
      </c>
      <c r="U140" s="279">
        <f>SUM(U135:U139)</f>
        <v>9</v>
      </c>
      <c r="V140" s="281"/>
      <c r="W140" s="283">
        <f>SUM(W135:W139)</f>
        <v>24813.67</v>
      </c>
      <c r="X140" s="283">
        <f>SUM(X135:X139)</f>
        <v>297764.03999999998</v>
      </c>
      <c r="Z140" s="279">
        <v>15</v>
      </c>
      <c r="AA140" s="281"/>
      <c r="AB140" s="282">
        <v>34055.620000000003</v>
      </c>
      <c r="AC140" s="283">
        <v>408667.44</v>
      </c>
      <c r="AE140" s="279">
        <v>15</v>
      </c>
      <c r="AF140" s="284"/>
      <c r="AG140" s="282">
        <v>36943.949999999997</v>
      </c>
      <c r="AH140" s="283">
        <v>443327.39999999997</v>
      </c>
      <c r="AJ140" s="279">
        <v>15</v>
      </c>
      <c r="AK140" s="284"/>
      <c r="AL140" s="282">
        <v>36456.99</v>
      </c>
      <c r="AM140" s="283">
        <v>437483.88</v>
      </c>
      <c r="AO140" s="279">
        <v>15</v>
      </c>
      <c r="AP140" s="284"/>
      <c r="AQ140" s="282">
        <v>36456.99</v>
      </c>
      <c r="AR140" s="283">
        <v>437483.88</v>
      </c>
      <c r="AT140" s="279">
        <f>SUM(AT135:AT139)</f>
        <v>10</v>
      </c>
      <c r="AU140" s="284"/>
      <c r="AV140" s="282">
        <f>SUM(AV135:AV139)</f>
        <v>30018.35</v>
      </c>
      <c r="AW140" s="283">
        <f>SUM(AW135:AW139)</f>
        <v>360220.2</v>
      </c>
      <c r="AX140" s="279">
        <f>SUM(AX135:AX139)</f>
        <v>10</v>
      </c>
      <c r="AY140" s="444"/>
      <c r="AZ140" s="444"/>
      <c r="BA140" s="284"/>
      <c r="BB140" s="437">
        <f>SUM(BB135:BB139)</f>
        <v>36222.464121494064</v>
      </c>
      <c r="BC140" s="283">
        <f>SUM(BC135:BC139)</f>
        <v>434669.56945792877</v>
      </c>
    </row>
    <row r="141" spans="2:58">
      <c r="B141" s="331" t="s">
        <v>668</v>
      </c>
      <c r="C141" s="345" t="s">
        <v>652</v>
      </c>
      <c r="E141" s="514" t="s">
        <v>578</v>
      </c>
      <c r="F141" s="514"/>
      <c r="G141" s="514"/>
      <c r="H141" s="514" t="s">
        <v>579</v>
      </c>
      <c r="I141" s="514"/>
      <c r="J141" s="514"/>
      <c r="AA141" s="249" t="s">
        <v>580</v>
      </c>
      <c r="AF141" s="252"/>
      <c r="AK141" s="514" t="s">
        <v>573</v>
      </c>
      <c r="AL141" s="514"/>
      <c r="AM141" s="514"/>
    </row>
    <row r="142" spans="2:58" ht="47.25">
      <c r="B142" s="260" t="s">
        <v>581</v>
      </c>
      <c r="C142" s="261" t="s">
        <v>267</v>
      </c>
      <c r="D142" s="261" t="s">
        <v>582</v>
      </c>
      <c r="E142" s="261" t="s">
        <v>583</v>
      </c>
      <c r="F142" s="261" t="s">
        <v>584</v>
      </c>
      <c r="G142" s="261" t="s">
        <v>585</v>
      </c>
      <c r="H142" s="261" t="s">
        <v>583</v>
      </c>
      <c r="I142" s="261" t="s">
        <v>584</v>
      </c>
      <c r="J142" s="261" t="s">
        <v>585</v>
      </c>
      <c r="K142" s="261" t="s">
        <v>586</v>
      </c>
      <c r="M142" s="261" t="s">
        <v>598</v>
      </c>
      <c r="N142" s="261" t="s">
        <v>588</v>
      </c>
      <c r="P142" s="261" t="s">
        <v>582</v>
      </c>
      <c r="Q142" s="261" t="s">
        <v>583</v>
      </c>
      <c r="R142" s="261" t="s">
        <v>584</v>
      </c>
      <c r="S142" s="261" t="s">
        <v>585</v>
      </c>
      <c r="Z142" s="261" t="s">
        <v>590</v>
      </c>
      <c r="AA142" s="261" t="s">
        <v>583</v>
      </c>
      <c r="AB142" s="261" t="s">
        <v>584</v>
      </c>
      <c r="AC142" s="261" t="s">
        <v>585</v>
      </c>
      <c r="AE142" s="261" t="s">
        <v>566</v>
      </c>
      <c r="AF142" s="262" t="s">
        <v>583</v>
      </c>
      <c r="AG142" s="261" t="s">
        <v>584</v>
      </c>
      <c r="AH142" s="261" t="s">
        <v>585</v>
      </c>
      <c r="AJ142" s="261" t="s">
        <v>566</v>
      </c>
      <c r="AK142" s="262" t="s">
        <v>583</v>
      </c>
      <c r="AL142" s="261" t="s">
        <v>584</v>
      </c>
      <c r="AM142" s="261" t="s">
        <v>585</v>
      </c>
      <c r="AO142" s="261" t="s">
        <v>566</v>
      </c>
      <c r="AP142" s="262" t="s">
        <v>583</v>
      </c>
      <c r="AQ142" s="261" t="s">
        <v>584</v>
      </c>
      <c r="AR142" s="261" t="s">
        <v>585</v>
      </c>
      <c r="AT142" s="261" t="s">
        <v>566</v>
      </c>
      <c r="AU142" s="262" t="s">
        <v>583</v>
      </c>
      <c r="AV142" s="261" t="s">
        <v>584</v>
      </c>
      <c r="AW142" s="261" t="s">
        <v>585</v>
      </c>
      <c r="AX142" s="261" t="s">
        <v>566</v>
      </c>
      <c r="AY142" s="261"/>
      <c r="AZ142" s="261"/>
      <c r="BA142" s="262" t="s">
        <v>583</v>
      </c>
      <c r="BB142" s="430" t="s">
        <v>584</v>
      </c>
      <c r="BC142" s="261" t="s">
        <v>585</v>
      </c>
    </row>
    <row r="143" spans="2:58">
      <c r="B143" s="344">
        <v>2</v>
      </c>
      <c r="C143" s="333" t="s">
        <v>1</v>
      </c>
      <c r="D143" s="334">
        <v>2</v>
      </c>
      <c r="E143" s="335">
        <v>2016.08</v>
      </c>
      <c r="F143" s="335">
        <v>4032.16</v>
      </c>
      <c r="G143" s="335">
        <v>48385.919999999998</v>
      </c>
      <c r="H143" s="335">
        <f>'[3]Recepção 4'!$D$137</f>
        <v>2682.63</v>
      </c>
      <c r="I143" s="335">
        <f>H143*D143</f>
        <v>5365.26</v>
      </c>
      <c r="J143" s="335">
        <f>I143*12</f>
        <v>64383.12</v>
      </c>
      <c r="K143" s="268">
        <f>I143*3</f>
        <v>16095.78</v>
      </c>
      <c r="M143" s="288">
        <v>801649</v>
      </c>
      <c r="N143" s="249" t="s">
        <v>600</v>
      </c>
      <c r="P143" s="334"/>
      <c r="Q143" s="335" t="e">
        <f>'[3]Recepção 4'!I137</f>
        <v>#REF!</v>
      </c>
      <c r="R143" s="335" t="e">
        <f>Q143*P143</f>
        <v>#REF!</v>
      </c>
      <c r="S143" s="335" t="e">
        <f>R143*12</f>
        <v>#REF!</v>
      </c>
      <c r="Z143" s="334">
        <v>2</v>
      </c>
      <c r="AA143" s="335">
        <v>2016.08</v>
      </c>
      <c r="AB143" s="267">
        <v>4032.16</v>
      </c>
      <c r="AC143" s="335">
        <v>48385.919999999998</v>
      </c>
      <c r="AE143" s="334">
        <v>2</v>
      </c>
      <c r="AF143" s="336">
        <v>2262.41</v>
      </c>
      <c r="AG143" s="267">
        <v>4524.82</v>
      </c>
      <c r="AH143" s="335">
        <v>54297.84</v>
      </c>
      <c r="AJ143" s="334">
        <v>2</v>
      </c>
      <c r="AK143" s="336">
        <v>2262.41</v>
      </c>
      <c r="AL143" s="267">
        <v>4524.82</v>
      </c>
      <c r="AM143" s="335">
        <v>54297.84</v>
      </c>
      <c r="AO143" s="334">
        <v>2</v>
      </c>
      <c r="AP143" s="336">
        <v>2262.41</v>
      </c>
      <c r="AQ143" s="267">
        <v>4524.82</v>
      </c>
      <c r="AR143" s="335">
        <v>54297.84</v>
      </c>
      <c r="AT143" s="334">
        <v>2</v>
      </c>
      <c r="AU143" s="336">
        <f>'[3]Recepção 4'!$D$137</f>
        <v>2682.63</v>
      </c>
      <c r="AV143" s="267">
        <f>AU143*AT143</f>
        <v>5365.26</v>
      </c>
      <c r="AW143" s="335">
        <f>AV143*12</f>
        <v>64383.12</v>
      </c>
      <c r="AX143" s="469">
        <v>1</v>
      </c>
      <c r="AY143" s="334">
        <v>1</v>
      </c>
      <c r="AZ143" s="334">
        <f>AX143-AY143</f>
        <v>0</v>
      </c>
      <c r="BA143" s="336">
        <f>'4-A'!D152</f>
        <v>3227.8062916603271</v>
      </c>
      <c r="BB143" s="432">
        <f>BA143*AX143</f>
        <v>3227.8062916603271</v>
      </c>
      <c r="BC143" s="335">
        <f>BB143*12</f>
        <v>38733.675499923927</v>
      </c>
    </row>
    <row r="144" spans="2:58">
      <c r="B144" s="344">
        <v>3</v>
      </c>
      <c r="C144" s="333" t="s">
        <v>392</v>
      </c>
      <c r="D144" s="334">
        <v>1</v>
      </c>
      <c r="E144" s="335">
        <v>1453.14</v>
      </c>
      <c r="F144" s="335">
        <v>1453.14</v>
      </c>
      <c r="G144" s="335">
        <v>17437.68</v>
      </c>
      <c r="H144" s="335">
        <f>'[3]Copeira 4'!$D$137</f>
        <v>2374.36</v>
      </c>
      <c r="I144" s="335">
        <f>H144*D144</f>
        <v>2374.36</v>
      </c>
      <c r="J144" s="335">
        <f>I144*12</f>
        <v>28492.32</v>
      </c>
      <c r="K144" s="268">
        <f>H144*3</f>
        <v>7123.08</v>
      </c>
      <c r="M144" s="288">
        <v>801866</v>
      </c>
      <c r="N144" s="249" t="s">
        <v>600</v>
      </c>
      <c r="P144" s="334"/>
      <c r="Q144" s="335" t="e">
        <f>'[3]Copeira 4'!I137</f>
        <v>#REF!</v>
      </c>
      <c r="R144" s="335" t="e">
        <f>Q144*P144</f>
        <v>#REF!</v>
      </c>
      <c r="S144" s="335" t="e">
        <f>R144*12</f>
        <v>#REF!</v>
      </c>
      <c r="Z144" s="334">
        <v>1</v>
      </c>
      <c r="AA144" s="335">
        <v>1453.14</v>
      </c>
      <c r="AB144" s="267">
        <v>1453.14</v>
      </c>
      <c r="AC144" s="335">
        <v>17437.68</v>
      </c>
      <c r="AE144" s="334">
        <v>1</v>
      </c>
      <c r="AF144" s="336">
        <v>1604.03</v>
      </c>
      <c r="AG144" s="267">
        <v>1604.03</v>
      </c>
      <c r="AH144" s="335">
        <v>19248.36</v>
      </c>
      <c r="AJ144" s="334">
        <v>1</v>
      </c>
      <c r="AK144" s="336">
        <v>1604.03</v>
      </c>
      <c r="AL144" s="267">
        <v>1604.03</v>
      </c>
      <c r="AM144" s="335">
        <v>19248.36</v>
      </c>
      <c r="AO144" s="334">
        <v>1</v>
      </c>
      <c r="AP144" s="336">
        <v>1604.03</v>
      </c>
      <c r="AQ144" s="267">
        <v>1604.03</v>
      </c>
      <c r="AR144" s="335">
        <v>19248.36</v>
      </c>
      <c r="AT144" s="334">
        <v>1</v>
      </c>
      <c r="AU144" s="336">
        <f>'[3]Copeira 4'!$D$137</f>
        <v>2374.36</v>
      </c>
      <c r="AV144" s="267">
        <f>AU144*AT144</f>
        <v>2374.36</v>
      </c>
      <c r="AW144" s="335">
        <f>AV144*12</f>
        <v>28492.32</v>
      </c>
      <c r="AX144" s="469">
        <v>1</v>
      </c>
      <c r="AY144" s="334">
        <v>1</v>
      </c>
      <c r="AZ144" s="334">
        <f t="shared" ref="AZ144:AZ146" si="108">AX144-AY144</f>
        <v>0</v>
      </c>
      <c r="BA144" s="336">
        <f>'7-A'!D152</f>
        <v>2343.6047170674351</v>
      </c>
      <c r="BB144" s="432">
        <f>BA144*AX144</f>
        <v>2343.6047170674351</v>
      </c>
      <c r="BC144" s="335">
        <f>BB144*12</f>
        <v>28123.256604809219</v>
      </c>
    </row>
    <row r="145" spans="2:55">
      <c r="B145" s="344">
        <v>5</v>
      </c>
      <c r="C145" s="333" t="s">
        <v>562</v>
      </c>
      <c r="D145" s="334">
        <v>1</v>
      </c>
      <c r="E145" s="335">
        <v>1753.67</v>
      </c>
      <c r="F145" s="335">
        <v>1753.67</v>
      </c>
      <c r="G145" s="335">
        <v>21044.04</v>
      </c>
      <c r="H145" s="335">
        <f>'[3]ASG 4'!$D$137</f>
        <v>2348.0500000000002</v>
      </c>
      <c r="I145" s="335">
        <f>H145*D145</f>
        <v>2348.0500000000002</v>
      </c>
      <c r="J145" s="335">
        <f>I145*12</f>
        <v>28176.600000000002</v>
      </c>
      <c r="K145" s="268">
        <f>H145*3</f>
        <v>7044.1500000000005</v>
      </c>
      <c r="M145" s="288">
        <v>801649</v>
      </c>
      <c r="N145" s="249" t="s">
        <v>600</v>
      </c>
      <c r="P145" s="334"/>
      <c r="Q145" s="335" t="e">
        <f>'[3]ASG 4'!I137</f>
        <v>#REF!</v>
      </c>
      <c r="R145" s="335" t="e">
        <f>Q145*P145</f>
        <v>#REF!</v>
      </c>
      <c r="S145" s="335" t="e">
        <f>R145*12</f>
        <v>#REF!</v>
      </c>
      <c r="Z145" s="334">
        <v>1</v>
      </c>
      <c r="AA145" s="335">
        <v>1753.67</v>
      </c>
      <c r="AB145" s="267">
        <v>1753.67</v>
      </c>
      <c r="AC145" s="335">
        <v>21044.04</v>
      </c>
      <c r="AE145" s="334">
        <v>1</v>
      </c>
      <c r="AF145" s="336">
        <v>1956.31</v>
      </c>
      <c r="AG145" s="267">
        <v>1956.31</v>
      </c>
      <c r="AH145" s="335">
        <v>23475.72</v>
      </c>
      <c r="AJ145" s="334">
        <v>1</v>
      </c>
      <c r="AK145" s="336">
        <v>1956.31</v>
      </c>
      <c r="AL145" s="267">
        <v>1956.31</v>
      </c>
      <c r="AM145" s="335">
        <v>23475.72</v>
      </c>
      <c r="AO145" s="334">
        <v>1</v>
      </c>
      <c r="AP145" s="336">
        <v>1956.31</v>
      </c>
      <c r="AQ145" s="267">
        <v>1956.31</v>
      </c>
      <c r="AR145" s="335">
        <v>23475.72</v>
      </c>
      <c r="AT145" s="334">
        <v>1</v>
      </c>
      <c r="AU145" s="336">
        <f>'[3]ASG 4'!$D$137</f>
        <v>2348.0500000000002</v>
      </c>
      <c r="AV145" s="267">
        <f>AU145*AT145</f>
        <v>2348.0500000000002</v>
      </c>
      <c r="AW145" s="335">
        <f>AV145*12</f>
        <v>28176.600000000002</v>
      </c>
      <c r="AX145" s="469">
        <v>1</v>
      </c>
      <c r="AY145" s="334">
        <v>1</v>
      </c>
      <c r="AZ145" s="334">
        <f t="shared" si="108"/>
        <v>0</v>
      </c>
      <c r="BA145" s="336">
        <f>'15-A'!D152</f>
        <v>2815.0895276286642</v>
      </c>
      <c r="BB145" s="432">
        <f>BA145*AX145</f>
        <v>2815.0895276286642</v>
      </c>
      <c r="BC145" s="335">
        <f>BB145*12</f>
        <v>33781.074331543969</v>
      </c>
    </row>
    <row r="146" spans="2:55">
      <c r="B146" s="263">
        <v>8</v>
      </c>
      <c r="C146" s="264" t="s">
        <v>594</v>
      </c>
      <c r="D146" s="270">
        <v>1</v>
      </c>
      <c r="E146" s="266">
        <v>3016.01</v>
      </c>
      <c r="F146" s="335">
        <v>3016.01</v>
      </c>
      <c r="G146" s="335">
        <v>36192.120000000003</v>
      </c>
      <c r="H146" s="266">
        <f>'[3]Oficial 4'!$D$136</f>
        <v>3551.03</v>
      </c>
      <c r="I146" s="335">
        <f>H146*D146</f>
        <v>3551.03</v>
      </c>
      <c r="J146" s="335">
        <f>I146*12</f>
        <v>42612.36</v>
      </c>
      <c r="K146" s="268">
        <f>H146*3</f>
        <v>10653.09</v>
      </c>
      <c r="M146" s="288">
        <v>801650</v>
      </c>
      <c r="N146" s="249" t="s">
        <v>600</v>
      </c>
      <c r="P146" s="270"/>
      <c r="Q146" s="266" t="e">
        <f>'[3]Oficial 4'!I136</f>
        <v>#REF!</v>
      </c>
      <c r="R146" s="335" t="e">
        <f>Q146*P146</f>
        <v>#REF!</v>
      </c>
      <c r="S146" s="335" t="e">
        <f>R146*12</f>
        <v>#REF!</v>
      </c>
      <c r="Z146" s="270">
        <v>1</v>
      </c>
      <c r="AA146" s="266">
        <v>3268.33</v>
      </c>
      <c r="AB146" s="267">
        <v>3268.33</v>
      </c>
      <c r="AC146" s="335">
        <v>39219.96</v>
      </c>
      <c r="AE146" s="270">
        <v>1</v>
      </c>
      <c r="AF146" s="271">
        <v>3268.33</v>
      </c>
      <c r="AG146" s="267">
        <v>3268.33</v>
      </c>
      <c r="AH146" s="335">
        <v>39219.96</v>
      </c>
      <c r="AJ146" s="270">
        <v>1</v>
      </c>
      <c r="AK146" s="271">
        <v>3022.02</v>
      </c>
      <c r="AL146" s="267">
        <v>3022.02</v>
      </c>
      <c r="AM146" s="335">
        <v>36264.239999999998</v>
      </c>
      <c r="AO146" s="270">
        <v>1</v>
      </c>
      <c r="AP146" s="271">
        <v>3022.02</v>
      </c>
      <c r="AQ146" s="267">
        <v>3022.02</v>
      </c>
      <c r="AR146" s="335">
        <v>36264.239999999998</v>
      </c>
      <c r="AT146" s="270">
        <v>1</v>
      </c>
      <c r="AU146" s="271">
        <f>'[3]Oficial 4'!$D$136</f>
        <v>3551.03</v>
      </c>
      <c r="AV146" s="267">
        <f>AU146*AT146</f>
        <v>3551.03</v>
      </c>
      <c r="AW146" s="335">
        <f>AV146*12</f>
        <v>42612.36</v>
      </c>
      <c r="AX146" s="468">
        <v>1</v>
      </c>
      <c r="AY146" s="270">
        <v>1</v>
      </c>
      <c r="AZ146" s="334">
        <f t="shared" si="108"/>
        <v>0</v>
      </c>
      <c r="BA146" s="271">
        <f>'21-A'!D152</f>
        <v>4156.4248501668744</v>
      </c>
      <c r="BB146" s="432">
        <f>BA146*AX146</f>
        <v>4156.4248501668744</v>
      </c>
      <c r="BC146" s="335">
        <f>BB146*12</f>
        <v>49877.098202002497</v>
      </c>
    </row>
    <row r="147" spans="2:55">
      <c r="B147" s="516"/>
      <c r="C147" s="516"/>
      <c r="D147" s="369">
        <f>SUM(D143:D146)</f>
        <v>5</v>
      </c>
      <c r="E147" s="370"/>
      <c r="F147" s="371">
        <v>10254.98</v>
      </c>
      <c r="G147" s="371">
        <v>123059.76000000001</v>
      </c>
      <c r="H147" s="370"/>
      <c r="I147" s="371">
        <f>SUM(I143:I146)</f>
        <v>13638.700000000003</v>
      </c>
      <c r="J147" s="371">
        <f>SUM(J143:J146)</f>
        <v>163664.40000000002</v>
      </c>
      <c r="K147" s="372">
        <f>SUM(K143:K146)</f>
        <v>40916.100000000006</v>
      </c>
      <c r="L147" s="330"/>
      <c r="M147" s="330"/>
      <c r="N147" s="330"/>
      <c r="P147" s="279">
        <f>SUM(P143:P146)</f>
        <v>0</v>
      </c>
      <c r="Q147" s="281"/>
      <c r="R147" s="283" t="e">
        <f>SUM(R143:R146)</f>
        <v>#REF!</v>
      </c>
      <c r="S147" s="283" t="e">
        <f>SUM(S143:S146)</f>
        <v>#REF!</v>
      </c>
      <c r="Z147" s="369">
        <v>5</v>
      </c>
      <c r="AA147" s="370"/>
      <c r="AB147" s="373">
        <v>10507.3</v>
      </c>
      <c r="AC147" s="371">
        <v>126087.6</v>
      </c>
      <c r="AE147" s="369">
        <v>5</v>
      </c>
      <c r="AF147" s="374"/>
      <c r="AG147" s="373">
        <v>11353.49</v>
      </c>
      <c r="AH147" s="371">
        <v>136241.88</v>
      </c>
      <c r="AJ147" s="369">
        <v>5</v>
      </c>
      <c r="AK147" s="374"/>
      <c r="AL147" s="373">
        <v>11107.18</v>
      </c>
      <c r="AM147" s="371">
        <v>133286.16</v>
      </c>
      <c r="AO147" s="369">
        <v>5</v>
      </c>
      <c r="AP147" s="374"/>
      <c r="AQ147" s="373">
        <v>11107.18</v>
      </c>
      <c r="AR147" s="371">
        <v>133286.16</v>
      </c>
      <c r="AT147" s="369">
        <f>SUM(AT143:AT146)</f>
        <v>5</v>
      </c>
      <c r="AU147" s="374"/>
      <c r="AV147" s="373">
        <f>SUM(AV143:AV146)</f>
        <v>13638.700000000003</v>
      </c>
      <c r="AW147" s="371">
        <f>SUM(AW143:AW146)</f>
        <v>163664.40000000002</v>
      </c>
      <c r="AX147" s="369">
        <f>SUM(AX143:AX146)</f>
        <v>4</v>
      </c>
      <c r="AY147" s="445"/>
      <c r="AZ147" s="445"/>
      <c r="BA147" s="374"/>
      <c r="BB147" s="439">
        <f>SUM(BB143:BB146)</f>
        <v>12542.9253865233</v>
      </c>
      <c r="BC147" s="371">
        <f>SUM(BC143:BC146)</f>
        <v>150515.10463827962</v>
      </c>
    </row>
    <row r="148" spans="2:55">
      <c r="B148" s="331" t="s">
        <v>669</v>
      </c>
      <c r="C148" s="345" t="s">
        <v>648</v>
      </c>
      <c r="E148" s="514" t="s">
        <v>578</v>
      </c>
      <c r="F148" s="514"/>
      <c r="G148" s="514"/>
      <c r="H148" s="514" t="s">
        <v>579</v>
      </c>
      <c r="I148" s="514"/>
      <c r="J148" s="514"/>
      <c r="M148" s="275"/>
      <c r="N148" s="275"/>
      <c r="AA148" s="249" t="s">
        <v>580</v>
      </c>
      <c r="AF148" s="252"/>
      <c r="AK148" s="252"/>
    </row>
    <row r="149" spans="2:55" ht="47.25">
      <c r="B149" s="260" t="s">
        <v>581</v>
      </c>
      <c r="C149" s="261" t="s">
        <v>267</v>
      </c>
      <c r="D149" s="261" t="s">
        <v>582</v>
      </c>
      <c r="E149" s="261" t="s">
        <v>583</v>
      </c>
      <c r="F149" s="261" t="s">
        <v>584</v>
      </c>
      <c r="G149" s="261" t="s">
        <v>585</v>
      </c>
      <c r="H149" s="261" t="s">
        <v>583</v>
      </c>
      <c r="I149" s="261" t="s">
        <v>584</v>
      </c>
      <c r="J149" s="261" t="s">
        <v>585</v>
      </c>
      <c r="K149" s="261" t="s">
        <v>586</v>
      </c>
      <c r="L149" s="261" t="s">
        <v>587</v>
      </c>
      <c r="M149" s="261" t="s">
        <v>598</v>
      </c>
      <c r="N149" s="261" t="s">
        <v>588</v>
      </c>
      <c r="P149" s="261" t="s">
        <v>582</v>
      </c>
      <c r="Q149" s="261" t="s">
        <v>583</v>
      </c>
      <c r="R149" s="261" t="s">
        <v>584</v>
      </c>
      <c r="S149" s="261" t="s">
        <v>585</v>
      </c>
      <c r="U149" s="261" t="s">
        <v>582</v>
      </c>
      <c r="V149" s="261" t="s">
        <v>583</v>
      </c>
      <c r="W149" s="261" t="s">
        <v>584</v>
      </c>
      <c r="X149" s="261" t="s">
        <v>585</v>
      </c>
      <c r="Z149" s="261" t="s">
        <v>590</v>
      </c>
      <c r="AA149" s="261" t="s">
        <v>583</v>
      </c>
      <c r="AB149" s="261" t="s">
        <v>584</v>
      </c>
      <c r="AC149" s="261" t="s">
        <v>585</v>
      </c>
      <c r="AE149" s="261" t="s">
        <v>566</v>
      </c>
      <c r="AF149" s="262" t="s">
        <v>583</v>
      </c>
      <c r="AG149" s="261" t="s">
        <v>584</v>
      </c>
      <c r="AH149" s="261" t="s">
        <v>585</v>
      </c>
      <c r="AJ149" s="261" t="s">
        <v>566</v>
      </c>
      <c r="AK149" s="262" t="s">
        <v>583</v>
      </c>
      <c r="AL149" s="261" t="s">
        <v>584</v>
      </c>
      <c r="AM149" s="261" t="s">
        <v>585</v>
      </c>
      <c r="AO149" s="261" t="s">
        <v>566</v>
      </c>
      <c r="AP149" s="262" t="s">
        <v>583</v>
      </c>
      <c r="AQ149" s="261" t="s">
        <v>584</v>
      </c>
      <c r="AR149" s="261" t="s">
        <v>585</v>
      </c>
      <c r="AT149" s="261" t="s">
        <v>566</v>
      </c>
      <c r="AU149" s="262" t="s">
        <v>583</v>
      </c>
      <c r="AV149" s="261" t="s">
        <v>584</v>
      </c>
      <c r="AW149" s="261" t="s">
        <v>585</v>
      </c>
      <c r="AX149" s="261" t="s">
        <v>566</v>
      </c>
      <c r="AY149" s="261"/>
      <c r="AZ149" s="261"/>
      <c r="BA149" s="262" t="s">
        <v>583</v>
      </c>
      <c r="BB149" s="430" t="s">
        <v>584</v>
      </c>
      <c r="BC149" s="261" t="s">
        <v>585</v>
      </c>
    </row>
    <row r="150" spans="2:55">
      <c r="B150" s="344">
        <v>2</v>
      </c>
      <c r="C150" s="333" t="s">
        <v>1</v>
      </c>
      <c r="D150" s="334">
        <v>1</v>
      </c>
      <c r="E150" s="335">
        <v>1993.11</v>
      </c>
      <c r="F150" s="335">
        <v>1993.11</v>
      </c>
      <c r="G150" s="335">
        <v>23917.32</v>
      </c>
      <c r="H150" s="335">
        <f>'[3]Recepção 3'!$D$137</f>
        <v>2652.06</v>
      </c>
      <c r="I150" s="335">
        <f t="shared" ref="I150:I153" si="109">H150*D150</f>
        <v>2652.06</v>
      </c>
      <c r="J150" s="335">
        <f t="shared" ref="J150:J153" si="110">I150*12</f>
        <v>31824.720000000001</v>
      </c>
      <c r="K150" s="268">
        <f>I150*3</f>
        <v>7956.18</v>
      </c>
      <c r="L150" s="269" t="s">
        <v>591</v>
      </c>
      <c r="M150" s="288">
        <v>801861</v>
      </c>
      <c r="N150" s="249" t="s">
        <v>600</v>
      </c>
      <c r="P150" s="334"/>
      <c r="Q150" s="335" t="e">
        <f>'[3]Recepção 3'!I137</f>
        <v>#REF!</v>
      </c>
      <c r="R150" s="335" t="e">
        <f t="shared" ref="R150:R153" si="111">Q150*P150</f>
        <v>#REF!</v>
      </c>
      <c r="S150" s="335" t="e">
        <f t="shared" ref="S150:S153" si="112">R150*12</f>
        <v>#REF!</v>
      </c>
      <c r="U150" s="334">
        <v>0</v>
      </c>
      <c r="V150" s="335">
        <f>'[3]Recepção 3'!$D$137</f>
        <v>2652.06</v>
      </c>
      <c r="W150" s="335">
        <f t="shared" ref="W150:W153" si="113">V150*U150</f>
        <v>0</v>
      </c>
      <c r="X150" s="335">
        <f t="shared" ref="X150:X153" si="114">W150*12</f>
        <v>0</v>
      </c>
      <c r="Z150" s="334">
        <v>1</v>
      </c>
      <c r="AA150" s="335">
        <v>1993.11</v>
      </c>
      <c r="AB150" s="267">
        <v>1993.11</v>
      </c>
      <c r="AC150" s="335">
        <v>23917.32</v>
      </c>
      <c r="AE150" s="334">
        <v>1</v>
      </c>
      <c r="AF150" s="336">
        <v>2236.62</v>
      </c>
      <c r="AG150" s="267">
        <v>2236.62</v>
      </c>
      <c r="AH150" s="335">
        <v>26839.439999999999</v>
      </c>
      <c r="AJ150" s="334">
        <v>1</v>
      </c>
      <c r="AK150" s="336">
        <v>2236.62</v>
      </c>
      <c r="AL150" s="267">
        <v>2236.62</v>
      </c>
      <c r="AM150" s="335">
        <v>26839.439999999999</v>
      </c>
      <c r="AO150" s="334">
        <v>1</v>
      </c>
      <c r="AP150" s="336">
        <v>2236.62</v>
      </c>
      <c r="AQ150" s="267">
        <v>2236.62</v>
      </c>
      <c r="AR150" s="335">
        <v>26839.439999999999</v>
      </c>
      <c r="AT150" s="334">
        <v>1</v>
      </c>
      <c r="AU150" s="336">
        <f>'[3]Recepção 3'!$D$137</f>
        <v>2652.06</v>
      </c>
      <c r="AV150" s="267">
        <f t="shared" ref="AV150:AV153" si="115">AU150*AT150</f>
        <v>2652.06</v>
      </c>
      <c r="AW150" s="335">
        <f t="shared" ref="AW150:AW153" si="116">AV150*12</f>
        <v>31824.720000000001</v>
      </c>
      <c r="AX150" s="469">
        <v>1</v>
      </c>
      <c r="AY150" s="334">
        <v>1</v>
      </c>
      <c r="AZ150" s="334">
        <f>AX150-AY150</f>
        <v>0</v>
      </c>
      <c r="BA150" s="336">
        <f>'3-A'!D152</f>
        <v>3190.7590404208936</v>
      </c>
      <c r="BB150" s="432">
        <f t="shared" ref="BB150:BB153" si="117">BA150*AX150</f>
        <v>3190.7590404208936</v>
      </c>
      <c r="BC150" s="335">
        <f t="shared" ref="BC150:BC153" si="118">BB150*12</f>
        <v>38289.108485050725</v>
      </c>
    </row>
    <row r="151" spans="2:55">
      <c r="B151" s="344">
        <v>4</v>
      </c>
      <c r="C151" s="333" t="s">
        <v>2</v>
      </c>
      <c r="D151" s="334"/>
      <c r="E151" s="335"/>
      <c r="F151" s="335"/>
      <c r="G151" s="335"/>
      <c r="H151" s="335"/>
      <c r="I151" s="335"/>
      <c r="J151" s="335"/>
      <c r="K151" s="268"/>
      <c r="L151" s="269"/>
      <c r="M151" s="288"/>
      <c r="N151" s="330"/>
      <c r="P151" s="334"/>
      <c r="Q151" s="335"/>
      <c r="R151" s="335"/>
      <c r="S151" s="335"/>
      <c r="U151" s="334"/>
      <c r="V151" s="335"/>
      <c r="W151" s="335"/>
      <c r="X151" s="335"/>
      <c r="Z151" s="334"/>
      <c r="AA151" s="335"/>
      <c r="AB151" s="267"/>
      <c r="AC151" s="335"/>
      <c r="AE151" s="334"/>
      <c r="AF151" s="336"/>
      <c r="AG151" s="267"/>
      <c r="AH151" s="335"/>
      <c r="AJ151" s="334"/>
      <c r="AK151" s="336"/>
      <c r="AL151" s="267"/>
      <c r="AM151" s="335"/>
      <c r="AO151" s="337">
        <v>1</v>
      </c>
      <c r="AP151" s="338">
        <v>2817.63</v>
      </c>
      <c r="AQ151" s="327">
        <v>2817.63</v>
      </c>
      <c r="AR151" s="339">
        <v>33811.56</v>
      </c>
      <c r="AS151" s="273" t="s">
        <v>653</v>
      </c>
      <c r="AT151" s="340">
        <v>1</v>
      </c>
      <c r="AU151" s="341">
        <f>'[3]Porteiro 3'!D138</f>
        <v>3330.09</v>
      </c>
      <c r="AV151" s="289">
        <f t="shared" si="115"/>
        <v>3330.09</v>
      </c>
      <c r="AW151" s="342">
        <f t="shared" si="116"/>
        <v>39961.08</v>
      </c>
      <c r="AX151" s="484">
        <v>1</v>
      </c>
      <c r="AY151" s="340">
        <v>1</v>
      </c>
      <c r="AZ151" s="334">
        <f t="shared" ref="AZ151:AZ153" si="119">AX151-AY151</f>
        <v>0</v>
      </c>
      <c r="BA151" s="341">
        <f>'10-A'!D152</f>
        <v>3973.3665908528019</v>
      </c>
      <c r="BB151" s="434">
        <f t="shared" si="117"/>
        <v>3973.3665908528019</v>
      </c>
      <c r="BC151" s="342">
        <f t="shared" si="118"/>
        <v>47680.399090233623</v>
      </c>
    </row>
    <row r="152" spans="2:55">
      <c r="B152" s="344">
        <v>5</v>
      </c>
      <c r="C152" s="333" t="s">
        <v>562</v>
      </c>
      <c r="D152" s="334">
        <v>1</v>
      </c>
      <c r="E152" s="335">
        <v>1733.68</v>
      </c>
      <c r="F152" s="335">
        <v>1733.68</v>
      </c>
      <c r="G152" s="335">
        <v>20804.16</v>
      </c>
      <c r="H152" s="335">
        <f>'[3]ASG 3'!$D$137</f>
        <v>2321.3000000000002</v>
      </c>
      <c r="I152" s="335">
        <f t="shared" si="109"/>
        <v>2321.3000000000002</v>
      </c>
      <c r="J152" s="335">
        <f t="shared" si="110"/>
        <v>27855.600000000002</v>
      </c>
      <c r="K152" s="268">
        <f>I152*3</f>
        <v>6963.9000000000005</v>
      </c>
      <c r="L152" s="269" t="s">
        <v>591</v>
      </c>
      <c r="M152" s="288">
        <v>801861</v>
      </c>
      <c r="N152" s="249" t="s">
        <v>600</v>
      </c>
      <c r="P152" s="334"/>
      <c r="Q152" s="335" t="e">
        <f>'[3]ASG 3'!I137</f>
        <v>#REF!</v>
      </c>
      <c r="R152" s="335" t="e">
        <f t="shared" si="111"/>
        <v>#REF!</v>
      </c>
      <c r="S152" s="335" t="e">
        <f t="shared" si="112"/>
        <v>#REF!</v>
      </c>
      <c r="U152" s="334">
        <v>0</v>
      </c>
      <c r="V152" s="335">
        <f>'[3]ASG 3'!$D$137</f>
        <v>2321.3000000000002</v>
      </c>
      <c r="W152" s="335">
        <f t="shared" si="113"/>
        <v>0</v>
      </c>
      <c r="X152" s="335">
        <f t="shared" si="114"/>
        <v>0</v>
      </c>
      <c r="Z152" s="334">
        <v>1</v>
      </c>
      <c r="AA152" s="335">
        <v>1733.68</v>
      </c>
      <c r="AB152" s="267">
        <v>1733.68</v>
      </c>
      <c r="AC152" s="335">
        <v>20804.16</v>
      </c>
      <c r="AE152" s="334">
        <v>1</v>
      </c>
      <c r="AF152" s="336">
        <v>1934.02</v>
      </c>
      <c r="AG152" s="267">
        <v>1934.02</v>
      </c>
      <c r="AH152" s="335">
        <v>23208.239999999998</v>
      </c>
      <c r="AJ152" s="334">
        <v>1</v>
      </c>
      <c r="AK152" s="336">
        <v>1934.02</v>
      </c>
      <c r="AL152" s="267">
        <v>1934.02</v>
      </c>
      <c r="AM152" s="335">
        <v>23208.239999999998</v>
      </c>
      <c r="AO152" s="334">
        <v>1</v>
      </c>
      <c r="AP152" s="336">
        <v>1934.02</v>
      </c>
      <c r="AQ152" s="267">
        <v>1934.02</v>
      </c>
      <c r="AR152" s="335">
        <v>23208.239999999998</v>
      </c>
      <c r="AT152" s="334">
        <v>1</v>
      </c>
      <c r="AU152" s="336">
        <f>'[3]ASG 3'!$D$137</f>
        <v>2321.3000000000002</v>
      </c>
      <c r="AV152" s="267">
        <f t="shared" si="115"/>
        <v>2321.3000000000002</v>
      </c>
      <c r="AW152" s="335">
        <f t="shared" si="116"/>
        <v>27855.600000000002</v>
      </c>
      <c r="AX152" s="469">
        <v>1</v>
      </c>
      <c r="AY152" s="334">
        <v>1</v>
      </c>
      <c r="AZ152" s="334">
        <f t="shared" si="119"/>
        <v>0</v>
      </c>
      <c r="BA152" s="336">
        <f>'14-A'!D152</f>
        <v>2782.7822337969228</v>
      </c>
      <c r="BB152" s="432">
        <f t="shared" si="117"/>
        <v>2782.7822337969228</v>
      </c>
      <c r="BC152" s="335">
        <f t="shared" si="118"/>
        <v>33393.386805563074</v>
      </c>
    </row>
    <row r="153" spans="2:55">
      <c r="B153" s="263">
        <v>8</v>
      </c>
      <c r="C153" s="264" t="s">
        <v>594</v>
      </c>
      <c r="D153" s="270">
        <v>1</v>
      </c>
      <c r="E153" s="266">
        <v>2981.64</v>
      </c>
      <c r="F153" s="335">
        <v>2981.64</v>
      </c>
      <c r="G153" s="335">
        <v>35779.68</v>
      </c>
      <c r="H153" s="266">
        <f>'[3]Oficial 3'!$D$136</f>
        <v>3510.56</v>
      </c>
      <c r="I153" s="335">
        <f t="shared" si="109"/>
        <v>3510.56</v>
      </c>
      <c r="J153" s="335">
        <f t="shared" si="110"/>
        <v>42126.720000000001</v>
      </c>
      <c r="K153" s="272" t="s">
        <v>591</v>
      </c>
      <c r="L153" s="269">
        <f>I153*2</f>
        <v>7021.12</v>
      </c>
      <c r="M153" s="288">
        <v>802068</v>
      </c>
      <c r="N153" s="249" t="s">
        <v>602</v>
      </c>
      <c r="P153" s="270">
        <v>1</v>
      </c>
      <c r="Q153" s="266">
        <v>2920.92</v>
      </c>
      <c r="R153" s="335">
        <f t="shared" si="111"/>
        <v>2920.92</v>
      </c>
      <c r="S153" s="335">
        <f t="shared" si="112"/>
        <v>35051.040000000001</v>
      </c>
      <c r="U153" s="270">
        <v>1</v>
      </c>
      <c r="V153" s="266">
        <f>'[3]Oficial 3'!$D$136</f>
        <v>3510.56</v>
      </c>
      <c r="W153" s="335">
        <f t="shared" si="113"/>
        <v>3510.56</v>
      </c>
      <c r="X153" s="335">
        <f t="shared" si="114"/>
        <v>42126.720000000001</v>
      </c>
      <c r="Z153" s="270">
        <v>1</v>
      </c>
      <c r="AA153" s="266">
        <v>3231.08</v>
      </c>
      <c r="AB153" s="267">
        <v>3231.08</v>
      </c>
      <c r="AC153" s="335">
        <v>38772.959999999999</v>
      </c>
      <c r="AE153" s="270">
        <v>1</v>
      </c>
      <c r="AF153" s="271">
        <v>3231.08</v>
      </c>
      <c r="AG153" s="267">
        <v>3231.08</v>
      </c>
      <c r="AH153" s="335">
        <v>38772.959999999999</v>
      </c>
      <c r="AJ153" s="270">
        <v>1</v>
      </c>
      <c r="AK153" s="271">
        <v>2987.6</v>
      </c>
      <c r="AL153" s="267">
        <v>2987.6</v>
      </c>
      <c r="AM153" s="335">
        <v>35851.199999999997</v>
      </c>
      <c r="AO153" s="270">
        <v>1</v>
      </c>
      <c r="AP153" s="271">
        <v>2987.6</v>
      </c>
      <c r="AQ153" s="267">
        <v>2987.6</v>
      </c>
      <c r="AR153" s="335">
        <v>35851.199999999997</v>
      </c>
      <c r="AT153" s="270">
        <v>1</v>
      </c>
      <c r="AU153" s="271">
        <f>'[3]Oficial 3'!$D$136</f>
        <v>3510.56</v>
      </c>
      <c r="AV153" s="267">
        <f t="shared" si="115"/>
        <v>3510.56</v>
      </c>
      <c r="AW153" s="335">
        <f t="shared" si="116"/>
        <v>42126.720000000001</v>
      </c>
      <c r="AX153" s="468">
        <v>1</v>
      </c>
      <c r="AY153" s="270">
        <v>1</v>
      </c>
      <c r="AZ153" s="334">
        <f t="shared" si="119"/>
        <v>0</v>
      </c>
      <c r="BA153" s="271">
        <f>'20-A'!D152</f>
        <v>4108.6965408764872</v>
      </c>
      <c r="BB153" s="432">
        <f t="shared" si="117"/>
        <v>4108.6965408764872</v>
      </c>
      <c r="BC153" s="335">
        <f t="shared" si="118"/>
        <v>49304.358490517843</v>
      </c>
    </row>
    <row r="154" spans="2:55">
      <c r="B154" s="512"/>
      <c r="C154" s="512"/>
      <c r="D154" s="279">
        <f>SUM(D150:D153)</f>
        <v>3</v>
      </c>
      <c r="E154" s="281"/>
      <c r="F154" s="281">
        <v>10978.35</v>
      </c>
      <c r="G154" s="281">
        <v>131740.20000000001</v>
      </c>
      <c r="H154" s="281"/>
      <c r="I154" s="281">
        <f>SUM(I150:I153)</f>
        <v>8483.92</v>
      </c>
      <c r="J154" s="281">
        <f>SUM(J150:J153)</f>
        <v>101807.04000000001</v>
      </c>
      <c r="K154" s="281">
        <f>SUM(K150:K153)</f>
        <v>14920.080000000002</v>
      </c>
      <c r="L154" s="281">
        <f>SUM(L150:L153)</f>
        <v>7021.12</v>
      </c>
      <c r="P154" s="279">
        <f>SUM(P150:P153)</f>
        <v>1</v>
      </c>
      <c r="Q154" s="281"/>
      <c r="R154" s="283" t="e">
        <f>SUM(R150:R153)</f>
        <v>#REF!</v>
      </c>
      <c r="S154" s="375" t="e">
        <f>SUM(S150:S153)</f>
        <v>#REF!</v>
      </c>
      <c r="U154" s="279">
        <f>SUM(U150:U153)</f>
        <v>1</v>
      </c>
      <c r="V154" s="281"/>
      <c r="W154" s="375">
        <f>SUM(W150:W153)</f>
        <v>3510.56</v>
      </c>
      <c r="X154" s="375">
        <f>SUM(X150:X153)</f>
        <v>42126.720000000001</v>
      </c>
      <c r="Z154" s="279">
        <v>5</v>
      </c>
      <c r="AA154" s="281"/>
      <c r="AB154" s="281">
        <v>11227.79</v>
      </c>
      <c r="AC154" s="281">
        <v>134733.48000000001</v>
      </c>
      <c r="AE154" s="279">
        <v>5</v>
      </c>
      <c r="AF154" s="284"/>
      <c r="AG154" s="373">
        <v>12167.269999999999</v>
      </c>
      <c r="AH154" s="373">
        <v>146007.24</v>
      </c>
      <c r="AJ154" s="279">
        <v>5</v>
      </c>
      <c r="AK154" s="284"/>
      <c r="AL154" s="373">
        <v>11923.789999999999</v>
      </c>
      <c r="AM154" s="373">
        <v>143085.47999999998</v>
      </c>
      <c r="AO154" s="279">
        <v>5</v>
      </c>
      <c r="AP154" s="284"/>
      <c r="AQ154" s="373">
        <v>12565.07</v>
      </c>
      <c r="AR154" s="373">
        <v>150780.84</v>
      </c>
      <c r="AT154" s="376">
        <f>SUM(AT150:AT153)</f>
        <v>4</v>
      </c>
      <c r="AU154" s="377"/>
      <c r="AV154" s="378">
        <f>SUM(AV150:AV153)</f>
        <v>11814.01</v>
      </c>
      <c r="AW154" s="378">
        <f>SUM(AW150:AW153)</f>
        <v>141768.12</v>
      </c>
      <c r="AX154" s="379">
        <f>SUM(AX150:AX153)</f>
        <v>4</v>
      </c>
      <c r="AY154" s="379"/>
      <c r="AZ154" s="379"/>
      <c r="BA154" s="380"/>
      <c r="BB154" s="440">
        <f>SUM(BB150:BB153)</f>
        <v>14055.604405947106</v>
      </c>
      <c r="BC154" s="381">
        <f>SUM(BC150:BC153)</f>
        <v>168667.25287136526</v>
      </c>
    </row>
    <row r="155" spans="2:55">
      <c r="B155" s="382" t="s">
        <v>670</v>
      </c>
      <c r="C155" s="345" t="s">
        <v>648</v>
      </c>
      <c r="E155" s="514" t="s">
        <v>578</v>
      </c>
      <c r="F155" s="514"/>
      <c r="G155" s="514"/>
      <c r="H155" s="514" t="s">
        <v>579</v>
      </c>
      <c r="I155" s="514"/>
      <c r="J155" s="514"/>
      <c r="AA155" s="249" t="s">
        <v>580</v>
      </c>
      <c r="AF155" s="252"/>
      <c r="AK155" s="514" t="s">
        <v>573</v>
      </c>
      <c r="AL155" s="514"/>
      <c r="AM155" s="514"/>
    </row>
    <row r="156" spans="2:55" ht="47.25">
      <c r="B156" s="260" t="s">
        <v>581</v>
      </c>
      <c r="C156" s="261" t="s">
        <v>267</v>
      </c>
      <c r="D156" s="261" t="s">
        <v>582</v>
      </c>
      <c r="E156" s="261" t="s">
        <v>583</v>
      </c>
      <c r="F156" s="261" t="s">
        <v>584</v>
      </c>
      <c r="G156" s="261" t="s">
        <v>585</v>
      </c>
      <c r="H156" s="261" t="s">
        <v>583</v>
      </c>
      <c r="I156" s="261" t="s">
        <v>584</v>
      </c>
      <c r="J156" s="261" t="s">
        <v>585</v>
      </c>
      <c r="K156" s="261" t="s">
        <v>586</v>
      </c>
      <c r="L156" s="261" t="s">
        <v>587</v>
      </c>
      <c r="M156" s="261" t="s">
        <v>598</v>
      </c>
      <c r="N156" s="261" t="s">
        <v>588</v>
      </c>
      <c r="P156" s="261" t="s">
        <v>582</v>
      </c>
      <c r="Q156" s="261" t="s">
        <v>583</v>
      </c>
      <c r="R156" s="261" t="s">
        <v>584</v>
      </c>
      <c r="S156" s="261" t="s">
        <v>585</v>
      </c>
      <c r="U156" s="261" t="s">
        <v>582</v>
      </c>
      <c r="V156" s="261" t="s">
        <v>583</v>
      </c>
      <c r="W156" s="261" t="s">
        <v>584</v>
      </c>
      <c r="X156" s="261" t="s">
        <v>585</v>
      </c>
      <c r="Z156" s="261" t="s">
        <v>590</v>
      </c>
      <c r="AA156" s="261" t="s">
        <v>583</v>
      </c>
      <c r="AB156" s="261" t="s">
        <v>584</v>
      </c>
      <c r="AC156" s="261" t="s">
        <v>585</v>
      </c>
      <c r="AE156" s="261" t="s">
        <v>566</v>
      </c>
      <c r="AF156" s="262" t="s">
        <v>583</v>
      </c>
      <c r="AG156" s="261" t="s">
        <v>584</v>
      </c>
      <c r="AH156" s="261" t="s">
        <v>585</v>
      </c>
      <c r="AJ156" s="261" t="s">
        <v>566</v>
      </c>
      <c r="AK156" s="262" t="s">
        <v>583</v>
      </c>
      <c r="AL156" s="261" t="s">
        <v>584</v>
      </c>
      <c r="AM156" s="261" t="s">
        <v>585</v>
      </c>
      <c r="AO156" s="261" t="s">
        <v>566</v>
      </c>
      <c r="AP156" s="262" t="s">
        <v>583</v>
      </c>
      <c r="AQ156" s="261" t="s">
        <v>584</v>
      </c>
      <c r="AR156" s="261" t="s">
        <v>585</v>
      </c>
      <c r="AT156" s="261" t="s">
        <v>566</v>
      </c>
      <c r="AU156" s="262" t="s">
        <v>583</v>
      </c>
      <c r="AV156" s="261" t="s">
        <v>584</v>
      </c>
      <c r="AW156" s="261" t="s">
        <v>585</v>
      </c>
      <c r="AX156" s="261" t="s">
        <v>566</v>
      </c>
      <c r="AY156" s="261"/>
      <c r="AZ156" s="261"/>
      <c r="BA156" s="262" t="s">
        <v>583</v>
      </c>
      <c r="BB156" s="430" t="s">
        <v>584</v>
      </c>
      <c r="BC156" s="261" t="s">
        <v>585</v>
      </c>
    </row>
    <row r="157" spans="2:55">
      <c r="B157" s="263">
        <v>8</v>
      </c>
      <c r="C157" s="264" t="s">
        <v>594</v>
      </c>
      <c r="D157" s="270">
        <v>1</v>
      </c>
      <c r="E157" s="266">
        <v>2981.64</v>
      </c>
      <c r="F157" s="335">
        <v>2981.64</v>
      </c>
      <c r="G157" s="335">
        <v>35779.68</v>
      </c>
      <c r="H157" s="266">
        <f>'[3]Oficial 3'!$D$136</f>
        <v>3510.56</v>
      </c>
      <c r="I157" s="335">
        <f>H157*D157</f>
        <v>3510.56</v>
      </c>
      <c r="J157" s="335">
        <f>I157*12</f>
        <v>42126.720000000001</v>
      </c>
      <c r="K157" s="268">
        <f>I157*3</f>
        <v>10531.68</v>
      </c>
      <c r="L157" s="269" t="s">
        <v>591</v>
      </c>
      <c r="M157" s="288">
        <v>801864</v>
      </c>
      <c r="N157" s="249" t="s">
        <v>600</v>
      </c>
      <c r="P157" s="270"/>
      <c r="Q157" s="266" t="e">
        <f>'[3]Oficial 3'!I136</f>
        <v>#REF!</v>
      </c>
      <c r="R157" s="335" t="e">
        <f>Q157*P157</f>
        <v>#REF!</v>
      </c>
      <c r="S157" s="335" t="e">
        <f>R157*12</f>
        <v>#REF!</v>
      </c>
      <c r="U157" s="270"/>
      <c r="V157" s="266">
        <f>'[3]Oficial 3'!$D$136</f>
        <v>3510.56</v>
      </c>
      <c r="W157" s="335">
        <f>V157*U157</f>
        <v>0</v>
      </c>
      <c r="X157" s="335">
        <f>W157*12</f>
        <v>0</v>
      </c>
      <c r="Z157" s="270">
        <v>1</v>
      </c>
      <c r="AA157" s="266">
        <v>3231.08</v>
      </c>
      <c r="AB157" s="267">
        <v>3231.08</v>
      </c>
      <c r="AC157" s="335">
        <v>38772.959999999999</v>
      </c>
      <c r="AE157" s="265">
        <v>1</v>
      </c>
      <c r="AF157" s="278">
        <v>3231.08</v>
      </c>
      <c r="AG157" s="289">
        <v>3231.08</v>
      </c>
      <c r="AH157" s="342">
        <v>38772.959999999999</v>
      </c>
      <c r="AJ157" s="265">
        <v>1</v>
      </c>
      <c r="AK157" s="278">
        <v>2987.6</v>
      </c>
      <c r="AL157" s="289">
        <v>2987.6</v>
      </c>
      <c r="AM157" s="342">
        <v>35851.199999999997</v>
      </c>
      <c r="AO157" s="265">
        <v>1</v>
      </c>
      <c r="AP157" s="278">
        <v>2987.6</v>
      </c>
      <c r="AQ157" s="289">
        <v>2987.6</v>
      </c>
      <c r="AR157" s="342">
        <v>35851.199999999997</v>
      </c>
      <c r="AT157" s="265">
        <v>1</v>
      </c>
      <c r="AU157" s="278">
        <f>'[3]Oficial 3'!$D$136</f>
        <v>3510.56</v>
      </c>
      <c r="AV157" s="289">
        <f>AU157*D157</f>
        <v>3510.56</v>
      </c>
      <c r="AW157" s="342">
        <f>AV157*12</f>
        <v>42126.720000000001</v>
      </c>
      <c r="AX157" s="455">
        <v>1</v>
      </c>
      <c r="AY157" s="265">
        <v>1</v>
      </c>
      <c r="AZ157" s="265">
        <f>AX157-AY157</f>
        <v>0</v>
      </c>
      <c r="BA157" s="278">
        <f>BA153</f>
        <v>4108.6965408764872</v>
      </c>
      <c r="BB157" s="434">
        <f>BA157*AX157</f>
        <v>4108.6965408764872</v>
      </c>
      <c r="BC157" s="342">
        <f>BB157*12</f>
        <v>49304.358490517843</v>
      </c>
    </row>
    <row r="158" spans="2:55">
      <c r="B158" s="512"/>
      <c r="C158" s="512"/>
      <c r="D158" s="279">
        <f>SUM(D157:D157)</f>
        <v>1</v>
      </c>
      <c r="E158" s="281"/>
      <c r="F158" s="281">
        <f>SUM(F157:F157)</f>
        <v>2981.64</v>
      </c>
      <c r="G158" s="281">
        <v>84406.56</v>
      </c>
      <c r="H158" s="281"/>
      <c r="I158" s="281">
        <f>SUM(I157:I157)</f>
        <v>3510.56</v>
      </c>
      <c r="J158" s="281">
        <f>SUM(J157:J157)</f>
        <v>42126.720000000001</v>
      </c>
      <c r="K158" s="281">
        <f>SUM(K157:K157)</f>
        <v>10531.68</v>
      </c>
      <c r="L158" s="281">
        <f>SUM(L157:L157)</f>
        <v>0</v>
      </c>
      <c r="M158" s="384"/>
      <c r="N158" s="384"/>
      <c r="P158" s="279">
        <f>SUM(P157:P157)</f>
        <v>0</v>
      </c>
      <c r="Q158" s="281"/>
      <c r="R158" s="375" t="e">
        <f>SUM(R157:R157)</f>
        <v>#REF!</v>
      </c>
      <c r="S158" s="375" t="e">
        <f>SUM(S157:S157)</f>
        <v>#REF!</v>
      </c>
      <c r="U158" s="279">
        <f>SUM(U157:U157)</f>
        <v>0</v>
      </c>
      <c r="V158" s="281"/>
      <c r="W158" s="375">
        <f>SUM(W157:W157)</f>
        <v>0</v>
      </c>
      <c r="X158" s="375">
        <f>SUM(X157:X157)</f>
        <v>0</v>
      </c>
      <c r="Z158" s="279">
        <v>3</v>
      </c>
      <c r="AA158" s="281"/>
      <c r="AB158" s="282">
        <v>8047.74</v>
      </c>
      <c r="AC158" s="283">
        <v>96572.88</v>
      </c>
      <c r="AE158" s="279">
        <v>3</v>
      </c>
      <c r="AF158" s="284"/>
      <c r="AG158" s="282">
        <v>8637.91</v>
      </c>
      <c r="AH158" s="283">
        <v>103654.91999999998</v>
      </c>
      <c r="AJ158" s="279">
        <v>3</v>
      </c>
      <c r="AK158" s="284"/>
      <c r="AL158" s="282">
        <v>8394.43</v>
      </c>
      <c r="AM158" s="283">
        <v>100733.15999999999</v>
      </c>
      <c r="AO158" s="279">
        <v>3</v>
      </c>
      <c r="AP158" s="284"/>
      <c r="AQ158" s="282">
        <v>8394.43</v>
      </c>
      <c r="AR158" s="283">
        <v>100733.15999999999</v>
      </c>
      <c r="AT158" s="279">
        <f>SUM(AT157:AT157)</f>
        <v>1</v>
      </c>
      <c r="AU158" s="284"/>
      <c r="AV158" s="282">
        <f>SUM(AV157:AV157)</f>
        <v>3510.56</v>
      </c>
      <c r="AW158" s="283">
        <f>SUM(AW157:AW157)</f>
        <v>42126.720000000001</v>
      </c>
      <c r="AX158" s="279">
        <f>SUM(AX157:AX157)</f>
        <v>1</v>
      </c>
      <c r="AY158" s="444"/>
      <c r="AZ158" s="444"/>
      <c r="BA158" s="284"/>
      <c r="BB158" s="437">
        <f>SUM(BB157:BB157)</f>
        <v>4108.6965408764872</v>
      </c>
      <c r="BC158" s="283">
        <f>SUM(BC157:BC157)</f>
        <v>49304.358490517843</v>
      </c>
    </row>
    <row r="159" spans="2:55">
      <c r="B159" s="382" t="s">
        <v>671</v>
      </c>
      <c r="C159" s="345" t="s">
        <v>648</v>
      </c>
      <c r="E159" s="332" t="s">
        <v>578</v>
      </c>
      <c r="F159" s="332"/>
      <c r="G159" s="332"/>
      <c r="H159" s="332" t="s">
        <v>579</v>
      </c>
      <c r="I159" s="332"/>
      <c r="J159" s="332"/>
      <c r="AA159" s="385" t="s">
        <v>571</v>
      </c>
      <c r="AB159" s="385"/>
      <c r="AC159" s="385"/>
      <c r="AF159" s="385" t="s">
        <v>641</v>
      </c>
      <c r="AG159" s="385"/>
      <c r="AH159" s="385"/>
      <c r="AK159" s="385" t="s">
        <v>573</v>
      </c>
      <c r="AL159" s="385"/>
      <c r="AM159" s="385"/>
    </row>
    <row r="160" spans="2:55" ht="47.25">
      <c r="B160" s="260" t="s">
        <v>581</v>
      </c>
      <c r="C160" s="261" t="s">
        <v>267</v>
      </c>
      <c r="D160" s="261" t="s">
        <v>582</v>
      </c>
      <c r="E160" s="261" t="s">
        <v>583</v>
      </c>
      <c r="F160" s="261" t="s">
        <v>584</v>
      </c>
      <c r="G160" s="261" t="s">
        <v>585</v>
      </c>
      <c r="H160" s="261" t="s">
        <v>583</v>
      </c>
      <c r="I160" s="261" t="s">
        <v>584</v>
      </c>
      <c r="J160" s="261" t="s">
        <v>585</v>
      </c>
      <c r="K160" s="261" t="s">
        <v>586</v>
      </c>
      <c r="L160" s="261" t="s">
        <v>587</v>
      </c>
      <c r="M160" s="261" t="s">
        <v>598</v>
      </c>
      <c r="N160" s="261" t="s">
        <v>588</v>
      </c>
      <c r="P160" s="261" t="s">
        <v>582</v>
      </c>
      <c r="Q160" s="261" t="s">
        <v>583</v>
      </c>
      <c r="R160" s="261" t="s">
        <v>584</v>
      </c>
      <c r="S160" s="261" t="s">
        <v>585</v>
      </c>
      <c r="U160" s="261" t="s">
        <v>582</v>
      </c>
      <c r="V160" s="261" t="s">
        <v>583</v>
      </c>
      <c r="W160" s="261" t="s">
        <v>584</v>
      </c>
      <c r="X160" s="261" t="s">
        <v>585</v>
      </c>
      <c r="Z160" s="261" t="s">
        <v>590</v>
      </c>
      <c r="AA160" s="261" t="s">
        <v>583</v>
      </c>
      <c r="AB160" s="261" t="s">
        <v>584</v>
      </c>
      <c r="AC160" s="261" t="s">
        <v>585</v>
      </c>
      <c r="AE160" s="261" t="s">
        <v>566</v>
      </c>
      <c r="AF160" s="262" t="s">
        <v>583</v>
      </c>
      <c r="AG160" s="261" t="s">
        <v>584</v>
      </c>
      <c r="AH160" s="261" t="s">
        <v>585</v>
      </c>
      <c r="AJ160" s="261" t="s">
        <v>566</v>
      </c>
      <c r="AK160" s="262" t="s">
        <v>583</v>
      </c>
      <c r="AL160" s="261" t="s">
        <v>584</v>
      </c>
      <c r="AM160" s="261" t="s">
        <v>585</v>
      </c>
      <c r="AO160" s="261" t="s">
        <v>566</v>
      </c>
      <c r="AP160" s="262" t="s">
        <v>583</v>
      </c>
      <c r="AQ160" s="261" t="s">
        <v>584</v>
      </c>
      <c r="AR160" s="261" t="s">
        <v>585</v>
      </c>
      <c r="AT160" s="261" t="s">
        <v>566</v>
      </c>
      <c r="AU160" s="262" t="s">
        <v>583</v>
      </c>
      <c r="AV160" s="261" t="s">
        <v>584</v>
      </c>
      <c r="AW160" s="261" t="s">
        <v>585</v>
      </c>
      <c r="AX160" s="261" t="s">
        <v>566</v>
      </c>
      <c r="AY160" s="261"/>
      <c r="AZ160" s="261"/>
      <c r="BA160" s="262" t="s">
        <v>583</v>
      </c>
      <c r="BB160" s="430" t="s">
        <v>584</v>
      </c>
      <c r="BC160" s="261" t="s">
        <v>585</v>
      </c>
    </row>
    <row r="161" spans="2:64">
      <c r="B161" s="344">
        <v>2</v>
      </c>
      <c r="C161" s="333" t="s">
        <v>1</v>
      </c>
      <c r="D161" s="334">
        <v>0</v>
      </c>
      <c r="E161" s="335">
        <v>0</v>
      </c>
      <c r="F161" s="335">
        <v>0</v>
      </c>
      <c r="G161" s="335">
        <v>0</v>
      </c>
      <c r="H161" s="335">
        <v>0</v>
      </c>
      <c r="I161" s="335">
        <f>H161*D161</f>
        <v>0</v>
      </c>
      <c r="J161" s="335">
        <f>I161*12</f>
        <v>0</v>
      </c>
      <c r="L161" s="269"/>
      <c r="M161" s="288"/>
      <c r="P161" s="334"/>
      <c r="Q161" s="362"/>
      <c r="R161" s="335"/>
      <c r="S161" s="335"/>
      <c r="U161" s="334"/>
      <c r="V161" s="362"/>
      <c r="W161" s="335"/>
      <c r="X161" s="335"/>
      <c r="Z161" s="383">
        <v>0</v>
      </c>
      <c r="AA161" s="368">
        <v>1993.11</v>
      </c>
      <c r="AB161" s="295">
        <v>0</v>
      </c>
      <c r="AC161" s="368">
        <v>0</v>
      </c>
      <c r="AD161" s="273" t="s">
        <v>650</v>
      </c>
      <c r="AE161" s="383">
        <v>0</v>
      </c>
      <c r="AF161" s="386">
        <f>'[3]Recepção 3'!$D$137</f>
        <v>2652.06</v>
      </c>
      <c r="AG161" s="295">
        <f>AF161*AE161</f>
        <v>0</v>
      </c>
      <c r="AH161" s="368">
        <f>AG161*12</f>
        <v>0</v>
      </c>
      <c r="AI161" s="273" t="s">
        <v>650</v>
      </c>
      <c r="AJ161" s="340">
        <v>1</v>
      </c>
      <c r="AK161" s="341">
        <v>2236.62</v>
      </c>
      <c r="AL161" s="289">
        <v>2236.62</v>
      </c>
      <c r="AM161" s="342">
        <v>26839.439999999999</v>
      </c>
      <c r="AN161" s="273" t="s">
        <v>672</v>
      </c>
      <c r="AO161" s="340">
        <v>1</v>
      </c>
      <c r="AP161" s="341">
        <v>2236.62</v>
      </c>
      <c r="AQ161" s="289">
        <v>2236.62</v>
      </c>
      <c r="AR161" s="342">
        <v>26839.439999999999</v>
      </c>
      <c r="AS161" s="273" t="s">
        <v>672</v>
      </c>
      <c r="AT161" s="340">
        <v>1</v>
      </c>
      <c r="AU161" s="341">
        <f>'[3]Recepção 3'!$D$137</f>
        <v>2652.06</v>
      </c>
      <c r="AV161" s="289">
        <f>AU161*AT161</f>
        <v>2652.06</v>
      </c>
      <c r="AW161" s="342">
        <f>AV161*12</f>
        <v>31824.720000000001</v>
      </c>
      <c r="AX161" s="484">
        <v>1</v>
      </c>
      <c r="AY161" s="340">
        <v>1</v>
      </c>
      <c r="AZ161" s="340">
        <f>AX161-AY161</f>
        <v>0</v>
      </c>
      <c r="BA161" s="341">
        <f>'3-A'!D152</f>
        <v>3190.7590404208936</v>
      </c>
      <c r="BB161" s="434">
        <f>BA161*AX161</f>
        <v>3190.7590404208936</v>
      </c>
      <c r="BC161" s="342">
        <f>BB161*12</f>
        <v>38289.108485050725</v>
      </c>
      <c r="BJ161" s="452">
        <f>8*AU73</f>
        <v>27768.080000000002</v>
      </c>
    </row>
    <row r="162" spans="2:64">
      <c r="B162" s="344">
        <v>3</v>
      </c>
      <c r="C162" s="333" t="s">
        <v>392</v>
      </c>
      <c r="D162" s="334"/>
      <c r="E162" s="335"/>
      <c r="F162" s="335"/>
      <c r="G162" s="335"/>
      <c r="H162" s="335"/>
      <c r="I162" s="335"/>
      <c r="J162" s="335"/>
      <c r="L162" s="269"/>
      <c r="M162" s="288"/>
      <c r="P162" s="334"/>
      <c r="Q162" s="362"/>
      <c r="R162" s="335"/>
      <c r="S162" s="335"/>
      <c r="U162" s="334"/>
      <c r="V162" s="362"/>
      <c r="W162" s="335"/>
      <c r="X162" s="335"/>
      <c r="Z162" s="383"/>
      <c r="AA162" s="368"/>
      <c r="AB162" s="295"/>
      <c r="AC162" s="368"/>
      <c r="AD162" s="273"/>
      <c r="AE162" s="383"/>
      <c r="AF162" s="386"/>
      <c r="AG162" s="295"/>
      <c r="AH162" s="368"/>
      <c r="AI162" s="273"/>
      <c r="AJ162" s="340"/>
      <c r="AK162" s="341"/>
      <c r="AL162" s="289"/>
      <c r="AM162" s="342"/>
      <c r="AN162" s="273"/>
      <c r="AO162" s="340"/>
      <c r="AP162" s="341"/>
      <c r="AQ162" s="289"/>
      <c r="AR162" s="342"/>
      <c r="AS162" s="273"/>
      <c r="AT162" s="340">
        <v>1</v>
      </c>
      <c r="AU162" s="341">
        <f>'[3]Copeira 3'!D137</f>
        <v>2347.3000000000002</v>
      </c>
      <c r="AV162" s="289">
        <f>AU162*AT162</f>
        <v>2347.3000000000002</v>
      </c>
      <c r="AW162" s="342">
        <f>AV162*12</f>
        <v>28167.600000000002</v>
      </c>
      <c r="AX162" s="484">
        <v>1</v>
      </c>
      <c r="AY162" s="340">
        <v>1</v>
      </c>
      <c r="AZ162" s="340">
        <f t="shared" ref="AZ162:AZ164" si="120">AX162-AY162</f>
        <v>0</v>
      </c>
      <c r="BA162" s="341">
        <f>'6-A'!D152</f>
        <v>2303.4709559206799</v>
      </c>
      <c r="BB162" s="434">
        <f>BA162*AX162</f>
        <v>2303.4709559206799</v>
      </c>
      <c r="BC162" s="342">
        <f>BB162*12</f>
        <v>27641.651471048157</v>
      </c>
    </row>
    <row r="163" spans="2:64">
      <c r="B163" s="344">
        <v>4</v>
      </c>
      <c r="C163" s="333" t="s">
        <v>2</v>
      </c>
      <c r="D163" s="334">
        <v>0</v>
      </c>
      <c r="E163" s="362">
        <v>0</v>
      </c>
      <c r="F163" s="335">
        <v>0</v>
      </c>
      <c r="G163" s="335">
        <v>0</v>
      </c>
      <c r="H163" s="362">
        <v>0</v>
      </c>
      <c r="I163" s="335">
        <f>H163*D163</f>
        <v>0</v>
      </c>
      <c r="J163" s="335">
        <f>I163*12</f>
        <v>0</v>
      </c>
      <c r="L163" s="269"/>
      <c r="M163" s="288"/>
      <c r="P163" s="334"/>
      <c r="Q163" s="362"/>
      <c r="R163" s="335"/>
      <c r="S163" s="335"/>
      <c r="U163" s="334"/>
      <c r="V163" s="362"/>
      <c r="W163" s="335"/>
      <c r="X163" s="335"/>
      <c r="Z163" s="383">
        <v>0</v>
      </c>
      <c r="AA163" s="294">
        <v>2498.1</v>
      </c>
      <c r="AB163" s="295">
        <v>0</v>
      </c>
      <c r="AC163" s="368">
        <v>0</v>
      </c>
      <c r="AD163" s="273" t="s">
        <v>650</v>
      </c>
      <c r="AE163" s="383">
        <v>0</v>
      </c>
      <c r="AF163" s="387">
        <f>'[3]Porteiro 3'!$D$137</f>
        <v>3330.09</v>
      </c>
      <c r="AG163" s="295">
        <f>AF163*AE163</f>
        <v>0</v>
      </c>
      <c r="AH163" s="368">
        <f>AG163*12</f>
        <v>0</v>
      </c>
      <c r="AI163" s="273" t="s">
        <v>650</v>
      </c>
      <c r="AJ163" s="340">
        <v>2</v>
      </c>
      <c r="AK163" s="278">
        <v>2817.63</v>
      </c>
      <c r="AL163" s="289">
        <v>5635.26</v>
      </c>
      <c r="AM163" s="342">
        <v>67623.12</v>
      </c>
      <c r="AN163" s="273" t="s">
        <v>672</v>
      </c>
      <c r="AO163" s="340">
        <v>2</v>
      </c>
      <c r="AP163" s="278">
        <v>2817.63</v>
      </c>
      <c r="AQ163" s="289">
        <v>5635.26</v>
      </c>
      <c r="AR163" s="342">
        <v>67623.12</v>
      </c>
      <c r="AS163" s="273" t="s">
        <v>672</v>
      </c>
      <c r="AT163" s="340">
        <v>2</v>
      </c>
      <c r="AU163" s="278">
        <f>'[3]Porteiro 3'!$D$137</f>
        <v>3330.09</v>
      </c>
      <c r="AV163" s="289">
        <f>AU163*AT163</f>
        <v>6660.18</v>
      </c>
      <c r="AW163" s="342">
        <f>AV163*12</f>
        <v>79922.16</v>
      </c>
      <c r="AX163" s="484">
        <v>2</v>
      </c>
      <c r="AY163" s="340">
        <v>2</v>
      </c>
      <c r="AZ163" s="340">
        <f t="shared" si="120"/>
        <v>0</v>
      </c>
      <c r="BA163" s="278">
        <f>'10-A'!D152</f>
        <v>3973.3665908528019</v>
      </c>
      <c r="BB163" s="434">
        <f>BA163*AX163</f>
        <v>7946.7331817056038</v>
      </c>
      <c r="BC163" s="342">
        <f>BB163*12</f>
        <v>95360.798180467245</v>
      </c>
      <c r="BE163" s="454">
        <f>BC180+BC174+BC169+BC165+BC158+BC154+BC147+BC140+BC132+BC125+BC119+BC112+BC106+BC100+BC94+BC88+BC31</f>
        <v>3982789.2831715387</v>
      </c>
      <c r="BJ163" s="452">
        <f>8*AU74</f>
        <v>24237.040000000001</v>
      </c>
    </row>
    <row r="164" spans="2:64">
      <c r="B164" s="263">
        <v>8</v>
      </c>
      <c r="C164" s="264" t="s">
        <v>594</v>
      </c>
      <c r="D164" s="334"/>
      <c r="E164" s="362"/>
      <c r="F164" s="335"/>
      <c r="G164" s="335"/>
      <c r="H164" s="362"/>
      <c r="I164" s="335"/>
      <c r="J164" s="335"/>
      <c r="L164" s="269"/>
      <c r="M164" s="330"/>
      <c r="P164" s="334"/>
      <c r="Q164" s="362"/>
      <c r="R164" s="335"/>
      <c r="S164" s="335"/>
      <c r="U164" s="334"/>
      <c r="V164" s="362"/>
      <c r="W164" s="335"/>
      <c r="X164" s="335"/>
      <c r="Z164" s="383"/>
      <c r="AA164" s="294"/>
      <c r="AB164" s="295"/>
      <c r="AC164" s="368"/>
      <c r="AD164" s="273"/>
      <c r="AE164" s="383"/>
      <c r="AF164" s="387"/>
      <c r="AG164" s="295"/>
      <c r="AH164" s="368"/>
      <c r="AI164" s="273"/>
      <c r="AJ164" s="340">
        <v>1</v>
      </c>
      <c r="AK164" s="278">
        <v>2987.6</v>
      </c>
      <c r="AL164" s="289">
        <v>2987.6</v>
      </c>
      <c r="AM164" s="342">
        <v>35851.199999999997</v>
      </c>
      <c r="AN164" s="273" t="s">
        <v>672</v>
      </c>
      <c r="AO164" s="340">
        <v>1</v>
      </c>
      <c r="AP164" s="278">
        <v>2987.6</v>
      </c>
      <c r="AQ164" s="289">
        <v>2987.6</v>
      </c>
      <c r="AR164" s="342">
        <v>35851.199999999997</v>
      </c>
      <c r="AS164" s="273" t="s">
        <v>672</v>
      </c>
      <c r="AT164" s="340">
        <v>1</v>
      </c>
      <c r="AU164" s="278">
        <f>'[3]Oficial 3'!D136</f>
        <v>3510.56</v>
      </c>
      <c r="AV164" s="289">
        <f>AU164*AT164</f>
        <v>3510.56</v>
      </c>
      <c r="AW164" s="342">
        <f>AV164*12</f>
        <v>42126.720000000001</v>
      </c>
      <c r="AX164" s="484">
        <v>1</v>
      </c>
      <c r="AY164" s="340">
        <v>1</v>
      </c>
      <c r="AZ164" s="340">
        <f t="shared" si="120"/>
        <v>0</v>
      </c>
      <c r="BA164" s="278">
        <f>'20-A'!D152</f>
        <v>4108.6965408764872</v>
      </c>
      <c r="BB164" s="434">
        <f>BA164*AX164</f>
        <v>4108.6965408764872</v>
      </c>
      <c r="BC164" s="342">
        <f>BB164*12</f>
        <v>49304.358490517843</v>
      </c>
      <c r="BJ164" s="452"/>
    </row>
    <row r="165" spans="2:64">
      <c r="B165" s="279"/>
      <c r="C165" s="279"/>
      <c r="D165" s="279">
        <f>SUM(D163:D163)</f>
        <v>0</v>
      </c>
      <c r="E165" s="281"/>
      <c r="F165" s="281">
        <f>SUM(F163:F163)</f>
        <v>0</v>
      </c>
      <c r="G165" s="281">
        <v>84406.56</v>
      </c>
      <c r="H165" s="281"/>
      <c r="I165" s="281">
        <f>SUM(I163:I163)</f>
        <v>0</v>
      </c>
      <c r="J165" s="281">
        <f>SUM(J163:J163)</f>
        <v>0</v>
      </c>
      <c r="K165" s="281">
        <f>SUM(K163:K163)</f>
        <v>0</v>
      </c>
      <c r="L165" s="281">
        <f>SUM(L163:L163)</f>
        <v>0</v>
      </c>
      <c r="M165" s="384"/>
      <c r="N165" s="384"/>
      <c r="P165" s="279">
        <f>SUM(P163:P163)</f>
        <v>0</v>
      </c>
      <c r="Q165" s="281"/>
      <c r="R165" s="375">
        <f>SUM(R163:R163)</f>
        <v>0</v>
      </c>
      <c r="S165" s="375">
        <f>SUM(S163:S163)</f>
        <v>0</v>
      </c>
      <c r="U165" s="279">
        <f>SUM(U163:U163)</f>
        <v>0</v>
      </c>
      <c r="V165" s="281"/>
      <c r="W165" s="375">
        <f>SUM(W163:W163)</f>
        <v>0</v>
      </c>
      <c r="X165" s="375">
        <f>SUM(X163:X163)</f>
        <v>0</v>
      </c>
      <c r="Z165" s="279">
        <v>0</v>
      </c>
      <c r="AA165" s="281"/>
      <c r="AB165" s="282">
        <v>0</v>
      </c>
      <c r="AC165" s="283">
        <v>0</v>
      </c>
      <c r="AE165" s="279">
        <f>SUM(AE161:AE163)</f>
        <v>0</v>
      </c>
      <c r="AF165" s="284"/>
      <c r="AG165" s="282">
        <f>SUM(AG161:AG163)</f>
        <v>0</v>
      </c>
      <c r="AH165" s="283">
        <f>SUM(AH161:AH163)</f>
        <v>0</v>
      </c>
      <c r="AJ165" s="279">
        <v>4</v>
      </c>
      <c r="AK165" s="284"/>
      <c r="AL165" s="282">
        <v>10859.48</v>
      </c>
      <c r="AM165" s="283">
        <v>130313.76</v>
      </c>
      <c r="AO165" s="279">
        <v>4</v>
      </c>
      <c r="AP165" s="284"/>
      <c r="AQ165" s="282">
        <v>10859.48</v>
      </c>
      <c r="AR165" s="283">
        <v>130313.76</v>
      </c>
      <c r="AT165" s="279">
        <f>SUM(AT161:AT164)</f>
        <v>5</v>
      </c>
      <c r="AU165" s="284"/>
      <c r="AV165" s="282">
        <f>SUM(AV161:AV164)</f>
        <v>15170.1</v>
      </c>
      <c r="AW165" s="283">
        <f>SUM(AW161:AW164)</f>
        <v>182041.2</v>
      </c>
      <c r="AX165" s="279">
        <f>SUM(AX161:AX164)</f>
        <v>5</v>
      </c>
      <c r="AY165" s="444"/>
      <c r="AZ165" s="444"/>
      <c r="BA165" s="284"/>
      <c r="BB165" s="437">
        <f>SUM(BB161:BB164)</f>
        <v>17549.659718923664</v>
      </c>
      <c r="BC165" s="283">
        <f>SUM(BC161:BC164)</f>
        <v>210595.91662708396</v>
      </c>
      <c r="BJ165" s="452"/>
    </row>
    <row r="166" spans="2:64">
      <c r="B166" s="382" t="s">
        <v>673</v>
      </c>
      <c r="C166" s="345" t="s">
        <v>577</v>
      </c>
      <c r="E166" s="514" t="s">
        <v>578</v>
      </c>
      <c r="F166" s="514"/>
      <c r="G166" s="514"/>
      <c r="H166" s="514" t="s">
        <v>579</v>
      </c>
      <c r="I166" s="514"/>
      <c r="J166" s="514"/>
      <c r="AA166" s="513" t="s">
        <v>571</v>
      </c>
      <c r="AB166" s="513"/>
      <c r="AC166" s="513"/>
      <c r="AF166" s="513" t="s">
        <v>641</v>
      </c>
      <c r="AG166" s="513"/>
      <c r="AH166" s="513"/>
      <c r="AK166" s="513" t="s">
        <v>573</v>
      </c>
      <c r="AL166" s="513"/>
      <c r="AM166" s="513"/>
      <c r="BJ166" s="452"/>
    </row>
    <row r="167" spans="2:64" ht="47.25">
      <c r="B167" s="260" t="s">
        <v>581</v>
      </c>
      <c r="C167" s="261" t="s">
        <v>267</v>
      </c>
      <c r="D167" s="261" t="s">
        <v>582</v>
      </c>
      <c r="E167" s="261" t="s">
        <v>583</v>
      </c>
      <c r="F167" s="261" t="s">
        <v>584</v>
      </c>
      <c r="G167" s="261" t="s">
        <v>585</v>
      </c>
      <c r="H167" s="261" t="s">
        <v>583</v>
      </c>
      <c r="I167" s="261" t="s">
        <v>584</v>
      </c>
      <c r="J167" s="261" t="s">
        <v>585</v>
      </c>
      <c r="K167" s="261" t="s">
        <v>586</v>
      </c>
      <c r="L167" s="261" t="s">
        <v>587</v>
      </c>
      <c r="M167" s="261" t="s">
        <v>598</v>
      </c>
      <c r="N167" s="261" t="s">
        <v>588</v>
      </c>
      <c r="P167" s="261" t="s">
        <v>582</v>
      </c>
      <c r="Q167" s="261" t="s">
        <v>583</v>
      </c>
      <c r="R167" s="261" t="s">
        <v>584</v>
      </c>
      <c r="S167" s="261" t="s">
        <v>585</v>
      </c>
      <c r="U167" s="261" t="s">
        <v>582</v>
      </c>
      <c r="V167" s="261" t="s">
        <v>583</v>
      </c>
      <c r="W167" s="261" t="s">
        <v>584</v>
      </c>
      <c r="X167" s="261" t="s">
        <v>585</v>
      </c>
      <c r="Z167" s="261" t="s">
        <v>590</v>
      </c>
      <c r="AA167" s="261" t="s">
        <v>583</v>
      </c>
      <c r="AB167" s="261" t="s">
        <v>584</v>
      </c>
      <c r="AC167" s="261" t="s">
        <v>585</v>
      </c>
      <c r="AE167" s="261" t="s">
        <v>566</v>
      </c>
      <c r="AF167" s="262" t="s">
        <v>583</v>
      </c>
      <c r="AG167" s="261" t="s">
        <v>584</v>
      </c>
      <c r="AH167" s="261" t="s">
        <v>585</v>
      </c>
      <c r="AJ167" s="261" t="s">
        <v>566</v>
      </c>
      <c r="AK167" s="262" t="s">
        <v>583</v>
      </c>
      <c r="AL167" s="261" t="s">
        <v>584</v>
      </c>
      <c r="AM167" s="261" t="s">
        <v>585</v>
      </c>
      <c r="AO167" s="261" t="s">
        <v>566</v>
      </c>
      <c r="AP167" s="262" t="s">
        <v>583</v>
      </c>
      <c r="AQ167" s="261" t="s">
        <v>584</v>
      </c>
      <c r="AR167" s="261" t="s">
        <v>585</v>
      </c>
      <c r="AT167" s="261" t="s">
        <v>566</v>
      </c>
      <c r="AU167" s="262" t="s">
        <v>583</v>
      </c>
      <c r="AV167" s="261" t="s">
        <v>584</v>
      </c>
      <c r="AW167" s="261" t="s">
        <v>585</v>
      </c>
      <c r="AX167" s="261" t="s">
        <v>566</v>
      </c>
      <c r="AY167" s="261"/>
      <c r="AZ167" s="261"/>
      <c r="BA167" s="262" t="s">
        <v>583</v>
      </c>
      <c r="BB167" s="430" t="s">
        <v>584</v>
      </c>
      <c r="BC167" s="261" t="s">
        <v>585</v>
      </c>
      <c r="BJ167" s="452"/>
    </row>
    <row r="168" spans="2:64">
      <c r="B168" s="344">
        <v>2</v>
      </c>
      <c r="C168" s="333" t="s">
        <v>1</v>
      </c>
      <c r="D168" s="334">
        <v>0</v>
      </c>
      <c r="E168" s="335">
        <v>0</v>
      </c>
      <c r="F168" s="335">
        <v>0</v>
      </c>
      <c r="G168" s="335">
        <v>0</v>
      </c>
      <c r="H168" s="335">
        <v>0</v>
      </c>
      <c r="I168" s="335">
        <f>H168*D168</f>
        <v>0</v>
      </c>
      <c r="J168" s="335">
        <f>I168*12</f>
        <v>0</v>
      </c>
      <c r="L168" s="269"/>
      <c r="M168" s="288"/>
      <c r="P168" s="334"/>
      <c r="Q168" s="362"/>
      <c r="R168" s="335"/>
      <c r="S168" s="335"/>
      <c r="U168" s="334"/>
      <c r="V168" s="362"/>
      <c r="W168" s="335"/>
      <c r="X168" s="335"/>
      <c r="Z168" s="383">
        <v>0</v>
      </c>
      <c r="AA168" s="368"/>
      <c r="AB168" s="295">
        <v>0</v>
      </c>
      <c r="AC168" s="368">
        <v>0</v>
      </c>
      <c r="AD168" s="273" t="s">
        <v>650</v>
      </c>
      <c r="AE168" s="383">
        <v>0</v>
      </c>
      <c r="AF168" s="386"/>
      <c r="AG168" s="295">
        <f>AF168*AE168</f>
        <v>0</v>
      </c>
      <c r="AH168" s="368">
        <f>AG168*12</f>
        <v>0</v>
      </c>
      <c r="AI168" s="273" t="s">
        <v>650</v>
      </c>
      <c r="AJ168" s="340">
        <v>0</v>
      </c>
      <c r="AK168" s="341"/>
      <c r="AL168" s="289"/>
      <c r="AM168" s="342"/>
      <c r="AN168" s="276"/>
      <c r="AO168" s="340">
        <v>0</v>
      </c>
      <c r="AP168" s="341">
        <v>0</v>
      </c>
      <c r="AQ168" s="289">
        <v>0</v>
      </c>
      <c r="AR168" s="342">
        <v>0</v>
      </c>
      <c r="AS168" s="276"/>
      <c r="AT168" s="340">
        <v>1</v>
      </c>
      <c r="AU168" s="341">
        <f>'[3]Recepção 2'!D137</f>
        <v>2622.17</v>
      </c>
      <c r="AV168" s="289">
        <f>AU168*AT168</f>
        <v>2622.17</v>
      </c>
      <c r="AW168" s="342">
        <f>AV168*12</f>
        <v>31466.04</v>
      </c>
      <c r="AX168" s="484">
        <v>1</v>
      </c>
      <c r="AY168" s="340">
        <v>1</v>
      </c>
      <c r="AZ168" s="340">
        <f>AX168-AY168</f>
        <v>0</v>
      </c>
      <c r="BA168" s="341">
        <f>'2-A'!D152</f>
        <v>3172.5502639618517</v>
      </c>
      <c r="BB168" s="434">
        <f>BA168*AX168</f>
        <v>3172.5502639618517</v>
      </c>
      <c r="BC168" s="342">
        <f>BB168*12</f>
        <v>38070.60316754222</v>
      </c>
      <c r="BJ168" s="452">
        <f>BJ161+BJ163</f>
        <v>52005.120000000003</v>
      </c>
    </row>
    <row r="169" spans="2:64">
      <c r="B169" s="512"/>
      <c r="C169" s="512"/>
      <c r="D169" s="279" t="e">
        <f>SUM(#REF!)</f>
        <v>#REF!</v>
      </c>
      <c r="E169" s="281"/>
      <c r="F169" s="281" t="e">
        <f>SUM(#REF!)</f>
        <v>#REF!</v>
      </c>
      <c r="G169" s="281"/>
      <c r="H169" s="281"/>
      <c r="I169" s="281" t="e">
        <f>SUM(#REF!)</f>
        <v>#REF!</v>
      </c>
      <c r="J169" s="281" t="e">
        <f>SUM(#REF!)</f>
        <v>#REF!</v>
      </c>
      <c r="K169" s="281" t="e">
        <f>SUM(#REF!)</f>
        <v>#REF!</v>
      </c>
      <c r="L169" s="281" t="e">
        <f>SUM(#REF!)</f>
        <v>#REF!</v>
      </c>
      <c r="M169" s="384"/>
      <c r="N169" s="384"/>
      <c r="P169" s="279" t="e">
        <f>SUM(#REF!)</f>
        <v>#REF!</v>
      </c>
      <c r="Q169" s="281"/>
      <c r="R169" s="375" t="e">
        <f>SUM(#REF!)</f>
        <v>#REF!</v>
      </c>
      <c r="S169" s="375" t="e">
        <f>SUM(#REF!)</f>
        <v>#REF!</v>
      </c>
      <c r="U169" s="279" t="e">
        <f>SUM(#REF!)</f>
        <v>#REF!</v>
      </c>
      <c r="V169" s="281"/>
      <c r="W169" s="375" t="e">
        <f>SUM(#REF!)</f>
        <v>#REF!</v>
      </c>
      <c r="X169" s="375" t="e">
        <f>SUM(#REF!)</f>
        <v>#REF!</v>
      </c>
      <c r="Z169" s="279">
        <v>0</v>
      </c>
      <c r="AA169" s="281"/>
      <c r="AB169" s="282">
        <v>0</v>
      </c>
      <c r="AC169" s="283">
        <v>0</v>
      </c>
      <c r="AE169" s="279">
        <f>SUM(AE168:AE168)</f>
        <v>0</v>
      </c>
      <c r="AF169" s="284"/>
      <c r="AG169" s="282">
        <f>SUM(AG168:AG168)</f>
        <v>0</v>
      </c>
      <c r="AH169" s="283">
        <f>SUM(AH168:AH168)</f>
        <v>0</v>
      </c>
      <c r="AJ169" s="279">
        <v>4</v>
      </c>
      <c r="AK169" s="284"/>
      <c r="AL169" s="282"/>
      <c r="AM169" s="283"/>
      <c r="AO169" s="279"/>
      <c r="AP169" s="284"/>
      <c r="AQ169" s="282"/>
      <c r="AR169" s="283"/>
      <c r="AT169" s="279">
        <f>SUM(AT168:AT168)</f>
        <v>1</v>
      </c>
      <c r="AU169" s="284"/>
      <c r="AV169" s="282">
        <f>SUM(AV168:AV168)</f>
        <v>2622.17</v>
      </c>
      <c r="AW169" s="283">
        <f>SUM(AW168:AW168)</f>
        <v>31466.04</v>
      </c>
      <c r="AX169" s="279">
        <f>SUM(AX168:AX168)</f>
        <v>1</v>
      </c>
      <c r="AY169" s="444"/>
      <c r="AZ169" s="444"/>
      <c r="BA169" s="284"/>
      <c r="BB169" s="437">
        <f>SUM(BB168:BB168)</f>
        <v>3172.5502639618517</v>
      </c>
      <c r="BC169" s="283">
        <f>SUM(BC168:BC168)</f>
        <v>38070.60316754222</v>
      </c>
    </row>
    <row r="170" spans="2:64">
      <c r="B170" s="382" t="s">
        <v>674</v>
      </c>
      <c r="C170" s="345" t="s">
        <v>577</v>
      </c>
      <c r="E170" s="514" t="s">
        <v>578</v>
      </c>
      <c r="F170" s="514"/>
      <c r="G170" s="514"/>
      <c r="H170" s="514" t="s">
        <v>579</v>
      </c>
      <c r="I170" s="514"/>
      <c r="J170" s="514"/>
      <c r="AA170" s="513" t="s">
        <v>571</v>
      </c>
      <c r="AB170" s="513"/>
      <c r="AC170" s="513"/>
      <c r="AF170" s="513" t="s">
        <v>641</v>
      </c>
      <c r="AG170" s="513"/>
      <c r="AH170" s="513"/>
      <c r="AK170" s="513" t="s">
        <v>573</v>
      </c>
      <c r="AL170" s="513"/>
      <c r="AM170" s="513"/>
      <c r="BL170" s="452"/>
    </row>
    <row r="171" spans="2:64" ht="47.25">
      <c r="B171" s="260" t="s">
        <v>581</v>
      </c>
      <c r="C171" s="261" t="s">
        <v>267</v>
      </c>
      <c r="D171" s="261" t="s">
        <v>582</v>
      </c>
      <c r="E171" s="261" t="s">
        <v>583</v>
      </c>
      <c r="F171" s="261" t="s">
        <v>584</v>
      </c>
      <c r="G171" s="261" t="s">
        <v>585</v>
      </c>
      <c r="H171" s="261" t="s">
        <v>583</v>
      </c>
      <c r="I171" s="261" t="s">
        <v>584</v>
      </c>
      <c r="J171" s="261" t="s">
        <v>585</v>
      </c>
      <c r="K171" s="261" t="s">
        <v>586</v>
      </c>
      <c r="L171" s="261" t="s">
        <v>587</v>
      </c>
      <c r="M171" s="261" t="s">
        <v>598</v>
      </c>
      <c r="N171" s="261" t="s">
        <v>588</v>
      </c>
      <c r="P171" s="261" t="s">
        <v>582</v>
      </c>
      <c r="Q171" s="261" t="s">
        <v>583</v>
      </c>
      <c r="R171" s="261" t="s">
        <v>584</v>
      </c>
      <c r="S171" s="261" t="s">
        <v>585</v>
      </c>
      <c r="U171" s="261" t="s">
        <v>582</v>
      </c>
      <c r="V171" s="261" t="s">
        <v>583</v>
      </c>
      <c r="W171" s="261" t="s">
        <v>584</v>
      </c>
      <c r="X171" s="261" t="s">
        <v>585</v>
      </c>
      <c r="Z171" s="261" t="s">
        <v>590</v>
      </c>
      <c r="AA171" s="261" t="s">
        <v>583</v>
      </c>
      <c r="AB171" s="261" t="s">
        <v>584</v>
      </c>
      <c r="AC171" s="261" t="s">
        <v>585</v>
      </c>
      <c r="AE171" s="261" t="s">
        <v>566</v>
      </c>
      <c r="AF171" s="262" t="s">
        <v>583</v>
      </c>
      <c r="AG171" s="261" t="s">
        <v>584</v>
      </c>
      <c r="AH171" s="261" t="s">
        <v>585</v>
      </c>
      <c r="AJ171" s="261" t="s">
        <v>566</v>
      </c>
      <c r="AK171" s="262" t="s">
        <v>583</v>
      </c>
      <c r="AL171" s="261" t="s">
        <v>584</v>
      </c>
      <c r="AM171" s="261" t="s">
        <v>585</v>
      </c>
      <c r="AO171" s="261" t="s">
        <v>566</v>
      </c>
      <c r="AP171" s="262" t="s">
        <v>583</v>
      </c>
      <c r="AQ171" s="261" t="s">
        <v>584</v>
      </c>
      <c r="AR171" s="261" t="s">
        <v>585</v>
      </c>
      <c r="AT171" s="261" t="s">
        <v>566</v>
      </c>
      <c r="AU171" s="262" t="s">
        <v>583</v>
      </c>
      <c r="AV171" s="261" t="s">
        <v>584</v>
      </c>
      <c r="AW171" s="261" t="s">
        <v>585</v>
      </c>
      <c r="AX171" s="261" t="s">
        <v>566</v>
      </c>
      <c r="AY171" s="261"/>
      <c r="AZ171" s="261"/>
      <c r="BA171" s="262" t="s">
        <v>583</v>
      </c>
      <c r="BB171" s="430" t="s">
        <v>584</v>
      </c>
      <c r="BC171" s="261" t="s">
        <v>585</v>
      </c>
    </row>
    <row r="172" spans="2:64">
      <c r="B172" s="344">
        <v>2</v>
      </c>
      <c r="C172" s="333" t="s">
        <v>1</v>
      </c>
      <c r="D172" s="334">
        <v>0</v>
      </c>
      <c r="E172" s="335">
        <v>0</v>
      </c>
      <c r="F172" s="335">
        <v>0</v>
      </c>
      <c r="G172" s="335">
        <v>0</v>
      </c>
      <c r="H172" s="335">
        <v>0</v>
      </c>
      <c r="I172" s="335">
        <f>H172*D172</f>
        <v>0</v>
      </c>
      <c r="J172" s="335">
        <f>I172*12</f>
        <v>0</v>
      </c>
      <c r="L172" s="269"/>
      <c r="M172" s="288"/>
      <c r="P172" s="334"/>
      <c r="Q172" s="362"/>
      <c r="R172" s="335"/>
      <c r="S172" s="335"/>
      <c r="U172" s="334"/>
      <c r="V172" s="362"/>
      <c r="W172" s="335"/>
      <c r="X172" s="335"/>
      <c r="Z172" s="383">
        <v>0</v>
      </c>
      <c r="AA172" s="368"/>
      <c r="AB172" s="295">
        <v>0</v>
      </c>
      <c r="AC172" s="368">
        <v>0</v>
      </c>
      <c r="AD172" s="273" t="s">
        <v>650</v>
      </c>
      <c r="AE172" s="383">
        <v>0</v>
      </c>
      <c r="AF172" s="386"/>
      <c r="AG172" s="295">
        <f>AF172*AE172</f>
        <v>0</v>
      </c>
      <c r="AH172" s="368">
        <f>AG172*12</f>
        <v>0</v>
      </c>
      <c r="AI172" s="273" t="s">
        <v>650</v>
      </c>
      <c r="AJ172" s="340">
        <v>0</v>
      </c>
      <c r="AK172" s="341"/>
      <c r="AL172" s="289"/>
      <c r="AM172" s="342"/>
      <c r="AN172" s="276"/>
      <c r="AO172" s="340">
        <v>0</v>
      </c>
      <c r="AP172" s="341">
        <v>0</v>
      </c>
      <c r="AQ172" s="289">
        <v>0</v>
      </c>
      <c r="AR172" s="342">
        <v>0</v>
      </c>
      <c r="AS172" s="276"/>
      <c r="AT172" s="340">
        <v>1</v>
      </c>
      <c r="AU172" s="341">
        <f>'[3]Recepção 2'!D137</f>
        <v>2622.17</v>
      </c>
      <c r="AV172" s="289">
        <f>AU172*AT172</f>
        <v>2622.17</v>
      </c>
      <c r="AW172" s="342">
        <f>AV172*12</f>
        <v>31466.04</v>
      </c>
      <c r="AX172" s="484">
        <v>1</v>
      </c>
      <c r="AY172" s="340">
        <v>1</v>
      </c>
      <c r="AZ172" s="340">
        <f>AX172-AY172</f>
        <v>0</v>
      </c>
      <c r="BA172" s="341">
        <f>BA168</f>
        <v>3172.5502639618517</v>
      </c>
      <c r="BB172" s="434">
        <f>BA172*AX172</f>
        <v>3172.5502639618517</v>
      </c>
      <c r="BC172" s="342">
        <f>BB172*12</f>
        <v>38070.60316754222</v>
      </c>
    </row>
    <row r="173" spans="2:64">
      <c r="B173" s="263">
        <v>5</v>
      </c>
      <c r="C173" s="264" t="s">
        <v>562</v>
      </c>
      <c r="D173" s="265">
        <v>3</v>
      </c>
      <c r="E173" s="266">
        <v>1714.13</v>
      </c>
      <c r="F173" s="267">
        <v>5142.3900000000003</v>
      </c>
      <c r="G173" s="267">
        <v>61708.680000000008</v>
      </c>
      <c r="H173" s="266">
        <f>'[3]ASG 2'!$D$137</f>
        <v>2295.14</v>
      </c>
      <c r="I173" s="267">
        <f t="shared" ref="I173" si="121">D173*H173</f>
        <v>6885.42</v>
      </c>
      <c r="J173" s="267">
        <f t="shared" ref="J173" si="122">I173*12</f>
        <v>82625.040000000008</v>
      </c>
      <c r="K173" s="272" t="s">
        <v>591</v>
      </c>
      <c r="L173" s="269">
        <f t="shared" ref="L173" si="123">I173*2</f>
        <v>13770.84</v>
      </c>
      <c r="M173" s="288">
        <v>802050</v>
      </c>
      <c r="N173" s="249" t="s">
        <v>602</v>
      </c>
      <c r="Z173" s="265">
        <v>3</v>
      </c>
      <c r="AA173" s="266">
        <v>1714.13</v>
      </c>
      <c r="AB173" s="267">
        <v>5142.3900000000003</v>
      </c>
      <c r="AC173" s="267">
        <v>61708.680000000008</v>
      </c>
      <c r="AE173" s="265">
        <v>3</v>
      </c>
      <c r="AF173" s="271">
        <v>1912.22</v>
      </c>
      <c r="AG173" s="267">
        <v>5736.66</v>
      </c>
      <c r="AH173" s="267">
        <v>68839.92</v>
      </c>
      <c r="AJ173" s="265">
        <v>5</v>
      </c>
      <c r="AK173" s="271">
        <v>1912.22</v>
      </c>
      <c r="AL173" s="267">
        <v>9561.1</v>
      </c>
      <c r="AM173" s="267">
        <v>114733.20000000001</v>
      </c>
      <c r="AO173" s="325">
        <v>3</v>
      </c>
      <c r="AP173" s="326">
        <v>1912.22</v>
      </c>
      <c r="AQ173" s="327">
        <v>5736.66</v>
      </c>
      <c r="AR173" s="327">
        <v>68839.92</v>
      </c>
      <c r="AS173" s="273" t="s">
        <v>646</v>
      </c>
      <c r="AT173" s="265">
        <f>5-2</f>
        <v>3</v>
      </c>
      <c r="AU173" s="278">
        <f>'[3]ASG 2'!$D$137</f>
        <v>2295.14</v>
      </c>
      <c r="AV173" s="289">
        <f t="shared" ref="AV173" si="124">AU173*AT173</f>
        <v>6885.42</v>
      </c>
      <c r="AW173" s="289">
        <f t="shared" ref="AW173" si="125">AV173*12</f>
        <v>82625.040000000008</v>
      </c>
      <c r="AX173" s="455">
        <v>1</v>
      </c>
      <c r="AY173" s="265">
        <v>1</v>
      </c>
      <c r="AZ173" s="340">
        <f>AX173-AY173</f>
        <v>0</v>
      </c>
      <c r="BA173" s="278">
        <f>'13-A'!D152</f>
        <v>2766.8942962220963</v>
      </c>
      <c r="BB173" s="434">
        <f t="shared" ref="BB173" si="126">BA173*AX173</f>
        <v>2766.8942962220963</v>
      </c>
      <c r="BC173" s="289">
        <f t="shared" ref="BC173" si="127">BB173*12</f>
        <v>33202.731554665152</v>
      </c>
    </row>
    <row r="174" spans="2:64">
      <c r="B174" s="512"/>
      <c r="C174" s="512"/>
      <c r="D174" s="279" t="e">
        <f>SUM(#REF!)</f>
        <v>#REF!</v>
      </c>
      <c r="E174" s="281"/>
      <c r="F174" s="281" t="e">
        <f>SUM(#REF!)</f>
        <v>#REF!</v>
      </c>
      <c r="G174" s="281"/>
      <c r="H174" s="281"/>
      <c r="I174" s="281" t="e">
        <f>SUM(#REF!)</f>
        <v>#REF!</v>
      </c>
      <c r="J174" s="281" t="e">
        <f>SUM(#REF!)</f>
        <v>#REF!</v>
      </c>
      <c r="K174" s="281" t="e">
        <f>SUM(#REF!)</f>
        <v>#REF!</v>
      </c>
      <c r="L174" s="281" t="e">
        <f>SUM(#REF!)</f>
        <v>#REF!</v>
      </c>
      <c r="M174" s="384"/>
      <c r="N174" s="384"/>
      <c r="P174" s="279" t="e">
        <f>SUM(#REF!)</f>
        <v>#REF!</v>
      </c>
      <c r="Q174" s="281"/>
      <c r="R174" s="375" t="e">
        <f>SUM(#REF!)</f>
        <v>#REF!</v>
      </c>
      <c r="S174" s="375" t="e">
        <f>SUM(#REF!)</f>
        <v>#REF!</v>
      </c>
      <c r="U174" s="279" t="e">
        <f>SUM(#REF!)</f>
        <v>#REF!</v>
      </c>
      <c r="V174" s="281"/>
      <c r="W174" s="375" t="e">
        <f>SUM(#REF!)</f>
        <v>#REF!</v>
      </c>
      <c r="X174" s="375" t="e">
        <f>SUM(#REF!)</f>
        <v>#REF!</v>
      </c>
      <c r="Z174" s="279">
        <v>0</v>
      </c>
      <c r="AA174" s="281"/>
      <c r="AB174" s="282">
        <v>0</v>
      </c>
      <c r="AC174" s="283">
        <v>0</v>
      </c>
      <c r="AE174" s="279">
        <f>SUM(AE172:AE172)</f>
        <v>0</v>
      </c>
      <c r="AF174" s="284"/>
      <c r="AG174" s="282">
        <f>SUM(AG172:AG172)</f>
        <v>0</v>
      </c>
      <c r="AH174" s="283">
        <f>SUM(AH172:AH172)</f>
        <v>0</v>
      </c>
      <c r="AJ174" s="279">
        <v>4</v>
      </c>
      <c r="AK174" s="284"/>
      <c r="AL174" s="282"/>
      <c r="AM174" s="283"/>
      <c r="AO174" s="279"/>
      <c r="AP174" s="284"/>
      <c r="AQ174" s="282"/>
      <c r="AR174" s="283"/>
      <c r="AT174" s="279">
        <f>SUM(AT172:AT172)</f>
        <v>1</v>
      </c>
      <c r="AU174" s="284"/>
      <c r="AV174" s="282">
        <f>SUM(AV172:AV172)</f>
        <v>2622.17</v>
      </c>
      <c r="AW174" s="283">
        <f>SUM(AW172:AW172)</f>
        <v>31466.04</v>
      </c>
      <c r="AX174" s="279">
        <f>SUM(AX172:AX172)</f>
        <v>1</v>
      </c>
      <c r="AY174" s="444"/>
      <c r="AZ174" s="444"/>
      <c r="BA174" s="284"/>
      <c r="BB174" s="437">
        <f>SUM(BB172:BB173)</f>
        <v>5939.4445601839479</v>
      </c>
      <c r="BC174" s="283">
        <f>SUM(BC172:BC173)</f>
        <v>71273.334722207364</v>
      </c>
      <c r="BJ174" s="452">
        <f>8*AU86</f>
        <v>26640.720000000001</v>
      </c>
    </row>
    <row r="175" spans="2:64">
      <c r="B175" s="388"/>
      <c r="C175" s="388"/>
      <c r="D175" s="388"/>
      <c r="E175" s="389"/>
      <c r="F175" s="389"/>
      <c r="G175" s="389"/>
      <c r="H175" s="389"/>
      <c r="I175" s="389"/>
      <c r="J175" s="389"/>
      <c r="K175" s="389"/>
      <c r="L175" s="389"/>
      <c r="M175" s="390"/>
      <c r="N175" s="390"/>
      <c r="O175" s="391"/>
      <c r="P175" s="388"/>
      <c r="Q175" s="389"/>
      <c r="R175" s="392"/>
      <c r="S175" s="392"/>
      <c r="T175" s="391"/>
      <c r="U175" s="388"/>
      <c r="V175" s="389"/>
      <c r="W175" s="392"/>
      <c r="X175" s="392"/>
      <c r="Y175" s="391"/>
      <c r="Z175" s="388"/>
      <c r="AA175" s="389"/>
      <c r="AB175" s="393"/>
      <c r="AC175" s="394"/>
      <c r="AD175" s="391"/>
      <c r="AE175" s="388"/>
      <c r="AF175" s="395"/>
      <c r="AG175" s="393"/>
      <c r="AH175" s="394"/>
      <c r="AI175" s="391"/>
      <c r="AJ175" s="388"/>
      <c r="AK175" s="395"/>
      <c r="AL175" s="393"/>
      <c r="AM175" s="394"/>
      <c r="AN175" s="391"/>
      <c r="AO175" s="388"/>
      <c r="AP175" s="395"/>
      <c r="AQ175" s="393"/>
      <c r="AR175" s="394"/>
      <c r="AS175" s="391"/>
      <c r="AT175" s="388"/>
      <c r="AU175" s="395"/>
      <c r="AV175" s="393"/>
      <c r="AW175" s="394"/>
      <c r="AX175" s="388"/>
      <c r="AY175" s="388"/>
      <c r="AZ175" s="388"/>
      <c r="BA175" s="395"/>
      <c r="BB175" s="441"/>
      <c r="BC175" s="394"/>
      <c r="BE175" s="454"/>
      <c r="BJ175" s="452">
        <f>8*AU87</f>
        <v>28084.48</v>
      </c>
    </row>
    <row r="176" spans="2:64">
      <c r="B176" s="388" t="s">
        <v>675</v>
      </c>
      <c r="C176" s="388" t="s">
        <v>648</v>
      </c>
      <c r="D176" s="388"/>
      <c r="E176" s="389"/>
      <c r="F176" s="389"/>
      <c r="G176" s="389"/>
      <c r="H176" s="389"/>
      <c r="I176" s="389"/>
      <c r="J176" s="389"/>
      <c r="K176" s="389"/>
      <c r="L176" s="389"/>
      <c r="M176" s="390"/>
      <c r="N176" s="390"/>
      <c r="O176" s="391"/>
      <c r="P176" s="388"/>
      <c r="Q176" s="389"/>
      <c r="R176" s="392"/>
      <c r="S176" s="392"/>
      <c r="T176" s="391"/>
      <c r="U176" s="388"/>
      <c r="V176" s="389"/>
      <c r="W176" s="392"/>
      <c r="X176" s="392"/>
      <c r="Y176" s="391"/>
      <c r="Z176" s="388"/>
      <c r="AA176" s="389"/>
      <c r="AB176" s="393"/>
      <c r="AC176" s="394"/>
      <c r="AD176" s="391"/>
      <c r="AE176" s="388"/>
      <c r="AF176" s="395"/>
      <c r="AG176" s="393"/>
      <c r="AH176" s="394"/>
      <c r="AI176" s="391"/>
      <c r="AJ176" s="388"/>
      <c r="AK176" s="395"/>
      <c r="AL176" s="393"/>
      <c r="AM176" s="394"/>
      <c r="AN176" s="391"/>
      <c r="AO176" s="388"/>
      <c r="AP176" s="395"/>
      <c r="AQ176" s="393"/>
      <c r="AR176" s="394"/>
      <c r="AS176" s="391"/>
      <c r="AT176" s="388"/>
      <c r="AU176" s="395"/>
      <c r="AV176" s="393"/>
      <c r="AW176" s="394"/>
      <c r="AX176" s="388"/>
      <c r="AY176" s="388"/>
      <c r="AZ176" s="388"/>
      <c r="BA176" s="395"/>
      <c r="BB176" s="441"/>
      <c r="BC176" s="394"/>
      <c r="BJ176" s="452" t="e">
        <f>#REF!-#REF!*7</f>
        <v>#REF!</v>
      </c>
    </row>
    <row r="177" spans="2:55" ht="47.25">
      <c r="B177" s="260" t="s">
        <v>581</v>
      </c>
      <c r="C177" s="261" t="s">
        <v>267</v>
      </c>
      <c r="D177" s="261" t="s">
        <v>582</v>
      </c>
      <c r="E177" s="261" t="s">
        <v>583</v>
      </c>
      <c r="F177" s="261" t="s">
        <v>584</v>
      </c>
      <c r="G177" s="261" t="s">
        <v>585</v>
      </c>
      <c r="H177" s="261" t="s">
        <v>583</v>
      </c>
      <c r="I177" s="261" t="s">
        <v>584</v>
      </c>
      <c r="J177" s="261" t="s">
        <v>585</v>
      </c>
      <c r="K177" s="261" t="s">
        <v>586</v>
      </c>
      <c r="L177" s="261" t="s">
        <v>587</v>
      </c>
      <c r="M177" s="261" t="s">
        <v>598</v>
      </c>
      <c r="N177" s="261" t="s">
        <v>588</v>
      </c>
      <c r="P177" s="261" t="s">
        <v>582</v>
      </c>
      <c r="Q177" s="261" t="s">
        <v>583</v>
      </c>
      <c r="R177" s="261" t="s">
        <v>584</v>
      </c>
      <c r="S177" s="261" t="s">
        <v>585</v>
      </c>
      <c r="U177" s="261" t="s">
        <v>582</v>
      </c>
      <c r="V177" s="261" t="s">
        <v>583</v>
      </c>
      <c r="W177" s="261" t="s">
        <v>584</v>
      </c>
      <c r="X177" s="261" t="s">
        <v>585</v>
      </c>
      <c r="Z177" s="261" t="s">
        <v>590</v>
      </c>
      <c r="AA177" s="261" t="s">
        <v>583</v>
      </c>
      <c r="AB177" s="261" t="s">
        <v>584</v>
      </c>
      <c r="AC177" s="261" t="s">
        <v>585</v>
      </c>
      <c r="AE177" s="261" t="s">
        <v>566</v>
      </c>
      <c r="AF177" s="262" t="s">
        <v>583</v>
      </c>
      <c r="AG177" s="261" t="s">
        <v>584</v>
      </c>
      <c r="AH177" s="261" t="s">
        <v>585</v>
      </c>
      <c r="AJ177" s="261" t="s">
        <v>566</v>
      </c>
      <c r="AK177" s="262" t="s">
        <v>583</v>
      </c>
      <c r="AL177" s="261" t="s">
        <v>584</v>
      </c>
      <c r="AM177" s="261" t="s">
        <v>585</v>
      </c>
      <c r="AO177" s="261" t="s">
        <v>566</v>
      </c>
      <c r="AP177" s="262" t="s">
        <v>583</v>
      </c>
      <c r="AQ177" s="261" t="s">
        <v>584</v>
      </c>
      <c r="AR177" s="261" t="s">
        <v>585</v>
      </c>
      <c r="AT177" s="261" t="s">
        <v>566</v>
      </c>
      <c r="AU177" s="262" t="s">
        <v>583</v>
      </c>
      <c r="AV177" s="261" t="s">
        <v>584</v>
      </c>
      <c r="AW177" s="261" t="s">
        <v>585</v>
      </c>
      <c r="AX177" s="261" t="s">
        <v>566</v>
      </c>
      <c r="AY177" s="261"/>
      <c r="AZ177" s="261"/>
      <c r="BA177" s="262" t="s">
        <v>583</v>
      </c>
      <c r="BB177" s="430" t="s">
        <v>584</v>
      </c>
      <c r="BC177" s="261" t="s">
        <v>585</v>
      </c>
    </row>
    <row r="178" spans="2:55">
      <c r="B178" s="472">
        <v>5</v>
      </c>
      <c r="C178" s="473" t="s">
        <v>562</v>
      </c>
      <c r="D178" s="472"/>
      <c r="E178" s="491"/>
      <c r="F178" s="491"/>
      <c r="G178" s="491"/>
      <c r="H178" s="491"/>
      <c r="I178" s="491"/>
      <c r="J178" s="491"/>
      <c r="K178" s="491"/>
      <c r="L178" s="491"/>
      <c r="M178" s="490"/>
      <c r="N178" s="490"/>
      <c r="O178" s="479"/>
      <c r="P178" s="472"/>
      <c r="Q178" s="491"/>
      <c r="R178" s="492"/>
      <c r="S178" s="492"/>
      <c r="T178" s="479"/>
      <c r="U178" s="472"/>
      <c r="V178" s="491"/>
      <c r="W178" s="492"/>
      <c r="X178" s="492"/>
      <c r="Y178" s="479"/>
      <c r="Z178" s="472"/>
      <c r="AA178" s="491"/>
      <c r="AB178" s="481"/>
      <c r="AC178" s="493"/>
      <c r="AD178" s="479"/>
      <c r="AE178" s="472"/>
      <c r="AF178" s="494"/>
      <c r="AG178" s="481"/>
      <c r="AH178" s="493"/>
      <c r="AI178" s="479"/>
      <c r="AJ178" s="472"/>
      <c r="AK178" s="494"/>
      <c r="AL178" s="481"/>
      <c r="AM178" s="493"/>
      <c r="AN178" s="479"/>
      <c r="AO178" s="472"/>
      <c r="AP178" s="494"/>
      <c r="AQ178" s="481"/>
      <c r="AR178" s="493"/>
      <c r="AS178" s="479"/>
      <c r="AT178" s="472"/>
      <c r="AU178" s="494"/>
      <c r="AV178" s="481"/>
      <c r="AW178" s="493"/>
      <c r="AX178" s="472">
        <v>1</v>
      </c>
      <c r="AY178" s="472">
        <v>0</v>
      </c>
      <c r="AZ178" s="472">
        <f>AX178-AY178</f>
        <v>1</v>
      </c>
      <c r="BA178" s="494">
        <f>'14-A'!D152</f>
        <v>2782.7822337969228</v>
      </c>
      <c r="BB178" s="483">
        <f>BA178*AX178</f>
        <v>2782.7822337969228</v>
      </c>
      <c r="BC178" s="493">
        <f>BB178*12</f>
        <v>33393.386805563074</v>
      </c>
    </row>
    <row r="179" spans="2:55">
      <c r="B179" s="472">
        <v>8</v>
      </c>
      <c r="C179" s="495" t="s">
        <v>594</v>
      </c>
      <c r="D179" s="472"/>
      <c r="E179" s="491"/>
      <c r="F179" s="491"/>
      <c r="G179" s="491"/>
      <c r="H179" s="491"/>
      <c r="I179" s="491"/>
      <c r="J179" s="491"/>
      <c r="K179" s="491"/>
      <c r="L179" s="491"/>
      <c r="M179" s="490"/>
      <c r="N179" s="490"/>
      <c r="O179" s="479"/>
      <c r="P179" s="472"/>
      <c r="Q179" s="491"/>
      <c r="R179" s="492"/>
      <c r="S179" s="492"/>
      <c r="T179" s="479"/>
      <c r="U179" s="472"/>
      <c r="V179" s="491"/>
      <c r="W179" s="492"/>
      <c r="X179" s="492"/>
      <c r="Y179" s="479"/>
      <c r="Z179" s="472"/>
      <c r="AA179" s="491"/>
      <c r="AB179" s="481"/>
      <c r="AC179" s="493"/>
      <c r="AD179" s="479"/>
      <c r="AE179" s="472"/>
      <c r="AF179" s="494"/>
      <c r="AG179" s="481"/>
      <c r="AH179" s="493"/>
      <c r="AI179" s="479"/>
      <c r="AJ179" s="472"/>
      <c r="AK179" s="494"/>
      <c r="AL179" s="481"/>
      <c r="AM179" s="493"/>
      <c r="AN179" s="479"/>
      <c r="AO179" s="472"/>
      <c r="AP179" s="494"/>
      <c r="AQ179" s="481"/>
      <c r="AR179" s="493"/>
      <c r="AS179" s="479"/>
      <c r="AT179" s="472"/>
      <c r="AU179" s="494"/>
      <c r="AV179" s="481"/>
      <c r="AW179" s="493"/>
      <c r="AX179" s="472">
        <v>1</v>
      </c>
      <c r="AY179" s="472">
        <v>0</v>
      </c>
      <c r="AZ179" s="472">
        <f>AX179-AY179</f>
        <v>1</v>
      </c>
      <c r="BA179" s="494">
        <f>'20-A'!D152</f>
        <v>4108.6965408764872</v>
      </c>
      <c r="BB179" s="483">
        <f>BA179*AX179</f>
        <v>4108.6965408764872</v>
      </c>
      <c r="BC179" s="493">
        <f>BB179*12</f>
        <v>49304.358490517843</v>
      </c>
    </row>
    <row r="180" spans="2:55">
      <c r="B180" s="399"/>
      <c r="C180" s="400"/>
      <c r="D180" s="401"/>
      <c r="E180" s="402"/>
      <c r="F180" s="402"/>
      <c r="G180" s="402"/>
      <c r="H180" s="402"/>
      <c r="I180" s="402"/>
      <c r="J180" s="402"/>
      <c r="K180" s="402"/>
      <c r="L180" s="402"/>
      <c r="M180" s="403"/>
      <c r="N180" s="403"/>
      <c r="O180" s="404"/>
      <c r="P180" s="401"/>
      <c r="Q180" s="402"/>
      <c r="R180" s="405"/>
      <c r="S180" s="405"/>
      <c r="T180" s="404"/>
      <c r="U180" s="401"/>
      <c r="V180" s="402"/>
      <c r="W180" s="405"/>
      <c r="X180" s="405"/>
      <c r="Y180" s="404"/>
      <c r="Z180" s="401"/>
      <c r="AA180" s="402"/>
      <c r="AB180" s="406"/>
      <c r="AC180" s="407"/>
      <c r="AD180" s="404"/>
      <c r="AE180" s="401"/>
      <c r="AF180" s="408"/>
      <c r="AG180" s="406"/>
      <c r="AH180" s="407"/>
      <c r="AI180" s="404"/>
      <c r="AJ180" s="401"/>
      <c r="AK180" s="408"/>
      <c r="AL180" s="406"/>
      <c r="AM180" s="407"/>
      <c r="AN180" s="404"/>
      <c r="AO180" s="401"/>
      <c r="AP180" s="408"/>
      <c r="AQ180" s="406"/>
      <c r="AR180" s="407"/>
      <c r="AS180" s="404"/>
      <c r="AT180" s="401"/>
      <c r="AU180" s="408"/>
      <c r="AV180" s="406"/>
      <c r="AW180" s="407"/>
      <c r="AX180" s="401">
        <f>SUM(AX178:AX179)</f>
        <v>2</v>
      </c>
      <c r="AY180" s="401"/>
      <c r="AZ180" s="401"/>
      <c r="BA180" s="408"/>
      <c r="BB180" s="442">
        <f>SUM(BB178:BB179)</f>
        <v>6891.47877467341</v>
      </c>
      <c r="BC180" s="406">
        <f>SUM(BC178:BC179)</f>
        <v>82697.745296080917</v>
      </c>
    </row>
    <row r="181" spans="2:55">
      <c r="AF181" s="252"/>
      <c r="AK181" s="252"/>
    </row>
    <row r="182" spans="2:55">
      <c r="B182" s="388" t="s">
        <v>676</v>
      </c>
      <c r="C182" s="388" t="s">
        <v>648</v>
      </c>
      <c r="D182" s="388"/>
      <c r="E182" s="389"/>
      <c r="F182" s="389"/>
      <c r="G182" s="389"/>
      <c r="H182" s="389"/>
      <c r="I182" s="389"/>
      <c r="J182" s="389"/>
      <c r="K182" s="389"/>
      <c r="L182" s="389"/>
      <c r="M182" s="390"/>
      <c r="N182" s="390"/>
      <c r="O182" s="391"/>
      <c r="P182" s="388"/>
      <c r="Q182" s="389"/>
      <c r="R182" s="392"/>
      <c r="S182" s="392"/>
      <c r="T182" s="391"/>
      <c r="U182" s="388"/>
      <c r="V182" s="389"/>
      <c r="W182" s="392"/>
      <c r="X182" s="392"/>
      <c r="Y182" s="391"/>
      <c r="Z182" s="388"/>
      <c r="AA182" s="389"/>
      <c r="AB182" s="393"/>
      <c r="AC182" s="394"/>
      <c r="AD182" s="391"/>
      <c r="AE182" s="388"/>
      <c r="AF182" s="395"/>
      <c r="AG182" s="393"/>
      <c r="AH182" s="394"/>
      <c r="AI182" s="391"/>
      <c r="AJ182" s="388"/>
      <c r="AK182" s="395"/>
      <c r="AL182" s="393"/>
      <c r="AM182" s="394"/>
      <c r="AN182" s="391"/>
      <c r="AO182" s="388"/>
      <c r="AP182" s="395"/>
      <c r="AQ182" s="393"/>
      <c r="AR182" s="394"/>
      <c r="AS182" s="391"/>
      <c r="AT182" s="388"/>
      <c r="AU182" s="395"/>
      <c r="AV182" s="393"/>
      <c r="AW182" s="394"/>
      <c r="AX182" s="388"/>
      <c r="AY182" s="388"/>
      <c r="AZ182" s="388"/>
      <c r="BA182" s="395"/>
      <c r="BB182" s="441"/>
      <c r="BC182" s="394"/>
    </row>
    <row r="183" spans="2:55" ht="47.25">
      <c r="B183" s="260" t="s">
        <v>581</v>
      </c>
      <c r="C183" s="261" t="s">
        <v>267</v>
      </c>
      <c r="D183" s="261" t="s">
        <v>582</v>
      </c>
      <c r="E183" s="261" t="s">
        <v>583</v>
      </c>
      <c r="F183" s="261" t="s">
        <v>584</v>
      </c>
      <c r="G183" s="261" t="s">
        <v>585</v>
      </c>
      <c r="H183" s="261" t="s">
        <v>583</v>
      </c>
      <c r="I183" s="261" t="s">
        <v>584</v>
      </c>
      <c r="J183" s="261" t="s">
        <v>585</v>
      </c>
      <c r="K183" s="261" t="s">
        <v>586</v>
      </c>
      <c r="L183" s="261" t="s">
        <v>587</v>
      </c>
      <c r="M183" s="261" t="s">
        <v>598</v>
      </c>
      <c r="N183" s="261" t="s">
        <v>588</v>
      </c>
      <c r="P183" s="261" t="s">
        <v>582</v>
      </c>
      <c r="Q183" s="261" t="s">
        <v>583</v>
      </c>
      <c r="R183" s="261" t="s">
        <v>584</v>
      </c>
      <c r="S183" s="261" t="s">
        <v>585</v>
      </c>
      <c r="U183" s="261" t="s">
        <v>582</v>
      </c>
      <c r="V183" s="261" t="s">
        <v>583</v>
      </c>
      <c r="W183" s="261" t="s">
        <v>584</v>
      </c>
      <c r="X183" s="261" t="s">
        <v>585</v>
      </c>
      <c r="Z183" s="261" t="s">
        <v>590</v>
      </c>
      <c r="AA183" s="261" t="s">
        <v>583</v>
      </c>
      <c r="AB183" s="261" t="s">
        <v>584</v>
      </c>
      <c r="AC183" s="261" t="s">
        <v>585</v>
      </c>
      <c r="AE183" s="261" t="s">
        <v>566</v>
      </c>
      <c r="AF183" s="262" t="s">
        <v>583</v>
      </c>
      <c r="AG183" s="261" t="s">
        <v>584</v>
      </c>
      <c r="AH183" s="261" t="s">
        <v>585</v>
      </c>
      <c r="AJ183" s="261" t="s">
        <v>566</v>
      </c>
      <c r="AK183" s="262" t="s">
        <v>583</v>
      </c>
      <c r="AL183" s="261" t="s">
        <v>584</v>
      </c>
      <c r="AM183" s="261" t="s">
        <v>585</v>
      </c>
      <c r="AO183" s="261" t="s">
        <v>566</v>
      </c>
      <c r="AP183" s="262" t="s">
        <v>583</v>
      </c>
      <c r="AQ183" s="261" t="s">
        <v>584</v>
      </c>
      <c r="AR183" s="261" t="s">
        <v>585</v>
      </c>
      <c r="AT183" s="261" t="s">
        <v>566</v>
      </c>
      <c r="AU183" s="262" t="s">
        <v>583</v>
      </c>
      <c r="AV183" s="261" t="s">
        <v>584</v>
      </c>
      <c r="AW183" s="261" t="s">
        <v>585</v>
      </c>
      <c r="AX183" s="261" t="s">
        <v>566</v>
      </c>
      <c r="AY183" s="261"/>
      <c r="AZ183" s="261"/>
      <c r="BA183" s="262" t="s">
        <v>583</v>
      </c>
      <c r="BB183" s="430" t="s">
        <v>584</v>
      </c>
      <c r="BC183" s="261" t="s">
        <v>585</v>
      </c>
    </row>
    <row r="184" spans="2:55">
      <c r="B184" s="472">
        <v>5</v>
      </c>
      <c r="C184" s="473" t="s">
        <v>562</v>
      </c>
      <c r="D184" s="472"/>
      <c r="E184" s="491"/>
      <c r="F184" s="491"/>
      <c r="G184" s="491"/>
      <c r="H184" s="491"/>
      <c r="I184" s="491"/>
      <c r="J184" s="491"/>
      <c r="K184" s="491"/>
      <c r="L184" s="491"/>
      <c r="M184" s="490"/>
      <c r="N184" s="490"/>
      <c r="O184" s="479"/>
      <c r="P184" s="472"/>
      <c r="Q184" s="491"/>
      <c r="R184" s="492"/>
      <c r="S184" s="492"/>
      <c r="T184" s="479"/>
      <c r="U184" s="472"/>
      <c r="V184" s="491"/>
      <c r="W184" s="492"/>
      <c r="X184" s="492"/>
      <c r="Y184" s="479"/>
      <c r="Z184" s="472"/>
      <c r="AA184" s="491"/>
      <c r="AB184" s="481"/>
      <c r="AC184" s="493"/>
      <c r="AD184" s="479"/>
      <c r="AE184" s="472"/>
      <c r="AF184" s="494"/>
      <c r="AG184" s="481"/>
      <c r="AH184" s="493"/>
      <c r="AI184" s="479"/>
      <c r="AJ184" s="472"/>
      <c r="AK184" s="494"/>
      <c r="AL184" s="481"/>
      <c r="AM184" s="493"/>
      <c r="AN184" s="479"/>
      <c r="AO184" s="472"/>
      <c r="AP184" s="494"/>
      <c r="AQ184" s="481"/>
      <c r="AR184" s="493"/>
      <c r="AS184" s="479"/>
      <c r="AT184" s="472"/>
      <c r="AU184" s="494"/>
      <c r="AV184" s="481"/>
      <c r="AW184" s="493"/>
      <c r="AX184" s="472">
        <v>1</v>
      </c>
      <c r="AY184" s="472">
        <v>0</v>
      </c>
      <c r="AZ184" s="472">
        <f>AX184-AY184</f>
        <v>1</v>
      </c>
      <c r="BA184" s="494">
        <f>BA178</f>
        <v>2782.7822337969228</v>
      </c>
      <c r="BB184" s="483">
        <f>BA184*AX184</f>
        <v>2782.7822337969228</v>
      </c>
      <c r="BC184" s="493">
        <f>BB184*12</f>
        <v>33393.386805563074</v>
      </c>
    </row>
    <row r="185" spans="2:55">
      <c r="B185" s="399"/>
      <c r="C185" s="400"/>
      <c r="D185" s="401"/>
      <c r="E185" s="402"/>
      <c r="F185" s="402"/>
      <c r="G185" s="402"/>
      <c r="H185" s="402"/>
      <c r="I185" s="402"/>
      <c r="J185" s="402"/>
      <c r="K185" s="402"/>
      <c r="L185" s="402"/>
      <c r="M185" s="403"/>
      <c r="N185" s="403"/>
      <c r="O185" s="404"/>
      <c r="P185" s="401"/>
      <c r="Q185" s="402"/>
      <c r="R185" s="405"/>
      <c r="S185" s="405"/>
      <c r="T185" s="404"/>
      <c r="U185" s="401"/>
      <c r="V185" s="402"/>
      <c r="W185" s="405"/>
      <c r="X185" s="405"/>
      <c r="Y185" s="404"/>
      <c r="Z185" s="401"/>
      <c r="AA185" s="402"/>
      <c r="AB185" s="406"/>
      <c r="AC185" s="407"/>
      <c r="AD185" s="404"/>
      <c r="AE185" s="401"/>
      <c r="AF185" s="408"/>
      <c r="AG185" s="406"/>
      <c r="AH185" s="407"/>
      <c r="AI185" s="404"/>
      <c r="AJ185" s="401"/>
      <c r="AK185" s="408"/>
      <c r="AL185" s="406"/>
      <c r="AM185" s="407"/>
      <c r="AN185" s="404"/>
      <c r="AO185" s="401"/>
      <c r="AP185" s="408"/>
      <c r="AQ185" s="406"/>
      <c r="AR185" s="407"/>
      <c r="AS185" s="404"/>
      <c r="AT185" s="401"/>
      <c r="AU185" s="408"/>
      <c r="AV185" s="406"/>
      <c r="AW185" s="407"/>
      <c r="AX185" s="401">
        <f>SUM(AX182:AX184)</f>
        <v>1</v>
      </c>
      <c r="AY185" s="401"/>
      <c r="AZ185" s="401"/>
      <c r="BA185" s="408"/>
      <c r="BB185" s="442">
        <f>SUM(BB182:BB184)</f>
        <v>2782.7822337969228</v>
      </c>
      <c r="BC185" s="406">
        <f>SUM(BC182:BC184)</f>
        <v>33393.386805563074</v>
      </c>
    </row>
    <row r="186" spans="2:55">
      <c r="B186" s="409" t="s">
        <v>677</v>
      </c>
      <c r="C186" s="345" t="s">
        <v>648</v>
      </c>
      <c r="E186" s="514" t="s">
        <v>578</v>
      </c>
      <c r="F186" s="514"/>
      <c r="G186" s="514"/>
      <c r="H186" s="514" t="s">
        <v>579</v>
      </c>
      <c r="I186" s="514"/>
      <c r="J186" s="514"/>
      <c r="S186" s="515"/>
      <c r="T186" s="515"/>
      <c r="U186" s="515"/>
      <c r="V186" s="515"/>
      <c r="W186" s="515"/>
      <c r="X186" s="515"/>
      <c r="AA186" s="513" t="s">
        <v>571</v>
      </c>
      <c r="AB186" s="513"/>
      <c r="AC186" s="513"/>
      <c r="AF186" s="513" t="s">
        <v>641</v>
      </c>
      <c r="AG186" s="513"/>
      <c r="AH186" s="513"/>
      <c r="AK186" s="513" t="s">
        <v>573</v>
      </c>
      <c r="AL186" s="513"/>
      <c r="AM186" s="513"/>
    </row>
    <row r="187" spans="2:55" ht="47.25">
      <c r="B187" s="260" t="s">
        <v>581</v>
      </c>
      <c r="C187" s="261" t="s">
        <v>267</v>
      </c>
      <c r="D187" s="261" t="s">
        <v>582</v>
      </c>
      <c r="E187" s="261" t="s">
        <v>583</v>
      </c>
      <c r="F187" s="261" t="s">
        <v>584</v>
      </c>
      <c r="G187" s="261" t="s">
        <v>585</v>
      </c>
      <c r="H187" s="261" t="s">
        <v>583</v>
      </c>
      <c r="I187" s="261" t="s">
        <v>584</v>
      </c>
      <c r="J187" s="261" t="s">
        <v>585</v>
      </c>
      <c r="K187" s="261" t="s">
        <v>586</v>
      </c>
      <c r="L187" s="261" t="s">
        <v>587</v>
      </c>
      <c r="M187" s="261" t="s">
        <v>598</v>
      </c>
      <c r="N187" s="261" t="s">
        <v>588</v>
      </c>
      <c r="P187" s="261" t="s">
        <v>582</v>
      </c>
      <c r="Q187" s="261" t="s">
        <v>583</v>
      </c>
      <c r="R187" s="261" t="s">
        <v>584</v>
      </c>
      <c r="S187" s="261" t="s">
        <v>585</v>
      </c>
      <c r="U187" s="261" t="s">
        <v>582</v>
      </c>
      <c r="V187" s="261" t="s">
        <v>583</v>
      </c>
      <c r="W187" s="261" t="s">
        <v>584</v>
      </c>
      <c r="X187" s="261" t="s">
        <v>585</v>
      </c>
      <c r="Z187" s="261" t="s">
        <v>590</v>
      </c>
      <c r="AA187" s="261" t="s">
        <v>583</v>
      </c>
      <c r="AB187" s="261" t="s">
        <v>584</v>
      </c>
      <c r="AC187" s="261" t="s">
        <v>585</v>
      </c>
      <c r="AE187" s="261" t="s">
        <v>566</v>
      </c>
      <c r="AF187" s="262" t="s">
        <v>583</v>
      </c>
      <c r="AG187" s="261" t="s">
        <v>584</v>
      </c>
      <c r="AH187" s="261" t="s">
        <v>585</v>
      </c>
      <c r="AJ187" s="261" t="s">
        <v>566</v>
      </c>
      <c r="AK187" s="262" t="s">
        <v>583</v>
      </c>
      <c r="AL187" s="261" t="s">
        <v>584</v>
      </c>
      <c r="AM187" s="261" t="s">
        <v>585</v>
      </c>
      <c r="AO187" s="261" t="s">
        <v>566</v>
      </c>
      <c r="AP187" s="262" t="s">
        <v>583</v>
      </c>
      <c r="AQ187" s="261" t="s">
        <v>584</v>
      </c>
      <c r="AR187" s="261" t="s">
        <v>585</v>
      </c>
      <c r="AT187" s="261" t="s">
        <v>566</v>
      </c>
      <c r="AU187" s="262" t="s">
        <v>583</v>
      </c>
      <c r="AV187" s="261" t="s">
        <v>584</v>
      </c>
      <c r="AW187" s="261" t="s">
        <v>585</v>
      </c>
      <c r="AX187" s="261" t="s">
        <v>566</v>
      </c>
      <c r="AY187" s="261"/>
      <c r="AZ187" s="261"/>
      <c r="BA187" s="262" t="s">
        <v>583</v>
      </c>
      <c r="BB187" s="430" t="s">
        <v>584</v>
      </c>
      <c r="BC187" s="261" t="s">
        <v>585</v>
      </c>
    </row>
    <row r="188" spans="2:55">
      <c r="B188" s="344">
        <v>2</v>
      </c>
      <c r="C188" s="333" t="s">
        <v>1</v>
      </c>
      <c r="D188" s="334">
        <v>0</v>
      </c>
      <c r="E188" s="335">
        <v>0</v>
      </c>
      <c r="F188" s="335">
        <v>0</v>
      </c>
      <c r="G188" s="335">
        <v>0</v>
      </c>
      <c r="H188" s="335">
        <v>0</v>
      </c>
      <c r="I188" s="335">
        <f>H188*D188</f>
        <v>0</v>
      </c>
      <c r="J188" s="335">
        <f>I188*12</f>
        <v>0</v>
      </c>
      <c r="L188" s="269"/>
      <c r="M188" s="288"/>
      <c r="P188" s="334"/>
      <c r="Q188" s="362"/>
      <c r="R188" s="335"/>
      <c r="S188" s="335"/>
      <c r="U188" s="334"/>
      <c r="V188" s="362"/>
      <c r="W188" s="335"/>
      <c r="X188" s="335"/>
      <c r="Z188" s="383">
        <v>0</v>
      </c>
      <c r="AA188" s="368"/>
      <c r="AB188" s="295">
        <v>0</v>
      </c>
      <c r="AC188" s="368">
        <v>0</v>
      </c>
      <c r="AD188" s="273" t="s">
        <v>650</v>
      </c>
      <c r="AE188" s="383">
        <v>0</v>
      </c>
      <c r="AF188" s="386"/>
      <c r="AG188" s="295">
        <f>AF188*AE188</f>
        <v>0</v>
      </c>
      <c r="AH188" s="368">
        <f>AG188*12</f>
        <v>0</v>
      </c>
      <c r="AI188" s="273" t="s">
        <v>650</v>
      </c>
      <c r="AJ188" s="340">
        <v>0</v>
      </c>
      <c r="AK188" s="341"/>
      <c r="AL188" s="289"/>
      <c r="AM188" s="342"/>
      <c r="AN188" s="276"/>
      <c r="AO188" s="340">
        <v>0</v>
      </c>
      <c r="AP188" s="341">
        <v>0</v>
      </c>
      <c r="AQ188" s="289">
        <v>0</v>
      </c>
      <c r="AR188" s="342">
        <v>0</v>
      </c>
      <c r="AS188" s="276"/>
      <c r="AT188" s="340">
        <v>1</v>
      </c>
      <c r="AU188" s="341" t="e">
        <f>'[3]Recepção 2'!D151</f>
        <v>#REF!</v>
      </c>
      <c r="AV188" s="289" t="e">
        <f>AU188*AT188</f>
        <v>#REF!</v>
      </c>
      <c r="AW188" s="342" t="e">
        <f>AV188*12</f>
        <v>#REF!</v>
      </c>
      <c r="AX188" s="484">
        <v>1</v>
      </c>
      <c r="AY188" s="340">
        <v>1</v>
      </c>
      <c r="AZ188" s="340">
        <f>AX188-AY188</f>
        <v>0</v>
      </c>
      <c r="BA188" s="341">
        <f>'3-A'!D152</f>
        <v>3190.7590404208936</v>
      </c>
      <c r="BB188" s="443">
        <f>BA161</f>
        <v>3190.7590404208936</v>
      </c>
      <c r="BC188" s="342">
        <f>BB188*12</f>
        <v>38289.108485050725</v>
      </c>
    </row>
    <row r="189" spans="2:55">
      <c r="B189" s="512"/>
      <c r="C189" s="512"/>
      <c r="D189" s="279" t="e">
        <f>SUM(#REF!)</f>
        <v>#REF!</v>
      </c>
      <c r="E189" s="281"/>
      <c r="F189" s="281" t="e">
        <f>SUM(#REF!)</f>
        <v>#REF!</v>
      </c>
      <c r="G189" s="281"/>
      <c r="H189" s="281"/>
      <c r="I189" s="281" t="e">
        <f>SUM(#REF!)</f>
        <v>#REF!</v>
      </c>
      <c r="J189" s="281" t="e">
        <f>SUM(#REF!)</f>
        <v>#REF!</v>
      </c>
      <c r="K189" s="281" t="e">
        <f>SUM(#REF!)</f>
        <v>#REF!</v>
      </c>
      <c r="L189" s="281" t="e">
        <f>SUM(#REF!)</f>
        <v>#REF!</v>
      </c>
      <c r="M189" s="384"/>
      <c r="N189" s="384"/>
      <c r="P189" s="279" t="e">
        <f>SUM(#REF!)</f>
        <v>#REF!</v>
      </c>
      <c r="Q189" s="281"/>
      <c r="R189" s="375" t="e">
        <f>SUM(#REF!)</f>
        <v>#REF!</v>
      </c>
      <c r="S189" s="375" t="e">
        <f>SUM(#REF!)</f>
        <v>#REF!</v>
      </c>
      <c r="U189" s="279" t="e">
        <f>SUM(#REF!)</f>
        <v>#REF!</v>
      </c>
      <c r="V189" s="281"/>
      <c r="W189" s="375" t="e">
        <f>SUM(#REF!)</f>
        <v>#REF!</v>
      </c>
      <c r="X189" s="375" t="e">
        <f>SUM(#REF!)</f>
        <v>#REF!</v>
      </c>
      <c r="Z189" s="279">
        <v>0</v>
      </c>
      <c r="AA189" s="281"/>
      <c r="AB189" s="282">
        <v>0</v>
      </c>
      <c r="AC189" s="283">
        <v>0</v>
      </c>
      <c r="AE189" s="279">
        <f>SUM(AE188:AE188)</f>
        <v>0</v>
      </c>
      <c r="AF189" s="284"/>
      <c r="AG189" s="282">
        <f>SUM(AG188:AG188)</f>
        <v>0</v>
      </c>
      <c r="AH189" s="283">
        <f>SUM(AH188:AH188)</f>
        <v>0</v>
      </c>
      <c r="AJ189" s="279">
        <v>4</v>
      </c>
      <c r="AK189" s="284"/>
      <c r="AL189" s="282"/>
      <c r="AM189" s="283"/>
      <c r="AO189" s="279"/>
      <c r="AP189" s="284"/>
      <c r="AQ189" s="282"/>
      <c r="AR189" s="283"/>
      <c r="AT189" s="279">
        <f>SUM(AT188:AT188)</f>
        <v>1</v>
      </c>
      <c r="AU189" s="284"/>
      <c r="AV189" s="282" t="e">
        <f>SUM(AV188:AV188)</f>
        <v>#REF!</v>
      </c>
      <c r="AW189" s="283" t="e">
        <f>SUM(AW188:AW188)</f>
        <v>#REF!</v>
      </c>
      <c r="AX189" s="279">
        <f>SUM(AX188:AX188)</f>
        <v>1</v>
      </c>
      <c r="AY189" s="444"/>
      <c r="AZ189" s="444"/>
      <c r="BA189" s="284"/>
      <c r="BB189" s="437">
        <f>SUM(BB188:BB188)</f>
        <v>3190.7590404208936</v>
      </c>
      <c r="BC189" s="283">
        <f>SUM(BC188:BC188)</f>
        <v>38289.108485050725</v>
      </c>
    </row>
    <row r="190" spans="2:55">
      <c r="B190" s="410"/>
      <c r="C190" s="410"/>
      <c r="G190" s="384">
        <f>I184-F184</f>
        <v>0</v>
      </c>
      <c r="J190" s="384">
        <f>J158+J154+J147+J140+J132+J125+J119+J112+J106+J100+J94+J88+J31</f>
        <v>3594684.3600000003</v>
      </c>
      <c r="AC190" s="384">
        <f>AC158+AC154+AC147+AC140+AC132+AC125+AC119+AC112+AC106+AC100+AC94+AC88+AC31</f>
        <v>3359208.36</v>
      </c>
      <c r="AN190" s="249">
        <f>3684478.56-3687726.24</f>
        <v>-3247.6800000001676</v>
      </c>
      <c r="AR190" s="384"/>
      <c r="AW190" s="384"/>
      <c r="BC190" s="384"/>
    </row>
    <row r="191" spans="2:55">
      <c r="B191" s="382" t="s">
        <v>678</v>
      </c>
      <c r="C191" s="345" t="s">
        <v>577</v>
      </c>
      <c r="E191" s="514" t="s">
        <v>578</v>
      </c>
      <c r="F191" s="514"/>
      <c r="G191" s="514"/>
      <c r="H191" s="514" t="s">
        <v>579</v>
      </c>
      <c r="I191" s="514"/>
      <c r="J191" s="514"/>
      <c r="AA191" s="513" t="s">
        <v>571</v>
      </c>
      <c r="AB191" s="513"/>
      <c r="AC191" s="513"/>
      <c r="AF191" s="513" t="s">
        <v>641</v>
      </c>
      <c r="AG191" s="513"/>
      <c r="AH191" s="513"/>
      <c r="AK191" s="513" t="s">
        <v>573</v>
      </c>
      <c r="AL191" s="513"/>
      <c r="AM191" s="513"/>
    </row>
    <row r="192" spans="2:55" ht="47.25">
      <c r="B192" s="260" t="s">
        <v>581</v>
      </c>
      <c r="C192" s="261" t="s">
        <v>267</v>
      </c>
      <c r="D192" s="261" t="s">
        <v>582</v>
      </c>
      <c r="E192" s="261" t="s">
        <v>583</v>
      </c>
      <c r="F192" s="261" t="s">
        <v>584</v>
      </c>
      <c r="G192" s="261" t="s">
        <v>585</v>
      </c>
      <c r="H192" s="261" t="s">
        <v>583</v>
      </c>
      <c r="I192" s="261" t="s">
        <v>584</v>
      </c>
      <c r="J192" s="261" t="s">
        <v>585</v>
      </c>
      <c r="K192" s="261" t="s">
        <v>586</v>
      </c>
      <c r="L192" s="261" t="s">
        <v>587</v>
      </c>
      <c r="M192" s="261" t="s">
        <v>598</v>
      </c>
      <c r="N192" s="261" t="s">
        <v>588</v>
      </c>
      <c r="P192" s="261" t="s">
        <v>582</v>
      </c>
      <c r="Q192" s="261" t="s">
        <v>583</v>
      </c>
      <c r="R192" s="261" t="s">
        <v>584</v>
      </c>
      <c r="S192" s="261" t="s">
        <v>585</v>
      </c>
      <c r="U192" s="261" t="s">
        <v>582</v>
      </c>
      <c r="V192" s="261" t="s">
        <v>583</v>
      </c>
      <c r="W192" s="261" t="s">
        <v>584</v>
      </c>
      <c r="X192" s="261" t="s">
        <v>585</v>
      </c>
      <c r="Z192" s="261" t="s">
        <v>590</v>
      </c>
      <c r="AA192" s="261" t="s">
        <v>583</v>
      </c>
      <c r="AB192" s="261" t="s">
        <v>584</v>
      </c>
      <c r="AC192" s="261" t="s">
        <v>585</v>
      </c>
      <c r="AE192" s="261" t="s">
        <v>566</v>
      </c>
      <c r="AF192" s="262" t="s">
        <v>583</v>
      </c>
      <c r="AG192" s="261" t="s">
        <v>584</v>
      </c>
      <c r="AH192" s="261" t="s">
        <v>585</v>
      </c>
      <c r="AJ192" s="261" t="s">
        <v>566</v>
      </c>
      <c r="AK192" s="262" t="s">
        <v>583</v>
      </c>
      <c r="AL192" s="261" t="s">
        <v>584</v>
      </c>
      <c r="AM192" s="261" t="s">
        <v>585</v>
      </c>
      <c r="AO192" s="261" t="s">
        <v>566</v>
      </c>
      <c r="AP192" s="262" t="s">
        <v>583</v>
      </c>
      <c r="AQ192" s="261" t="s">
        <v>584</v>
      </c>
      <c r="AR192" s="261" t="s">
        <v>585</v>
      </c>
      <c r="AT192" s="261" t="s">
        <v>566</v>
      </c>
      <c r="AU192" s="262" t="s">
        <v>583</v>
      </c>
      <c r="AV192" s="261" t="s">
        <v>584</v>
      </c>
      <c r="AW192" s="261" t="s">
        <v>585</v>
      </c>
      <c r="AX192" s="261" t="s">
        <v>566</v>
      </c>
      <c r="AY192" s="261"/>
      <c r="AZ192" s="261"/>
      <c r="BA192" s="262" t="s">
        <v>583</v>
      </c>
      <c r="BB192" s="430" t="s">
        <v>584</v>
      </c>
      <c r="BC192" s="261" t="s">
        <v>585</v>
      </c>
    </row>
    <row r="193" spans="2:55">
      <c r="B193" s="263">
        <v>8</v>
      </c>
      <c r="C193" s="264" t="s">
        <v>594</v>
      </c>
      <c r="D193" s="292">
        <v>1</v>
      </c>
      <c r="E193" s="266">
        <v>2948.04</v>
      </c>
      <c r="F193" s="267">
        <v>8844.119999999999</v>
      </c>
      <c r="G193" s="267">
        <v>106129.43999999999</v>
      </c>
      <c r="H193" s="266">
        <f>'[3]Oficial 2'!$D$136</f>
        <v>3471.01</v>
      </c>
      <c r="I193" s="267">
        <f>D193*H193</f>
        <v>3471.01</v>
      </c>
      <c r="J193" s="267">
        <f>I193*12</f>
        <v>41652.120000000003</v>
      </c>
      <c r="K193" s="272" t="s">
        <v>591</v>
      </c>
      <c r="L193" s="269">
        <f>I193*2</f>
        <v>6942.02</v>
      </c>
      <c r="M193" s="288" t="s">
        <v>679</v>
      </c>
      <c r="N193" s="249" t="s">
        <v>680</v>
      </c>
      <c r="Z193" s="265">
        <v>1</v>
      </c>
      <c r="AA193" s="266">
        <v>3194.68</v>
      </c>
      <c r="AB193" s="267">
        <f>AA193*Z193</f>
        <v>3194.68</v>
      </c>
      <c r="AC193" s="267">
        <f>AB193*12</f>
        <v>38336.159999999996</v>
      </c>
      <c r="AE193" s="265">
        <v>1</v>
      </c>
      <c r="AF193" s="271">
        <v>3194.68</v>
      </c>
      <c r="AG193" s="267">
        <f>AF193*AE193</f>
        <v>3194.68</v>
      </c>
      <c r="AH193" s="267">
        <f>AG193*12</f>
        <v>38336.159999999996</v>
      </c>
      <c r="AJ193" s="265">
        <v>1</v>
      </c>
      <c r="AK193" s="271">
        <v>2953.93</v>
      </c>
      <c r="AL193" s="267">
        <v>2953.93</v>
      </c>
      <c r="AM193" s="267">
        <v>35447.159999999996</v>
      </c>
      <c r="AN193" s="273" t="s">
        <v>681</v>
      </c>
      <c r="AO193" s="325">
        <v>1</v>
      </c>
      <c r="AP193" s="326">
        <v>2953.93</v>
      </c>
      <c r="AQ193" s="327">
        <v>2953.93</v>
      </c>
      <c r="AR193" s="327">
        <v>35447.159999999996</v>
      </c>
      <c r="AS193" s="273" t="s">
        <v>682</v>
      </c>
      <c r="AT193" s="265">
        <v>1</v>
      </c>
      <c r="AU193" s="278">
        <f>'[3]Oficial 2'!$D$136</f>
        <v>3471.01</v>
      </c>
      <c r="AV193" s="289">
        <f>AU193*AT193</f>
        <v>3471.01</v>
      </c>
      <c r="AW193" s="289">
        <f>AV193*12</f>
        <v>41652.120000000003</v>
      </c>
      <c r="AX193" s="455">
        <v>1</v>
      </c>
      <c r="AY193" s="265">
        <v>1</v>
      </c>
      <c r="AZ193" s="265">
        <f>AX193-AY193</f>
        <v>0</v>
      </c>
      <c r="BA193" s="278">
        <f>'19-A'!D152</f>
        <v>4085.2545348211606</v>
      </c>
      <c r="BB193" s="434">
        <f>BA193*AX193</f>
        <v>4085.2545348211606</v>
      </c>
      <c r="BC193" s="289">
        <f>BB193*12</f>
        <v>49023.054417853928</v>
      </c>
    </row>
    <row r="194" spans="2:55">
      <c r="B194" s="512"/>
      <c r="C194" s="512"/>
      <c r="D194" s="279" t="e">
        <f>SUM(#REF!)</f>
        <v>#REF!</v>
      </c>
      <c r="E194" s="281"/>
      <c r="F194" s="281" t="e">
        <f>SUM(#REF!)</f>
        <v>#REF!</v>
      </c>
      <c r="G194" s="281"/>
      <c r="H194" s="281"/>
      <c r="I194" s="281" t="e">
        <f>SUM(#REF!)</f>
        <v>#REF!</v>
      </c>
      <c r="J194" s="281" t="e">
        <f>SUM(#REF!)</f>
        <v>#REF!</v>
      </c>
      <c r="K194" s="281" t="e">
        <f>SUM(#REF!)</f>
        <v>#REF!</v>
      </c>
      <c r="L194" s="281" t="e">
        <f>SUM(#REF!)</f>
        <v>#REF!</v>
      </c>
      <c r="M194" s="384"/>
      <c r="N194" s="384"/>
      <c r="P194" s="279" t="e">
        <f>SUM(#REF!)</f>
        <v>#REF!</v>
      </c>
      <c r="Q194" s="281"/>
      <c r="R194" s="375" t="e">
        <f>SUM(#REF!)</f>
        <v>#REF!</v>
      </c>
      <c r="S194" s="375" t="e">
        <f>SUM(#REF!)</f>
        <v>#REF!</v>
      </c>
      <c r="U194" s="279" t="e">
        <f>SUM(#REF!)</f>
        <v>#REF!</v>
      </c>
      <c r="V194" s="281"/>
      <c r="W194" s="375" t="e">
        <f>SUM(#REF!)</f>
        <v>#REF!</v>
      </c>
      <c r="X194" s="375" t="e">
        <f>SUM(#REF!)</f>
        <v>#REF!</v>
      </c>
      <c r="Z194" s="279">
        <v>0</v>
      </c>
      <c r="AA194" s="281"/>
      <c r="AB194" s="282">
        <v>0</v>
      </c>
      <c r="AC194" s="283">
        <v>0</v>
      </c>
      <c r="AE194" s="279" t="e">
        <f>SUM(#REF!)</f>
        <v>#REF!</v>
      </c>
      <c r="AF194" s="284"/>
      <c r="AG194" s="282" t="e">
        <f>SUM(#REF!)</f>
        <v>#REF!</v>
      </c>
      <c r="AH194" s="283" t="e">
        <f>SUM(#REF!)</f>
        <v>#REF!</v>
      </c>
      <c r="AJ194" s="279">
        <v>4</v>
      </c>
      <c r="AK194" s="284"/>
      <c r="AL194" s="282"/>
      <c r="AM194" s="283"/>
      <c r="AO194" s="279"/>
      <c r="AP194" s="284"/>
      <c r="AQ194" s="282"/>
      <c r="AR194" s="283"/>
      <c r="AT194" s="279" t="e">
        <f>SUM(#REF!)</f>
        <v>#REF!</v>
      </c>
      <c r="AU194" s="284"/>
      <c r="AV194" s="282" t="e">
        <f>SUM(#REF!)</f>
        <v>#REF!</v>
      </c>
      <c r="AW194" s="283" t="e">
        <f>SUM(#REF!)</f>
        <v>#REF!</v>
      </c>
      <c r="AX194" s="279">
        <f>AX193</f>
        <v>1</v>
      </c>
      <c r="AY194" s="444"/>
      <c r="AZ194" s="444"/>
      <c r="BA194" s="284">
        <f>BA193</f>
        <v>4085.2545348211606</v>
      </c>
      <c r="BB194" s="437">
        <f>BB193</f>
        <v>4085.2545348211606</v>
      </c>
      <c r="BC194" s="282">
        <f>BC193</f>
        <v>49023.054417853928</v>
      </c>
    </row>
    <row r="196" spans="2:55">
      <c r="B196" s="409" t="s">
        <v>683</v>
      </c>
      <c r="C196" s="345" t="s">
        <v>648</v>
      </c>
      <c r="E196" s="514" t="s">
        <v>578</v>
      </c>
      <c r="F196" s="514"/>
      <c r="G196" s="514"/>
      <c r="H196" s="514" t="s">
        <v>579</v>
      </c>
      <c r="I196" s="514"/>
      <c r="J196" s="514"/>
      <c r="S196" s="515"/>
      <c r="T196" s="515"/>
      <c r="U196" s="515"/>
      <c r="V196" s="515"/>
      <c r="W196" s="515"/>
      <c r="X196" s="515"/>
      <c r="AA196" s="513" t="s">
        <v>571</v>
      </c>
      <c r="AB196" s="513"/>
      <c r="AC196" s="513"/>
      <c r="AF196" s="513" t="s">
        <v>641</v>
      </c>
      <c r="AG196" s="513"/>
      <c r="AH196" s="513"/>
      <c r="AK196" s="513" t="s">
        <v>573</v>
      </c>
      <c r="AL196" s="513"/>
      <c r="AM196" s="513"/>
    </row>
    <row r="197" spans="2:55" ht="47.25">
      <c r="B197" s="260" t="s">
        <v>581</v>
      </c>
      <c r="C197" s="261" t="s">
        <v>267</v>
      </c>
      <c r="D197" s="261" t="s">
        <v>582</v>
      </c>
      <c r="E197" s="261" t="s">
        <v>583</v>
      </c>
      <c r="F197" s="261" t="s">
        <v>584</v>
      </c>
      <c r="G197" s="261" t="s">
        <v>585</v>
      </c>
      <c r="H197" s="261" t="s">
        <v>583</v>
      </c>
      <c r="I197" s="261" t="s">
        <v>584</v>
      </c>
      <c r="J197" s="261" t="s">
        <v>585</v>
      </c>
      <c r="K197" s="261" t="s">
        <v>586</v>
      </c>
      <c r="L197" s="261" t="s">
        <v>587</v>
      </c>
      <c r="M197" s="261" t="s">
        <v>598</v>
      </c>
      <c r="N197" s="261" t="s">
        <v>588</v>
      </c>
      <c r="P197" s="261" t="s">
        <v>582</v>
      </c>
      <c r="Q197" s="261" t="s">
        <v>583</v>
      </c>
      <c r="R197" s="261" t="s">
        <v>584</v>
      </c>
      <c r="S197" s="261" t="s">
        <v>585</v>
      </c>
      <c r="U197" s="261" t="s">
        <v>582</v>
      </c>
      <c r="V197" s="261" t="s">
        <v>583</v>
      </c>
      <c r="W197" s="261" t="s">
        <v>584</v>
      </c>
      <c r="X197" s="261" t="s">
        <v>585</v>
      </c>
      <c r="Z197" s="261" t="s">
        <v>590</v>
      </c>
      <c r="AA197" s="261" t="s">
        <v>583</v>
      </c>
      <c r="AB197" s="261" t="s">
        <v>584</v>
      </c>
      <c r="AC197" s="261" t="s">
        <v>585</v>
      </c>
      <c r="AE197" s="261" t="s">
        <v>566</v>
      </c>
      <c r="AF197" s="262" t="s">
        <v>583</v>
      </c>
      <c r="AG197" s="261" t="s">
        <v>584</v>
      </c>
      <c r="AH197" s="261" t="s">
        <v>585</v>
      </c>
      <c r="AJ197" s="261" t="s">
        <v>566</v>
      </c>
      <c r="AK197" s="262" t="s">
        <v>583</v>
      </c>
      <c r="AL197" s="261" t="s">
        <v>584</v>
      </c>
      <c r="AM197" s="261" t="s">
        <v>585</v>
      </c>
      <c r="AO197" s="261" t="s">
        <v>566</v>
      </c>
      <c r="AP197" s="262" t="s">
        <v>583</v>
      </c>
      <c r="AQ197" s="261" t="s">
        <v>584</v>
      </c>
      <c r="AR197" s="261" t="s">
        <v>585</v>
      </c>
      <c r="AT197" s="261" t="s">
        <v>566</v>
      </c>
      <c r="AU197" s="262" t="s">
        <v>583</v>
      </c>
      <c r="AV197" s="261" t="s">
        <v>584</v>
      </c>
      <c r="AW197" s="261" t="s">
        <v>585</v>
      </c>
      <c r="AX197" s="261" t="s">
        <v>566</v>
      </c>
      <c r="AY197" s="261"/>
      <c r="AZ197" s="261"/>
      <c r="BA197" s="262" t="s">
        <v>583</v>
      </c>
      <c r="BB197" s="430" t="s">
        <v>584</v>
      </c>
      <c r="BC197" s="261" t="s">
        <v>585</v>
      </c>
    </row>
    <row r="198" spans="2:55">
      <c r="B198" s="472">
        <v>2</v>
      </c>
      <c r="C198" s="473" t="s">
        <v>1</v>
      </c>
      <c r="D198" s="474">
        <v>0</v>
      </c>
      <c r="E198" s="476">
        <v>0</v>
      </c>
      <c r="F198" s="476">
        <v>0</v>
      </c>
      <c r="G198" s="476">
        <v>0</v>
      </c>
      <c r="H198" s="476">
        <v>0</v>
      </c>
      <c r="I198" s="476">
        <f>H198*D198</f>
        <v>0</v>
      </c>
      <c r="J198" s="476">
        <f>I198*12</f>
        <v>0</v>
      </c>
      <c r="K198" s="477"/>
      <c r="L198" s="478"/>
      <c r="M198" s="479"/>
      <c r="N198" s="480"/>
      <c r="O198" s="480"/>
      <c r="P198" s="474"/>
      <c r="Q198" s="475"/>
      <c r="R198" s="476"/>
      <c r="S198" s="476"/>
      <c r="T198" s="480"/>
      <c r="U198" s="474"/>
      <c r="V198" s="475"/>
      <c r="W198" s="476"/>
      <c r="X198" s="476"/>
      <c r="Y198" s="480"/>
      <c r="Z198" s="474">
        <v>0</v>
      </c>
      <c r="AA198" s="476"/>
      <c r="AB198" s="481">
        <v>0</v>
      </c>
      <c r="AC198" s="476">
        <v>0</v>
      </c>
      <c r="AD198" s="480" t="s">
        <v>650</v>
      </c>
      <c r="AE198" s="474">
        <v>0</v>
      </c>
      <c r="AF198" s="485"/>
      <c r="AG198" s="481">
        <f>AF198*AE198</f>
        <v>0</v>
      </c>
      <c r="AH198" s="476">
        <f>AG198*12</f>
        <v>0</v>
      </c>
      <c r="AI198" s="480" t="s">
        <v>650</v>
      </c>
      <c r="AJ198" s="474">
        <v>0</v>
      </c>
      <c r="AK198" s="485"/>
      <c r="AL198" s="481"/>
      <c r="AM198" s="476"/>
      <c r="AN198" s="480"/>
      <c r="AO198" s="474">
        <v>0</v>
      </c>
      <c r="AP198" s="485">
        <v>0</v>
      </c>
      <c r="AQ198" s="481">
        <v>0</v>
      </c>
      <c r="AR198" s="476">
        <v>0</v>
      </c>
      <c r="AS198" s="480"/>
      <c r="AT198" s="474">
        <v>1</v>
      </c>
      <c r="AU198" s="485" t="e">
        <f>'[3]Recepção 2'!D161</f>
        <v>#REF!</v>
      </c>
      <c r="AV198" s="481" t="e">
        <f>AU198*AT198</f>
        <v>#REF!</v>
      </c>
      <c r="AW198" s="476" t="e">
        <f>AV198*12</f>
        <v>#REF!</v>
      </c>
      <c r="AX198" s="474">
        <v>1</v>
      </c>
      <c r="AY198" s="474">
        <v>0</v>
      </c>
      <c r="AZ198" s="474">
        <f>AX198-AY198</f>
        <v>1</v>
      </c>
      <c r="BA198" s="485">
        <f>'3-A'!D152</f>
        <v>3190.7590404208936</v>
      </c>
      <c r="BB198" s="486">
        <f>BA198</f>
        <v>3190.7590404208936</v>
      </c>
      <c r="BC198" s="476">
        <f>BB198*12</f>
        <v>38289.108485050725</v>
      </c>
    </row>
    <row r="199" spans="2:55">
      <c r="B199" s="512"/>
      <c r="C199" s="512"/>
      <c r="D199" s="279" t="e">
        <f>SUM(#REF!)</f>
        <v>#REF!</v>
      </c>
      <c r="E199" s="281"/>
      <c r="F199" s="281" t="e">
        <f>SUM(#REF!)</f>
        <v>#REF!</v>
      </c>
      <c r="G199" s="281"/>
      <c r="H199" s="281"/>
      <c r="I199" s="281" t="e">
        <f>SUM(#REF!)</f>
        <v>#REF!</v>
      </c>
      <c r="J199" s="281" t="e">
        <f>SUM(#REF!)</f>
        <v>#REF!</v>
      </c>
      <c r="K199" s="281" t="e">
        <f>SUM(#REF!)</f>
        <v>#REF!</v>
      </c>
      <c r="L199" s="281" t="e">
        <f>SUM(#REF!)</f>
        <v>#REF!</v>
      </c>
      <c r="M199" s="384"/>
      <c r="N199" s="384"/>
      <c r="P199" s="279" t="e">
        <f>SUM(#REF!)</f>
        <v>#REF!</v>
      </c>
      <c r="Q199" s="281"/>
      <c r="R199" s="375" t="e">
        <f>SUM(#REF!)</f>
        <v>#REF!</v>
      </c>
      <c r="S199" s="375" t="e">
        <f>SUM(#REF!)</f>
        <v>#REF!</v>
      </c>
      <c r="U199" s="279" t="e">
        <f>SUM(#REF!)</f>
        <v>#REF!</v>
      </c>
      <c r="V199" s="281"/>
      <c r="W199" s="375" t="e">
        <f>SUM(#REF!)</f>
        <v>#REF!</v>
      </c>
      <c r="X199" s="375" t="e">
        <f>SUM(#REF!)</f>
        <v>#REF!</v>
      </c>
      <c r="Z199" s="279">
        <v>0</v>
      </c>
      <c r="AA199" s="281"/>
      <c r="AB199" s="282">
        <v>0</v>
      </c>
      <c r="AC199" s="283">
        <v>0</v>
      </c>
      <c r="AE199" s="279">
        <f>SUM(AE198:AE198)</f>
        <v>0</v>
      </c>
      <c r="AF199" s="284"/>
      <c r="AG199" s="282">
        <f>SUM(AG198:AG198)</f>
        <v>0</v>
      </c>
      <c r="AH199" s="283">
        <f>SUM(AH198:AH198)</f>
        <v>0</v>
      </c>
      <c r="AJ199" s="279">
        <v>4</v>
      </c>
      <c r="AK199" s="284"/>
      <c r="AL199" s="282"/>
      <c r="AM199" s="283"/>
      <c r="AO199" s="279"/>
      <c r="AP199" s="284"/>
      <c r="AQ199" s="282"/>
      <c r="AR199" s="283"/>
      <c r="AT199" s="279">
        <f>SUM(AT198:AT198)</f>
        <v>1</v>
      </c>
      <c r="AU199" s="284"/>
      <c r="AV199" s="282" t="e">
        <f>SUM(AV198:AV198)</f>
        <v>#REF!</v>
      </c>
      <c r="AW199" s="283" t="e">
        <f>SUM(AW198:AW198)</f>
        <v>#REF!</v>
      </c>
      <c r="AX199" s="279">
        <f>SUM(AX198:AX198)</f>
        <v>1</v>
      </c>
      <c r="AY199" s="444"/>
      <c r="AZ199" s="444"/>
      <c r="BA199" s="284"/>
      <c r="BB199" s="437">
        <f>SUM(BB198:BB198)</f>
        <v>3190.7590404208936</v>
      </c>
      <c r="BC199" s="283">
        <f>SUM(BC198:BC198)</f>
        <v>38289.108485050725</v>
      </c>
    </row>
    <row r="201" spans="2:55">
      <c r="B201" s="409" t="s">
        <v>684</v>
      </c>
      <c r="C201" s="345" t="s">
        <v>658</v>
      </c>
      <c r="E201" s="514" t="s">
        <v>578</v>
      </c>
      <c r="F201" s="514"/>
      <c r="G201" s="514"/>
      <c r="H201" s="514" t="s">
        <v>579</v>
      </c>
      <c r="I201" s="514"/>
      <c r="J201" s="514"/>
      <c r="S201" s="515"/>
      <c r="T201" s="515"/>
      <c r="U201" s="515"/>
      <c r="V201" s="515"/>
      <c r="W201" s="515"/>
      <c r="X201" s="515"/>
      <c r="AA201" s="513" t="s">
        <v>571</v>
      </c>
      <c r="AB201" s="513"/>
      <c r="AC201" s="513"/>
      <c r="AF201" s="513" t="s">
        <v>641</v>
      </c>
      <c r="AG201" s="513"/>
      <c r="AH201" s="513"/>
      <c r="AK201" s="513" t="s">
        <v>573</v>
      </c>
      <c r="AL201" s="513"/>
      <c r="AM201" s="513"/>
    </row>
    <row r="202" spans="2:55" ht="47.25">
      <c r="B202" s="260" t="s">
        <v>581</v>
      </c>
      <c r="C202" s="261" t="s">
        <v>267</v>
      </c>
      <c r="D202" s="261" t="s">
        <v>582</v>
      </c>
      <c r="E202" s="261" t="s">
        <v>583</v>
      </c>
      <c r="F202" s="261" t="s">
        <v>584</v>
      </c>
      <c r="G202" s="261" t="s">
        <v>585</v>
      </c>
      <c r="H202" s="261" t="s">
        <v>583</v>
      </c>
      <c r="I202" s="261" t="s">
        <v>584</v>
      </c>
      <c r="J202" s="261" t="s">
        <v>585</v>
      </c>
      <c r="K202" s="261" t="s">
        <v>586</v>
      </c>
      <c r="L202" s="261" t="s">
        <v>587</v>
      </c>
      <c r="M202" s="261" t="s">
        <v>598</v>
      </c>
      <c r="N202" s="261" t="s">
        <v>588</v>
      </c>
      <c r="P202" s="261" t="s">
        <v>582</v>
      </c>
      <c r="Q202" s="261" t="s">
        <v>583</v>
      </c>
      <c r="R202" s="261" t="s">
        <v>584</v>
      </c>
      <c r="S202" s="261" t="s">
        <v>585</v>
      </c>
      <c r="U202" s="261" t="s">
        <v>582</v>
      </c>
      <c r="V202" s="261" t="s">
        <v>583</v>
      </c>
      <c r="W202" s="261" t="s">
        <v>584</v>
      </c>
      <c r="X202" s="261" t="s">
        <v>585</v>
      </c>
      <c r="Z202" s="261" t="s">
        <v>590</v>
      </c>
      <c r="AA202" s="261" t="s">
        <v>583</v>
      </c>
      <c r="AB202" s="261" t="s">
        <v>584</v>
      </c>
      <c r="AC202" s="261" t="s">
        <v>585</v>
      </c>
      <c r="AE202" s="261" t="s">
        <v>566</v>
      </c>
      <c r="AF202" s="262" t="s">
        <v>583</v>
      </c>
      <c r="AG202" s="261" t="s">
        <v>584</v>
      </c>
      <c r="AH202" s="261" t="s">
        <v>585</v>
      </c>
      <c r="AJ202" s="261" t="s">
        <v>566</v>
      </c>
      <c r="AK202" s="262" t="s">
        <v>583</v>
      </c>
      <c r="AL202" s="261" t="s">
        <v>584</v>
      </c>
      <c r="AM202" s="261" t="s">
        <v>585</v>
      </c>
      <c r="AO202" s="261" t="s">
        <v>566</v>
      </c>
      <c r="AP202" s="262" t="s">
        <v>583</v>
      </c>
      <c r="AQ202" s="261" t="s">
        <v>584</v>
      </c>
      <c r="AR202" s="261" t="s">
        <v>585</v>
      </c>
      <c r="AT202" s="261" t="s">
        <v>566</v>
      </c>
      <c r="AU202" s="262" t="s">
        <v>583</v>
      </c>
      <c r="AV202" s="261" t="s">
        <v>584</v>
      </c>
      <c r="AW202" s="261" t="s">
        <v>585</v>
      </c>
      <c r="AX202" s="261" t="s">
        <v>566</v>
      </c>
      <c r="AY202" s="261"/>
      <c r="AZ202" s="261"/>
      <c r="BA202" s="262" t="s">
        <v>583</v>
      </c>
      <c r="BB202" s="430" t="s">
        <v>584</v>
      </c>
      <c r="BC202" s="261" t="s">
        <v>585</v>
      </c>
    </row>
    <row r="203" spans="2:55" ht="16.5" thickBot="1">
      <c r="B203" s="472">
        <v>5</v>
      </c>
      <c r="C203" s="473" t="s">
        <v>562</v>
      </c>
      <c r="D203" s="474">
        <v>1</v>
      </c>
      <c r="E203" s="476">
        <v>1774.11</v>
      </c>
      <c r="F203" s="476">
        <v>1774.11</v>
      </c>
      <c r="G203" s="476">
        <v>21289.32</v>
      </c>
      <c r="H203" s="476">
        <f>'[3]ASG 5'!$D$137</f>
        <v>2375.4299999999998</v>
      </c>
      <c r="I203" s="476">
        <f>H203*D203</f>
        <v>2375.4299999999998</v>
      </c>
      <c r="J203" s="476">
        <f>I203*12</f>
        <v>28505.159999999996</v>
      </c>
      <c r="K203" s="477"/>
      <c r="L203" s="478">
        <f>I203*2</f>
        <v>4750.8599999999997</v>
      </c>
      <c r="M203" s="479">
        <v>802060</v>
      </c>
      <c r="N203" s="480" t="s">
        <v>602</v>
      </c>
      <c r="O203" s="480"/>
      <c r="P203" s="487">
        <v>1</v>
      </c>
      <c r="Q203" s="488">
        <v>2413.92</v>
      </c>
      <c r="R203" s="488">
        <f>Q203*P203</f>
        <v>2413.92</v>
      </c>
      <c r="S203" s="488">
        <f>R203*12</f>
        <v>28967.040000000001</v>
      </c>
      <c r="T203" s="480"/>
      <c r="U203" s="489">
        <v>1</v>
      </c>
      <c r="V203" s="488">
        <f>'[3]ASG 5'!$D$137</f>
        <v>2375.4299999999998</v>
      </c>
      <c r="W203" s="488">
        <f>V203*U203</f>
        <v>2375.4299999999998</v>
      </c>
      <c r="X203" s="488">
        <f>W203*12</f>
        <v>28505.159999999996</v>
      </c>
      <c r="Y203" s="480"/>
      <c r="Z203" s="474">
        <v>1</v>
      </c>
      <c r="AA203" s="476">
        <v>1774.11</v>
      </c>
      <c r="AB203" s="481">
        <v>1774.11</v>
      </c>
      <c r="AC203" s="476">
        <v>21289.32</v>
      </c>
      <c r="AD203" s="480"/>
      <c r="AE203" s="474">
        <v>1</v>
      </c>
      <c r="AF203" s="485">
        <v>1979.13</v>
      </c>
      <c r="AG203" s="481">
        <v>1979.13</v>
      </c>
      <c r="AH203" s="476">
        <v>23749.56</v>
      </c>
      <c r="AI203" s="480"/>
      <c r="AJ203" s="474">
        <v>1</v>
      </c>
      <c r="AK203" s="485">
        <v>1979.13</v>
      </c>
      <c r="AL203" s="481">
        <v>1979.13</v>
      </c>
      <c r="AM203" s="476">
        <v>23749.56</v>
      </c>
      <c r="AN203" s="480"/>
      <c r="AO203" s="474">
        <v>1</v>
      </c>
      <c r="AP203" s="485">
        <v>1979.13</v>
      </c>
      <c r="AQ203" s="481">
        <v>1979.13</v>
      </c>
      <c r="AR203" s="476">
        <v>23749.56</v>
      </c>
      <c r="AS203" s="480"/>
      <c r="AT203" s="474">
        <v>1</v>
      </c>
      <c r="AU203" s="485">
        <f>'[3]ASG 5'!$D$137</f>
        <v>2375.4299999999998</v>
      </c>
      <c r="AV203" s="481">
        <f>AU203*AT203</f>
        <v>2375.4299999999998</v>
      </c>
      <c r="AW203" s="476">
        <f>AV203*12</f>
        <v>28505.159999999996</v>
      </c>
      <c r="AX203" s="474">
        <v>1</v>
      </c>
      <c r="AY203" s="474">
        <v>0</v>
      </c>
      <c r="AZ203" s="474">
        <f>AX203-AY203</f>
        <v>1</v>
      </c>
      <c r="BA203" s="485">
        <f>'16-A'!D152</f>
        <v>2848.1724234293483</v>
      </c>
      <c r="BB203" s="483">
        <f>BA203*AX203</f>
        <v>2848.1724234293483</v>
      </c>
      <c r="BC203" s="476">
        <f>BB203*12</f>
        <v>34178.069081152178</v>
      </c>
    </row>
    <row r="204" spans="2:55">
      <c r="B204" s="512"/>
      <c r="C204" s="512"/>
      <c r="D204" s="279" t="e">
        <f>SUM(#REF!)</f>
        <v>#REF!</v>
      </c>
      <c r="E204" s="281"/>
      <c r="F204" s="281" t="e">
        <f>SUM(#REF!)</f>
        <v>#REF!</v>
      </c>
      <c r="G204" s="281"/>
      <c r="H204" s="281"/>
      <c r="I204" s="281" t="e">
        <f>SUM(#REF!)</f>
        <v>#REF!</v>
      </c>
      <c r="J204" s="281" t="e">
        <f>SUM(#REF!)</f>
        <v>#REF!</v>
      </c>
      <c r="K204" s="281" t="e">
        <f>SUM(#REF!)</f>
        <v>#REF!</v>
      </c>
      <c r="L204" s="281" t="e">
        <f>SUM(#REF!)</f>
        <v>#REF!</v>
      </c>
      <c r="M204" s="384"/>
      <c r="N204" s="384"/>
      <c r="P204" s="279" t="e">
        <f>SUM(#REF!)</f>
        <v>#REF!</v>
      </c>
      <c r="Q204" s="281"/>
      <c r="R204" s="375" t="e">
        <f>SUM(#REF!)</f>
        <v>#REF!</v>
      </c>
      <c r="S204" s="375" t="e">
        <f>SUM(#REF!)</f>
        <v>#REF!</v>
      </c>
      <c r="U204" s="279" t="e">
        <f>SUM(#REF!)</f>
        <v>#REF!</v>
      </c>
      <c r="V204" s="281"/>
      <c r="W204" s="375" t="e">
        <f>SUM(#REF!)</f>
        <v>#REF!</v>
      </c>
      <c r="X204" s="375" t="e">
        <f>SUM(#REF!)</f>
        <v>#REF!</v>
      </c>
      <c r="Z204" s="279">
        <v>0</v>
      </c>
      <c r="AA204" s="281"/>
      <c r="AB204" s="282">
        <v>0</v>
      </c>
      <c r="AC204" s="283">
        <v>0</v>
      </c>
      <c r="AE204" s="279">
        <f>SUM(AE203:AE203)</f>
        <v>1</v>
      </c>
      <c r="AF204" s="284"/>
      <c r="AG204" s="282">
        <f>SUM(AG203:AG203)</f>
        <v>1979.13</v>
      </c>
      <c r="AH204" s="283">
        <f>SUM(AH203:AH203)</f>
        <v>23749.56</v>
      </c>
      <c r="AJ204" s="279">
        <v>4</v>
      </c>
      <c r="AK204" s="284"/>
      <c r="AL204" s="282"/>
      <c r="AM204" s="283"/>
      <c r="AO204" s="279"/>
      <c r="AP204" s="284"/>
      <c r="AQ204" s="282"/>
      <c r="AR204" s="283"/>
      <c r="AT204" s="279">
        <f>SUM(AT203:AT203)</f>
        <v>1</v>
      </c>
      <c r="AU204" s="284"/>
      <c r="AV204" s="282">
        <f>SUM(AV203:AV203)</f>
        <v>2375.4299999999998</v>
      </c>
      <c r="AW204" s="283">
        <f>SUM(AW203:AW203)</f>
        <v>28505.159999999996</v>
      </c>
      <c r="AX204" s="279">
        <f>SUM(AX203:AX203)</f>
        <v>1</v>
      </c>
      <c r="AY204" s="444"/>
      <c r="AZ204" s="444"/>
      <c r="BA204" s="284"/>
      <c r="BB204" s="437">
        <f>SUM(BB203:BB203)</f>
        <v>2848.1724234293483</v>
      </c>
      <c r="BC204" s="283">
        <f>SUM(BC203:BC203)</f>
        <v>34178.069081152178</v>
      </c>
    </row>
    <row r="206" spans="2:55">
      <c r="B206" s="409" t="s">
        <v>685</v>
      </c>
      <c r="C206" s="345" t="s">
        <v>577</v>
      </c>
      <c r="E206" s="514" t="s">
        <v>578</v>
      </c>
      <c r="F206" s="514"/>
      <c r="G206" s="514"/>
      <c r="H206" s="514" t="s">
        <v>579</v>
      </c>
      <c r="I206" s="514"/>
      <c r="J206" s="514"/>
      <c r="S206" s="515"/>
      <c r="T206" s="515"/>
      <c r="U206" s="515"/>
      <c r="V206" s="515"/>
      <c r="W206" s="515"/>
      <c r="X206" s="515"/>
      <c r="AA206" s="513" t="s">
        <v>571</v>
      </c>
      <c r="AB206" s="513"/>
      <c r="AC206" s="513"/>
      <c r="AF206" s="513" t="s">
        <v>641</v>
      </c>
      <c r="AG206" s="513"/>
      <c r="AH206" s="513"/>
      <c r="AK206" s="513" t="s">
        <v>573</v>
      </c>
      <c r="AL206" s="513"/>
      <c r="AM206" s="513"/>
    </row>
    <row r="207" spans="2:55" ht="47.25">
      <c r="B207" s="260" t="s">
        <v>581</v>
      </c>
      <c r="C207" s="261" t="s">
        <v>267</v>
      </c>
      <c r="D207" s="261" t="s">
        <v>582</v>
      </c>
      <c r="E207" s="261" t="s">
        <v>583</v>
      </c>
      <c r="F207" s="261" t="s">
        <v>584</v>
      </c>
      <c r="G207" s="261" t="s">
        <v>585</v>
      </c>
      <c r="H207" s="261" t="s">
        <v>583</v>
      </c>
      <c r="I207" s="261" t="s">
        <v>584</v>
      </c>
      <c r="J207" s="261" t="s">
        <v>585</v>
      </c>
      <c r="K207" s="261" t="s">
        <v>586</v>
      </c>
      <c r="L207" s="261" t="s">
        <v>587</v>
      </c>
      <c r="M207" s="261" t="s">
        <v>598</v>
      </c>
      <c r="N207" s="261" t="s">
        <v>588</v>
      </c>
      <c r="P207" s="261" t="s">
        <v>582</v>
      </c>
      <c r="Q207" s="261" t="s">
        <v>583</v>
      </c>
      <c r="R207" s="261" t="s">
        <v>584</v>
      </c>
      <c r="S207" s="261" t="s">
        <v>585</v>
      </c>
      <c r="U207" s="261" t="s">
        <v>582</v>
      </c>
      <c r="V207" s="261" t="s">
        <v>583</v>
      </c>
      <c r="W207" s="261" t="s">
        <v>584</v>
      </c>
      <c r="X207" s="261" t="s">
        <v>585</v>
      </c>
      <c r="Z207" s="261" t="s">
        <v>590</v>
      </c>
      <c r="AA207" s="261" t="s">
        <v>583</v>
      </c>
      <c r="AB207" s="261" t="s">
        <v>584</v>
      </c>
      <c r="AC207" s="261" t="s">
        <v>585</v>
      </c>
      <c r="AE207" s="261" t="s">
        <v>566</v>
      </c>
      <c r="AF207" s="262" t="s">
        <v>583</v>
      </c>
      <c r="AG207" s="261" t="s">
        <v>584</v>
      </c>
      <c r="AH207" s="261" t="s">
        <v>585</v>
      </c>
      <c r="AJ207" s="261" t="s">
        <v>566</v>
      </c>
      <c r="AK207" s="262" t="s">
        <v>583</v>
      </c>
      <c r="AL207" s="261" t="s">
        <v>584</v>
      </c>
      <c r="AM207" s="261" t="s">
        <v>585</v>
      </c>
      <c r="AO207" s="261" t="s">
        <v>566</v>
      </c>
      <c r="AP207" s="262" t="s">
        <v>583</v>
      </c>
      <c r="AQ207" s="261" t="s">
        <v>584</v>
      </c>
      <c r="AR207" s="261" t="s">
        <v>585</v>
      </c>
      <c r="AT207" s="261" t="s">
        <v>566</v>
      </c>
      <c r="AU207" s="262" t="s">
        <v>583</v>
      </c>
      <c r="AV207" s="261" t="s">
        <v>584</v>
      </c>
      <c r="AW207" s="261" t="s">
        <v>585</v>
      </c>
      <c r="AX207" s="261" t="s">
        <v>566</v>
      </c>
      <c r="AY207" s="261"/>
      <c r="AZ207" s="261"/>
      <c r="BA207" s="262" t="s">
        <v>583</v>
      </c>
      <c r="BB207" s="430" t="s">
        <v>584</v>
      </c>
      <c r="BC207" s="261" t="s">
        <v>585</v>
      </c>
    </row>
    <row r="208" spans="2:55">
      <c r="B208" s="263">
        <v>4</v>
      </c>
      <c r="C208" s="264" t="s">
        <v>2</v>
      </c>
      <c r="D208" s="265">
        <v>4</v>
      </c>
      <c r="E208" s="266">
        <v>2469.9499999999998</v>
      </c>
      <c r="F208" s="267">
        <v>9879.7999999999993</v>
      </c>
      <c r="G208" s="267">
        <v>118557.59999999999</v>
      </c>
      <c r="H208" s="266">
        <f>'[3]Porteiro 2'!$D$137</f>
        <v>3292.56</v>
      </c>
      <c r="I208" s="267">
        <f t="shared" ref="I208" si="128">D208*H208</f>
        <v>13170.24</v>
      </c>
      <c r="J208" s="267">
        <f t="shared" ref="J208" si="129">I208*12</f>
        <v>158042.88</v>
      </c>
      <c r="K208" s="272" t="s">
        <v>591</v>
      </c>
      <c r="L208" s="269">
        <f t="shared" ref="L208" si="130">I208*2</f>
        <v>26340.48</v>
      </c>
      <c r="M208" s="288">
        <v>802050</v>
      </c>
      <c r="N208" s="249" t="s">
        <v>602</v>
      </c>
      <c r="Z208" s="265">
        <v>4</v>
      </c>
      <c r="AA208" s="266">
        <v>2469.9499999999998</v>
      </c>
      <c r="AB208" s="267">
        <v>9879.7999999999993</v>
      </c>
      <c r="AC208" s="267">
        <v>118557.59999999999</v>
      </c>
      <c r="AE208" s="265">
        <v>4</v>
      </c>
      <c r="AF208" s="271">
        <v>2785.89</v>
      </c>
      <c r="AG208" s="267">
        <v>11143.56</v>
      </c>
      <c r="AH208" s="267">
        <v>133722.72</v>
      </c>
      <c r="AJ208" s="265">
        <v>4</v>
      </c>
      <c r="AK208" s="271">
        <v>2785.89</v>
      </c>
      <c r="AL208" s="267">
        <v>11143.56</v>
      </c>
      <c r="AM208" s="267">
        <v>133722.72</v>
      </c>
      <c r="AO208" s="325">
        <v>6</v>
      </c>
      <c r="AP208" s="326">
        <v>2785.89</v>
      </c>
      <c r="AQ208" s="327">
        <v>16715.34</v>
      </c>
      <c r="AR208" s="327">
        <v>200584.08000000002</v>
      </c>
      <c r="AS208" s="273" t="s">
        <v>645</v>
      </c>
      <c r="AT208" s="265">
        <f>4+2</f>
        <v>6</v>
      </c>
      <c r="AU208" s="278">
        <f>'[3]Porteiro 2'!$D$137</f>
        <v>3292.56</v>
      </c>
      <c r="AV208" s="289">
        <f t="shared" ref="AV208" si="131">AU208*AT208</f>
        <v>19755.36</v>
      </c>
      <c r="AW208" s="289">
        <f t="shared" ref="AW208" si="132">AV208*12</f>
        <v>237064.32000000001</v>
      </c>
      <c r="AX208" s="348">
        <v>1</v>
      </c>
      <c r="AY208" s="328">
        <v>1</v>
      </c>
      <c r="AZ208" s="328">
        <f>AX208-AY208</f>
        <v>0</v>
      </c>
      <c r="BA208" s="278">
        <f>'9-A'!D152</f>
        <v>3950.6876172993393</v>
      </c>
      <c r="BB208" s="434">
        <f t="shared" ref="BB208" si="133">BA208*AX208</f>
        <v>3950.6876172993393</v>
      </c>
      <c r="BC208" s="289">
        <f t="shared" ref="BC208" si="134">BB208*12</f>
        <v>47408.25140759207</v>
      </c>
    </row>
    <row r="209" spans="2:55">
      <c r="B209" s="512"/>
      <c r="C209" s="512"/>
      <c r="D209" s="279" t="e">
        <f>SUM(#REF!)</f>
        <v>#REF!</v>
      </c>
      <c r="E209" s="281"/>
      <c r="F209" s="281" t="e">
        <f>SUM(#REF!)</f>
        <v>#REF!</v>
      </c>
      <c r="G209" s="281"/>
      <c r="H209" s="281"/>
      <c r="I209" s="281" t="e">
        <f>SUM(#REF!)</f>
        <v>#REF!</v>
      </c>
      <c r="J209" s="281" t="e">
        <f>SUM(#REF!)</f>
        <v>#REF!</v>
      </c>
      <c r="K209" s="281" t="e">
        <f>SUM(#REF!)</f>
        <v>#REF!</v>
      </c>
      <c r="L209" s="281" t="e">
        <f>SUM(#REF!)</f>
        <v>#REF!</v>
      </c>
      <c r="M209" s="384"/>
      <c r="N209" s="384"/>
      <c r="P209" s="279" t="e">
        <f>SUM(#REF!)</f>
        <v>#REF!</v>
      </c>
      <c r="Q209" s="281"/>
      <c r="R209" s="375" t="e">
        <f>SUM(#REF!)</f>
        <v>#REF!</v>
      </c>
      <c r="S209" s="375" t="e">
        <f>SUM(#REF!)</f>
        <v>#REF!</v>
      </c>
      <c r="U209" s="279" t="e">
        <f>SUM(#REF!)</f>
        <v>#REF!</v>
      </c>
      <c r="V209" s="281"/>
      <c r="W209" s="375" t="e">
        <f>SUM(#REF!)</f>
        <v>#REF!</v>
      </c>
      <c r="X209" s="375" t="e">
        <f>SUM(#REF!)</f>
        <v>#REF!</v>
      </c>
      <c r="Z209" s="279">
        <v>0</v>
      </c>
      <c r="AA209" s="281"/>
      <c r="AB209" s="282">
        <v>0</v>
      </c>
      <c r="AC209" s="283">
        <v>0</v>
      </c>
      <c r="AE209" s="279">
        <f>SUM(AE208:AE208)</f>
        <v>4</v>
      </c>
      <c r="AF209" s="284"/>
      <c r="AG209" s="282">
        <f>SUM(AG208:AG208)</f>
        <v>11143.56</v>
      </c>
      <c r="AH209" s="283">
        <f>SUM(AH208:AH208)</f>
        <v>133722.72</v>
      </c>
      <c r="AJ209" s="279">
        <v>4</v>
      </c>
      <c r="AK209" s="284"/>
      <c r="AL209" s="282"/>
      <c r="AM209" s="283"/>
      <c r="AO209" s="279"/>
      <c r="AP209" s="284"/>
      <c r="AQ209" s="282"/>
      <c r="AR209" s="283"/>
      <c r="AT209" s="279">
        <f>SUM(AT208:AT208)</f>
        <v>6</v>
      </c>
      <c r="AU209" s="284"/>
      <c r="AV209" s="282">
        <f>SUM(AV208:AV208)</f>
        <v>19755.36</v>
      </c>
      <c r="AW209" s="283">
        <f>SUM(AW208:AW208)</f>
        <v>237064.32000000001</v>
      </c>
      <c r="AX209" s="279">
        <f>SUM(AX208:AX208)</f>
        <v>1</v>
      </c>
      <c r="AY209" s="444"/>
      <c r="AZ209" s="444"/>
      <c r="BA209" s="284"/>
      <c r="BB209" s="437">
        <f>SUM(BB208:BB208)</f>
        <v>3950.6876172993393</v>
      </c>
      <c r="BC209" s="283">
        <f>SUM(BC208:BC208)</f>
        <v>47408.25140759207</v>
      </c>
    </row>
  </sheetData>
  <mergeCells count="109">
    <mergeCell ref="B18:C18"/>
    <mergeCell ref="B19:X19"/>
    <mergeCell ref="P20:S20"/>
    <mergeCell ref="U20:X20"/>
    <mergeCell ref="AA20:AC20"/>
    <mergeCell ref="E21:G21"/>
    <mergeCell ref="H21:J21"/>
    <mergeCell ref="B31:C31"/>
    <mergeCell ref="H75:J75"/>
    <mergeCell ref="AA75:AC75"/>
    <mergeCell ref="AF75:AH75"/>
    <mergeCell ref="AK75:AM75"/>
    <mergeCell ref="AP75:AR75"/>
    <mergeCell ref="E89:G89"/>
    <mergeCell ref="H89:J89"/>
    <mergeCell ref="B94:C94"/>
    <mergeCell ref="B88:C88"/>
    <mergeCell ref="AU75:AW75"/>
    <mergeCell ref="BA75:BC75"/>
    <mergeCell ref="E83:G83"/>
    <mergeCell ref="H83:J83"/>
    <mergeCell ref="AK83:AM83"/>
    <mergeCell ref="B106:C106"/>
    <mergeCell ref="E101:G101"/>
    <mergeCell ref="H101:J101"/>
    <mergeCell ref="AK101:AM101"/>
    <mergeCell ref="AP101:AR101"/>
    <mergeCell ref="AU101:AW101"/>
    <mergeCell ref="BA101:BC101"/>
    <mergeCell ref="AK95:AM95"/>
    <mergeCell ref="AP95:AR95"/>
    <mergeCell ref="AU95:AW95"/>
    <mergeCell ref="BA95:BC95"/>
    <mergeCell ref="B100:C100"/>
    <mergeCell ref="E113:G113"/>
    <mergeCell ref="H113:J113"/>
    <mergeCell ref="AK113:AM113"/>
    <mergeCell ref="AP113:AR113"/>
    <mergeCell ref="AU113:AW113"/>
    <mergeCell ref="BA113:BC113"/>
    <mergeCell ref="E107:G107"/>
    <mergeCell ref="H107:J107"/>
    <mergeCell ref="B112:C112"/>
    <mergeCell ref="E133:G133"/>
    <mergeCell ref="H133:J133"/>
    <mergeCell ref="B140:C140"/>
    <mergeCell ref="E126:G126"/>
    <mergeCell ref="H126:J126"/>
    <mergeCell ref="AK126:AM126"/>
    <mergeCell ref="B132:C132"/>
    <mergeCell ref="E120:G120"/>
    <mergeCell ref="H120:J120"/>
    <mergeCell ref="E155:G155"/>
    <mergeCell ref="H155:J155"/>
    <mergeCell ref="AK155:AM155"/>
    <mergeCell ref="B158:C158"/>
    <mergeCell ref="E148:G148"/>
    <mergeCell ref="H148:J148"/>
    <mergeCell ref="B154:C154"/>
    <mergeCell ref="E141:G141"/>
    <mergeCell ref="H141:J141"/>
    <mergeCell ref="AK141:AM141"/>
    <mergeCell ref="B147:C147"/>
    <mergeCell ref="H191:J191"/>
    <mergeCell ref="AA191:AC191"/>
    <mergeCell ref="AF191:AH191"/>
    <mergeCell ref="AK191:AM191"/>
    <mergeCell ref="E186:G186"/>
    <mergeCell ref="H186:J186"/>
    <mergeCell ref="S186:X186"/>
    <mergeCell ref="AA186:AC186"/>
    <mergeCell ref="AF186:AH186"/>
    <mergeCell ref="AK186:AM186"/>
    <mergeCell ref="E170:G170"/>
    <mergeCell ref="H170:J170"/>
    <mergeCell ref="AA170:AC170"/>
    <mergeCell ref="AF170:AH170"/>
    <mergeCell ref="AK170:AM170"/>
    <mergeCell ref="B174:C174"/>
    <mergeCell ref="E166:G166"/>
    <mergeCell ref="H166:J166"/>
    <mergeCell ref="AA166:AC166"/>
    <mergeCell ref="AF166:AH166"/>
    <mergeCell ref="AK166:AM166"/>
    <mergeCell ref="B169:C169"/>
    <mergeCell ref="B194:C194"/>
    <mergeCell ref="B189:C189"/>
    <mergeCell ref="AK206:AM206"/>
    <mergeCell ref="B209:C209"/>
    <mergeCell ref="B204:C204"/>
    <mergeCell ref="E206:G206"/>
    <mergeCell ref="H206:J206"/>
    <mergeCell ref="S206:X206"/>
    <mergeCell ref="AA206:AC206"/>
    <mergeCell ref="AF206:AH206"/>
    <mergeCell ref="AK196:AM196"/>
    <mergeCell ref="B199:C199"/>
    <mergeCell ref="E201:G201"/>
    <mergeCell ref="H201:J201"/>
    <mergeCell ref="S201:X201"/>
    <mergeCell ref="AA201:AC201"/>
    <mergeCell ref="AF201:AH201"/>
    <mergeCell ref="AK201:AM201"/>
    <mergeCell ref="E196:G196"/>
    <mergeCell ref="H196:J196"/>
    <mergeCell ref="S196:X196"/>
    <mergeCell ref="AA196:AC196"/>
    <mergeCell ref="AF196:AH196"/>
    <mergeCell ref="E191:G191"/>
  </mergeCells>
  <pageMargins left="0.78740157480314965" right="0.51181102362204722" top="0.78740157480314965" bottom="0.78740157480314965" header="0.31496062992125984" footer="0.31496062992125984"/>
  <pageSetup paperSize="9" scale="48" fitToHeight="0" orientation="portrait" r:id="rId1"/>
  <rowBreaks count="3" manualBreakCount="3">
    <brk id="62" min="1" max="54" man="1"/>
    <brk id="122" min="1" max="54" man="1"/>
    <brk id="188" min="1" max="54" man="1"/>
  </rowBreaks>
  <colBreaks count="2" manualBreakCount="2">
    <brk id="40" max="229" man="1"/>
    <brk id="45" max="229" man="1"/>
  </colBreaks>
  <ignoredErrors>
    <ignoredError sqref="BB15" formula="1"/>
  </ignoredError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154"/>
  <sheetViews>
    <sheetView showGridLines="0" view="pageBreakPreview" topLeftCell="A21" zoomScale="90" zoomScaleSheetLayoutView="90" workbookViewId="0">
      <selection activeCell="D48" sqref="D48"/>
    </sheetView>
  </sheetViews>
  <sheetFormatPr defaultRowHeight="15.75"/>
  <cols>
    <col min="1" max="1" width="9.28515625" style="53" customWidth="1"/>
    <col min="2" max="2" width="39.85546875" style="53" customWidth="1"/>
    <col min="3" max="3" width="18.28515625" style="53" customWidth="1"/>
    <col min="4" max="4" width="23.85546875" style="53" customWidth="1"/>
    <col min="5" max="5" width="16" style="53" bestFit="1" customWidth="1"/>
    <col min="6" max="6" width="13.7109375" style="53" bestFit="1" customWidth="1"/>
    <col min="7" max="7" width="15.7109375" style="53" bestFit="1" customWidth="1"/>
    <col min="8" max="8" width="13.140625" style="53" bestFit="1" customWidth="1"/>
    <col min="9" max="9" width="11.85546875" style="53" bestFit="1" customWidth="1"/>
    <col min="10" max="10" width="12.85546875" style="53" bestFit="1" customWidth="1"/>
    <col min="11" max="256" width="9.140625" style="53"/>
    <col min="257" max="257" width="9.28515625" style="53" customWidth="1"/>
    <col min="258" max="258" width="39.85546875" style="53" customWidth="1"/>
    <col min="259" max="259" width="18.28515625" style="53" customWidth="1"/>
    <col min="260" max="260" width="23.85546875" style="53" customWidth="1"/>
    <col min="261" max="261" width="16" style="53" bestFit="1" customWidth="1"/>
    <col min="262" max="262" width="13.7109375" style="53" bestFit="1" customWidth="1"/>
    <col min="263" max="263" width="15.7109375" style="53" bestFit="1" customWidth="1"/>
    <col min="264" max="264" width="13.140625" style="53" bestFit="1" customWidth="1"/>
    <col min="265" max="265" width="11.85546875" style="53" bestFit="1" customWidth="1"/>
    <col min="266" max="266" width="12.85546875" style="53" bestFit="1" customWidth="1"/>
    <col min="267" max="512" width="9.140625" style="53"/>
    <col min="513" max="513" width="9.28515625" style="53" customWidth="1"/>
    <col min="514" max="514" width="39.85546875" style="53" customWidth="1"/>
    <col min="515" max="515" width="18.28515625" style="53" customWidth="1"/>
    <col min="516" max="516" width="23.85546875" style="53" customWidth="1"/>
    <col min="517" max="517" width="16" style="53" bestFit="1" customWidth="1"/>
    <col min="518" max="518" width="13.7109375" style="53" bestFit="1" customWidth="1"/>
    <col min="519" max="519" width="15.7109375" style="53" bestFit="1" customWidth="1"/>
    <col min="520" max="520" width="13.140625" style="53" bestFit="1" customWidth="1"/>
    <col min="521" max="521" width="11.85546875" style="53" bestFit="1" customWidth="1"/>
    <col min="522" max="522" width="12.85546875" style="53" bestFit="1" customWidth="1"/>
    <col min="523" max="768" width="9.140625" style="53"/>
    <col min="769" max="769" width="9.28515625" style="53" customWidth="1"/>
    <col min="770" max="770" width="39.85546875" style="53" customWidth="1"/>
    <col min="771" max="771" width="18.28515625" style="53" customWidth="1"/>
    <col min="772" max="772" width="23.85546875" style="53" customWidth="1"/>
    <col min="773" max="773" width="16" style="53" bestFit="1" customWidth="1"/>
    <col min="774" max="774" width="13.7109375" style="53" bestFit="1" customWidth="1"/>
    <col min="775" max="775" width="15.7109375" style="53" bestFit="1" customWidth="1"/>
    <col min="776" max="776" width="13.140625" style="53" bestFit="1" customWidth="1"/>
    <col min="777" max="777" width="11.85546875" style="53" bestFit="1" customWidth="1"/>
    <col min="778" max="778" width="12.85546875" style="53" bestFit="1" customWidth="1"/>
    <col min="779" max="1024" width="9.140625" style="53"/>
    <col min="1025" max="1025" width="9.28515625" style="53" customWidth="1"/>
    <col min="1026" max="1026" width="39.85546875" style="53" customWidth="1"/>
    <col min="1027" max="1027" width="18.28515625" style="53" customWidth="1"/>
    <col min="1028" max="1028" width="23.85546875" style="53" customWidth="1"/>
    <col min="1029" max="1029" width="16" style="53" bestFit="1" customWidth="1"/>
    <col min="1030" max="1030" width="13.7109375" style="53" bestFit="1" customWidth="1"/>
    <col min="1031" max="1031" width="15.7109375" style="53" bestFit="1" customWidth="1"/>
    <col min="1032" max="1032" width="13.140625" style="53" bestFit="1" customWidth="1"/>
    <col min="1033" max="1033" width="11.85546875" style="53" bestFit="1" customWidth="1"/>
    <col min="1034" max="1034" width="12.85546875" style="53" bestFit="1" customWidth="1"/>
    <col min="1035" max="1280" width="9.140625" style="53"/>
    <col min="1281" max="1281" width="9.28515625" style="53" customWidth="1"/>
    <col min="1282" max="1282" width="39.85546875" style="53" customWidth="1"/>
    <col min="1283" max="1283" width="18.28515625" style="53" customWidth="1"/>
    <col min="1284" max="1284" width="23.85546875" style="53" customWidth="1"/>
    <col min="1285" max="1285" width="16" style="53" bestFit="1" customWidth="1"/>
    <col min="1286" max="1286" width="13.7109375" style="53" bestFit="1" customWidth="1"/>
    <col min="1287" max="1287" width="15.7109375" style="53" bestFit="1" customWidth="1"/>
    <col min="1288" max="1288" width="13.140625" style="53" bestFit="1" customWidth="1"/>
    <col min="1289" max="1289" width="11.85546875" style="53" bestFit="1" customWidth="1"/>
    <col min="1290" max="1290" width="12.85546875" style="53" bestFit="1" customWidth="1"/>
    <col min="1291" max="1536" width="9.140625" style="53"/>
    <col min="1537" max="1537" width="9.28515625" style="53" customWidth="1"/>
    <col min="1538" max="1538" width="39.85546875" style="53" customWidth="1"/>
    <col min="1539" max="1539" width="18.28515625" style="53" customWidth="1"/>
    <col min="1540" max="1540" width="23.85546875" style="53" customWidth="1"/>
    <col min="1541" max="1541" width="16" style="53" bestFit="1" customWidth="1"/>
    <col min="1542" max="1542" width="13.7109375" style="53" bestFit="1" customWidth="1"/>
    <col min="1543" max="1543" width="15.7109375" style="53" bestFit="1" customWidth="1"/>
    <col min="1544" max="1544" width="13.140625" style="53" bestFit="1" customWidth="1"/>
    <col min="1545" max="1545" width="11.85546875" style="53" bestFit="1" customWidth="1"/>
    <col min="1546" max="1546" width="12.85546875" style="53" bestFit="1" customWidth="1"/>
    <col min="1547" max="1792" width="9.140625" style="53"/>
    <col min="1793" max="1793" width="9.28515625" style="53" customWidth="1"/>
    <col min="1794" max="1794" width="39.85546875" style="53" customWidth="1"/>
    <col min="1795" max="1795" width="18.28515625" style="53" customWidth="1"/>
    <col min="1796" max="1796" width="23.85546875" style="53" customWidth="1"/>
    <col min="1797" max="1797" width="16" style="53" bestFit="1" customWidth="1"/>
    <col min="1798" max="1798" width="13.7109375" style="53" bestFit="1" customWidth="1"/>
    <col min="1799" max="1799" width="15.7109375" style="53" bestFit="1" customWidth="1"/>
    <col min="1800" max="1800" width="13.140625" style="53" bestFit="1" customWidth="1"/>
    <col min="1801" max="1801" width="11.85546875" style="53" bestFit="1" customWidth="1"/>
    <col min="1802" max="1802" width="12.85546875" style="53" bestFit="1" customWidth="1"/>
    <col min="1803" max="2048" width="9.140625" style="53"/>
    <col min="2049" max="2049" width="9.28515625" style="53" customWidth="1"/>
    <col min="2050" max="2050" width="39.85546875" style="53" customWidth="1"/>
    <col min="2051" max="2051" width="18.28515625" style="53" customWidth="1"/>
    <col min="2052" max="2052" width="23.85546875" style="53" customWidth="1"/>
    <col min="2053" max="2053" width="16" style="53" bestFit="1" customWidth="1"/>
    <col min="2054" max="2054" width="13.7109375" style="53" bestFit="1" customWidth="1"/>
    <col min="2055" max="2055" width="15.7109375" style="53" bestFit="1" customWidth="1"/>
    <col min="2056" max="2056" width="13.140625" style="53" bestFit="1" customWidth="1"/>
    <col min="2057" max="2057" width="11.85546875" style="53" bestFit="1" customWidth="1"/>
    <col min="2058" max="2058" width="12.85546875" style="53" bestFit="1" customWidth="1"/>
    <col min="2059" max="2304" width="9.140625" style="53"/>
    <col min="2305" max="2305" width="9.28515625" style="53" customWidth="1"/>
    <col min="2306" max="2306" width="39.85546875" style="53" customWidth="1"/>
    <col min="2307" max="2307" width="18.28515625" style="53" customWidth="1"/>
    <col min="2308" max="2308" width="23.85546875" style="53" customWidth="1"/>
    <col min="2309" max="2309" width="16" style="53" bestFit="1" customWidth="1"/>
    <col min="2310" max="2310" width="13.7109375" style="53" bestFit="1" customWidth="1"/>
    <col min="2311" max="2311" width="15.7109375" style="53" bestFit="1" customWidth="1"/>
    <col min="2312" max="2312" width="13.140625" style="53" bestFit="1" customWidth="1"/>
    <col min="2313" max="2313" width="11.85546875" style="53" bestFit="1" customWidth="1"/>
    <col min="2314" max="2314" width="12.85546875" style="53" bestFit="1" customWidth="1"/>
    <col min="2315" max="2560" width="9.140625" style="53"/>
    <col min="2561" max="2561" width="9.28515625" style="53" customWidth="1"/>
    <col min="2562" max="2562" width="39.85546875" style="53" customWidth="1"/>
    <col min="2563" max="2563" width="18.28515625" style="53" customWidth="1"/>
    <col min="2564" max="2564" width="23.85546875" style="53" customWidth="1"/>
    <col min="2565" max="2565" width="16" style="53" bestFit="1" customWidth="1"/>
    <col min="2566" max="2566" width="13.7109375" style="53" bestFit="1" customWidth="1"/>
    <col min="2567" max="2567" width="15.7109375" style="53" bestFit="1" customWidth="1"/>
    <col min="2568" max="2568" width="13.140625" style="53" bestFit="1" customWidth="1"/>
    <col min="2569" max="2569" width="11.85546875" style="53" bestFit="1" customWidth="1"/>
    <col min="2570" max="2570" width="12.85546875" style="53" bestFit="1" customWidth="1"/>
    <col min="2571" max="2816" width="9.140625" style="53"/>
    <col min="2817" max="2817" width="9.28515625" style="53" customWidth="1"/>
    <col min="2818" max="2818" width="39.85546875" style="53" customWidth="1"/>
    <col min="2819" max="2819" width="18.28515625" style="53" customWidth="1"/>
    <col min="2820" max="2820" width="23.85546875" style="53" customWidth="1"/>
    <col min="2821" max="2821" width="16" style="53" bestFit="1" customWidth="1"/>
    <col min="2822" max="2822" width="13.7109375" style="53" bestFit="1" customWidth="1"/>
    <col min="2823" max="2823" width="15.7109375" style="53" bestFit="1" customWidth="1"/>
    <col min="2824" max="2824" width="13.140625" style="53" bestFit="1" customWidth="1"/>
    <col min="2825" max="2825" width="11.85546875" style="53" bestFit="1" customWidth="1"/>
    <col min="2826" max="2826" width="12.85546875" style="53" bestFit="1" customWidth="1"/>
    <col min="2827" max="3072" width="9.140625" style="53"/>
    <col min="3073" max="3073" width="9.28515625" style="53" customWidth="1"/>
    <col min="3074" max="3074" width="39.85546875" style="53" customWidth="1"/>
    <col min="3075" max="3075" width="18.28515625" style="53" customWidth="1"/>
    <col min="3076" max="3076" width="23.85546875" style="53" customWidth="1"/>
    <col min="3077" max="3077" width="16" style="53" bestFit="1" customWidth="1"/>
    <col min="3078" max="3078" width="13.7109375" style="53" bestFit="1" customWidth="1"/>
    <col min="3079" max="3079" width="15.7109375" style="53" bestFit="1" customWidth="1"/>
    <col min="3080" max="3080" width="13.140625" style="53" bestFit="1" customWidth="1"/>
    <col min="3081" max="3081" width="11.85546875" style="53" bestFit="1" customWidth="1"/>
    <col min="3082" max="3082" width="12.85546875" style="53" bestFit="1" customWidth="1"/>
    <col min="3083" max="3328" width="9.140625" style="53"/>
    <col min="3329" max="3329" width="9.28515625" style="53" customWidth="1"/>
    <col min="3330" max="3330" width="39.85546875" style="53" customWidth="1"/>
    <col min="3331" max="3331" width="18.28515625" style="53" customWidth="1"/>
    <col min="3332" max="3332" width="23.85546875" style="53" customWidth="1"/>
    <col min="3333" max="3333" width="16" style="53" bestFit="1" customWidth="1"/>
    <col min="3334" max="3334" width="13.7109375" style="53" bestFit="1" customWidth="1"/>
    <col min="3335" max="3335" width="15.7109375" style="53" bestFit="1" customWidth="1"/>
    <col min="3336" max="3336" width="13.140625" style="53" bestFit="1" customWidth="1"/>
    <col min="3337" max="3337" width="11.85546875" style="53" bestFit="1" customWidth="1"/>
    <col min="3338" max="3338" width="12.85546875" style="53" bestFit="1" customWidth="1"/>
    <col min="3339" max="3584" width="9.140625" style="53"/>
    <col min="3585" max="3585" width="9.28515625" style="53" customWidth="1"/>
    <col min="3586" max="3586" width="39.85546875" style="53" customWidth="1"/>
    <col min="3587" max="3587" width="18.28515625" style="53" customWidth="1"/>
    <col min="3588" max="3588" width="23.85546875" style="53" customWidth="1"/>
    <col min="3589" max="3589" width="16" style="53" bestFit="1" customWidth="1"/>
    <col min="3590" max="3590" width="13.7109375" style="53" bestFit="1" customWidth="1"/>
    <col min="3591" max="3591" width="15.7109375" style="53" bestFit="1" customWidth="1"/>
    <col min="3592" max="3592" width="13.140625" style="53" bestFit="1" customWidth="1"/>
    <col min="3593" max="3593" width="11.85546875" style="53" bestFit="1" customWidth="1"/>
    <col min="3594" max="3594" width="12.85546875" style="53" bestFit="1" customWidth="1"/>
    <col min="3595" max="3840" width="9.140625" style="53"/>
    <col min="3841" max="3841" width="9.28515625" style="53" customWidth="1"/>
    <col min="3842" max="3842" width="39.85546875" style="53" customWidth="1"/>
    <col min="3843" max="3843" width="18.28515625" style="53" customWidth="1"/>
    <col min="3844" max="3844" width="23.85546875" style="53" customWidth="1"/>
    <col min="3845" max="3845" width="16" style="53" bestFit="1" customWidth="1"/>
    <col min="3846" max="3846" width="13.7109375" style="53" bestFit="1" customWidth="1"/>
    <col min="3847" max="3847" width="15.7109375" style="53" bestFit="1" customWidth="1"/>
    <col min="3848" max="3848" width="13.140625" style="53" bestFit="1" customWidth="1"/>
    <col min="3849" max="3849" width="11.85546875" style="53" bestFit="1" customWidth="1"/>
    <col min="3850" max="3850" width="12.85546875" style="53" bestFit="1" customWidth="1"/>
    <col min="3851" max="4096" width="9.140625" style="53"/>
    <col min="4097" max="4097" width="9.28515625" style="53" customWidth="1"/>
    <col min="4098" max="4098" width="39.85546875" style="53" customWidth="1"/>
    <col min="4099" max="4099" width="18.28515625" style="53" customWidth="1"/>
    <col min="4100" max="4100" width="23.85546875" style="53" customWidth="1"/>
    <col min="4101" max="4101" width="16" style="53" bestFit="1" customWidth="1"/>
    <col min="4102" max="4102" width="13.7109375" style="53" bestFit="1" customWidth="1"/>
    <col min="4103" max="4103" width="15.7109375" style="53" bestFit="1" customWidth="1"/>
    <col min="4104" max="4104" width="13.140625" style="53" bestFit="1" customWidth="1"/>
    <col min="4105" max="4105" width="11.85546875" style="53" bestFit="1" customWidth="1"/>
    <col min="4106" max="4106" width="12.85546875" style="53" bestFit="1" customWidth="1"/>
    <col min="4107" max="4352" width="9.140625" style="53"/>
    <col min="4353" max="4353" width="9.28515625" style="53" customWidth="1"/>
    <col min="4354" max="4354" width="39.85546875" style="53" customWidth="1"/>
    <col min="4355" max="4355" width="18.28515625" style="53" customWidth="1"/>
    <col min="4356" max="4356" width="23.85546875" style="53" customWidth="1"/>
    <col min="4357" max="4357" width="16" style="53" bestFit="1" customWidth="1"/>
    <col min="4358" max="4358" width="13.7109375" style="53" bestFit="1" customWidth="1"/>
    <col min="4359" max="4359" width="15.7109375" style="53" bestFit="1" customWidth="1"/>
    <col min="4360" max="4360" width="13.140625" style="53" bestFit="1" customWidth="1"/>
    <col min="4361" max="4361" width="11.85546875" style="53" bestFit="1" customWidth="1"/>
    <col min="4362" max="4362" width="12.85546875" style="53" bestFit="1" customWidth="1"/>
    <col min="4363" max="4608" width="9.140625" style="53"/>
    <col min="4609" max="4609" width="9.28515625" style="53" customWidth="1"/>
    <col min="4610" max="4610" width="39.85546875" style="53" customWidth="1"/>
    <col min="4611" max="4611" width="18.28515625" style="53" customWidth="1"/>
    <col min="4612" max="4612" width="23.85546875" style="53" customWidth="1"/>
    <col min="4613" max="4613" width="16" style="53" bestFit="1" customWidth="1"/>
    <col min="4614" max="4614" width="13.7109375" style="53" bestFit="1" customWidth="1"/>
    <col min="4615" max="4615" width="15.7109375" style="53" bestFit="1" customWidth="1"/>
    <col min="4616" max="4616" width="13.140625" style="53" bestFit="1" customWidth="1"/>
    <col min="4617" max="4617" width="11.85546875" style="53" bestFit="1" customWidth="1"/>
    <col min="4618" max="4618" width="12.85546875" style="53" bestFit="1" customWidth="1"/>
    <col min="4619" max="4864" width="9.140625" style="53"/>
    <col min="4865" max="4865" width="9.28515625" style="53" customWidth="1"/>
    <col min="4866" max="4866" width="39.85546875" style="53" customWidth="1"/>
    <col min="4867" max="4867" width="18.28515625" style="53" customWidth="1"/>
    <col min="4868" max="4868" width="23.85546875" style="53" customWidth="1"/>
    <col min="4869" max="4869" width="16" style="53" bestFit="1" customWidth="1"/>
    <col min="4870" max="4870" width="13.7109375" style="53" bestFit="1" customWidth="1"/>
    <col min="4871" max="4871" width="15.7109375" style="53" bestFit="1" customWidth="1"/>
    <col min="4872" max="4872" width="13.140625" style="53" bestFit="1" customWidth="1"/>
    <col min="4873" max="4873" width="11.85546875" style="53" bestFit="1" customWidth="1"/>
    <col min="4874" max="4874" width="12.85546875" style="53" bestFit="1" customWidth="1"/>
    <col min="4875" max="5120" width="9.140625" style="53"/>
    <col min="5121" max="5121" width="9.28515625" style="53" customWidth="1"/>
    <col min="5122" max="5122" width="39.85546875" style="53" customWidth="1"/>
    <col min="5123" max="5123" width="18.28515625" style="53" customWidth="1"/>
    <col min="5124" max="5124" width="23.85546875" style="53" customWidth="1"/>
    <col min="5125" max="5125" width="16" style="53" bestFit="1" customWidth="1"/>
    <col min="5126" max="5126" width="13.7109375" style="53" bestFit="1" customWidth="1"/>
    <col min="5127" max="5127" width="15.7109375" style="53" bestFit="1" customWidth="1"/>
    <col min="5128" max="5128" width="13.140625" style="53" bestFit="1" customWidth="1"/>
    <col min="5129" max="5129" width="11.85546875" style="53" bestFit="1" customWidth="1"/>
    <col min="5130" max="5130" width="12.85546875" style="53" bestFit="1" customWidth="1"/>
    <col min="5131" max="5376" width="9.140625" style="53"/>
    <col min="5377" max="5377" width="9.28515625" style="53" customWidth="1"/>
    <col min="5378" max="5378" width="39.85546875" style="53" customWidth="1"/>
    <col min="5379" max="5379" width="18.28515625" style="53" customWidth="1"/>
    <col min="5380" max="5380" width="23.85546875" style="53" customWidth="1"/>
    <col min="5381" max="5381" width="16" style="53" bestFit="1" customWidth="1"/>
    <col min="5382" max="5382" width="13.7109375" style="53" bestFit="1" customWidth="1"/>
    <col min="5383" max="5383" width="15.7109375" style="53" bestFit="1" customWidth="1"/>
    <col min="5384" max="5384" width="13.140625" style="53" bestFit="1" customWidth="1"/>
    <col min="5385" max="5385" width="11.85546875" style="53" bestFit="1" customWidth="1"/>
    <col min="5386" max="5386" width="12.85546875" style="53" bestFit="1" customWidth="1"/>
    <col min="5387" max="5632" width="9.140625" style="53"/>
    <col min="5633" max="5633" width="9.28515625" style="53" customWidth="1"/>
    <col min="5634" max="5634" width="39.85546875" style="53" customWidth="1"/>
    <col min="5635" max="5635" width="18.28515625" style="53" customWidth="1"/>
    <col min="5636" max="5636" width="23.85546875" style="53" customWidth="1"/>
    <col min="5637" max="5637" width="16" style="53" bestFit="1" customWidth="1"/>
    <col min="5638" max="5638" width="13.7109375" style="53" bestFit="1" customWidth="1"/>
    <col min="5639" max="5639" width="15.7109375" style="53" bestFit="1" customWidth="1"/>
    <col min="5640" max="5640" width="13.140625" style="53" bestFit="1" customWidth="1"/>
    <col min="5641" max="5641" width="11.85546875" style="53" bestFit="1" customWidth="1"/>
    <col min="5642" max="5642" width="12.85546875" style="53" bestFit="1" customWidth="1"/>
    <col min="5643" max="5888" width="9.140625" style="53"/>
    <col min="5889" max="5889" width="9.28515625" style="53" customWidth="1"/>
    <col min="5890" max="5890" width="39.85546875" style="53" customWidth="1"/>
    <col min="5891" max="5891" width="18.28515625" style="53" customWidth="1"/>
    <col min="5892" max="5892" width="23.85546875" style="53" customWidth="1"/>
    <col min="5893" max="5893" width="16" style="53" bestFit="1" customWidth="1"/>
    <col min="5894" max="5894" width="13.7109375" style="53" bestFit="1" customWidth="1"/>
    <col min="5895" max="5895" width="15.7109375" style="53" bestFit="1" customWidth="1"/>
    <col min="5896" max="5896" width="13.140625" style="53" bestFit="1" customWidth="1"/>
    <col min="5897" max="5897" width="11.85546875" style="53" bestFit="1" customWidth="1"/>
    <col min="5898" max="5898" width="12.85546875" style="53" bestFit="1" customWidth="1"/>
    <col min="5899" max="6144" width="9.140625" style="53"/>
    <col min="6145" max="6145" width="9.28515625" style="53" customWidth="1"/>
    <col min="6146" max="6146" width="39.85546875" style="53" customWidth="1"/>
    <col min="6147" max="6147" width="18.28515625" style="53" customWidth="1"/>
    <col min="6148" max="6148" width="23.85546875" style="53" customWidth="1"/>
    <col min="6149" max="6149" width="16" style="53" bestFit="1" customWidth="1"/>
    <col min="6150" max="6150" width="13.7109375" style="53" bestFit="1" customWidth="1"/>
    <col min="6151" max="6151" width="15.7109375" style="53" bestFit="1" customWidth="1"/>
    <col min="6152" max="6152" width="13.140625" style="53" bestFit="1" customWidth="1"/>
    <col min="6153" max="6153" width="11.85546875" style="53" bestFit="1" customWidth="1"/>
    <col min="6154" max="6154" width="12.85546875" style="53" bestFit="1" customWidth="1"/>
    <col min="6155" max="6400" width="9.140625" style="53"/>
    <col min="6401" max="6401" width="9.28515625" style="53" customWidth="1"/>
    <col min="6402" max="6402" width="39.85546875" style="53" customWidth="1"/>
    <col min="6403" max="6403" width="18.28515625" style="53" customWidth="1"/>
    <col min="6404" max="6404" width="23.85546875" style="53" customWidth="1"/>
    <col min="6405" max="6405" width="16" style="53" bestFit="1" customWidth="1"/>
    <col min="6406" max="6406" width="13.7109375" style="53" bestFit="1" customWidth="1"/>
    <col min="6407" max="6407" width="15.7109375" style="53" bestFit="1" customWidth="1"/>
    <col min="6408" max="6408" width="13.140625" style="53" bestFit="1" customWidth="1"/>
    <col min="6409" max="6409" width="11.85546875" style="53" bestFit="1" customWidth="1"/>
    <col min="6410" max="6410" width="12.85546875" style="53" bestFit="1" customWidth="1"/>
    <col min="6411" max="6656" width="9.140625" style="53"/>
    <col min="6657" max="6657" width="9.28515625" style="53" customWidth="1"/>
    <col min="6658" max="6658" width="39.85546875" style="53" customWidth="1"/>
    <col min="6659" max="6659" width="18.28515625" style="53" customWidth="1"/>
    <col min="6660" max="6660" width="23.85546875" style="53" customWidth="1"/>
    <col min="6661" max="6661" width="16" style="53" bestFit="1" customWidth="1"/>
    <col min="6662" max="6662" width="13.7109375" style="53" bestFit="1" customWidth="1"/>
    <col min="6663" max="6663" width="15.7109375" style="53" bestFit="1" customWidth="1"/>
    <col min="6664" max="6664" width="13.140625" style="53" bestFit="1" customWidth="1"/>
    <col min="6665" max="6665" width="11.85546875" style="53" bestFit="1" customWidth="1"/>
    <col min="6666" max="6666" width="12.85546875" style="53" bestFit="1" customWidth="1"/>
    <col min="6667" max="6912" width="9.140625" style="53"/>
    <col min="6913" max="6913" width="9.28515625" style="53" customWidth="1"/>
    <col min="6914" max="6914" width="39.85546875" style="53" customWidth="1"/>
    <col min="6915" max="6915" width="18.28515625" style="53" customWidth="1"/>
    <col min="6916" max="6916" width="23.85546875" style="53" customWidth="1"/>
    <col min="6917" max="6917" width="16" style="53" bestFit="1" customWidth="1"/>
    <col min="6918" max="6918" width="13.7109375" style="53" bestFit="1" customWidth="1"/>
    <col min="6919" max="6919" width="15.7109375" style="53" bestFit="1" customWidth="1"/>
    <col min="6920" max="6920" width="13.140625" style="53" bestFit="1" customWidth="1"/>
    <col min="6921" max="6921" width="11.85546875" style="53" bestFit="1" customWidth="1"/>
    <col min="6922" max="6922" width="12.85546875" style="53" bestFit="1" customWidth="1"/>
    <col min="6923" max="7168" width="9.140625" style="53"/>
    <col min="7169" max="7169" width="9.28515625" style="53" customWidth="1"/>
    <col min="7170" max="7170" width="39.85546875" style="53" customWidth="1"/>
    <col min="7171" max="7171" width="18.28515625" style="53" customWidth="1"/>
    <col min="7172" max="7172" width="23.85546875" style="53" customWidth="1"/>
    <col min="7173" max="7173" width="16" style="53" bestFit="1" customWidth="1"/>
    <col min="7174" max="7174" width="13.7109375" style="53" bestFit="1" customWidth="1"/>
    <col min="7175" max="7175" width="15.7109375" style="53" bestFit="1" customWidth="1"/>
    <col min="7176" max="7176" width="13.140625" style="53" bestFit="1" customWidth="1"/>
    <col min="7177" max="7177" width="11.85546875" style="53" bestFit="1" customWidth="1"/>
    <col min="7178" max="7178" width="12.85546875" style="53" bestFit="1" customWidth="1"/>
    <col min="7179" max="7424" width="9.140625" style="53"/>
    <col min="7425" max="7425" width="9.28515625" style="53" customWidth="1"/>
    <col min="7426" max="7426" width="39.85546875" style="53" customWidth="1"/>
    <col min="7427" max="7427" width="18.28515625" style="53" customWidth="1"/>
    <col min="7428" max="7428" width="23.85546875" style="53" customWidth="1"/>
    <col min="7429" max="7429" width="16" style="53" bestFit="1" customWidth="1"/>
    <col min="7430" max="7430" width="13.7109375" style="53" bestFit="1" customWidth="1"/>
    <col min="7431" max="7431" width="15.7109375" style="53" bestFit="1" customWidth="1"/>
    <col min="7432" max="7432" width="13.140625" style="53" bestFit="1" customWidth="1"/>
    <col min="7433" max="7433" width="11.85546875" style="53" bestFit="1" customWidth="1"/>
    <col min="7434" max="7434" width="12.85546875" style="53" bestFit="1" customWidth="1"/>
    <col min="7435" max="7680" width="9.140625" style="53"/>
    <col min="7681" max="7681" width="9.28515625" style="53" customWidth="1"/>
    <col min="7682" max="7682" width="39.85546875" style="53" customWidth="1"/>
    <col min="7683" max="7683" width="18.28515625" style="53" customWidth="1"/>
    <col min="7684" max="7684" width="23.85546875" style="53" customWidth="1"/>
    <col min="7685" max="7685" width="16" style="53" bestFit="1" customWidth="1"/>
    <col min="7686" max="7686" width="13.7109375" style="53" bestFit="1" customWidth="1"/>
    <col min="7687" max="7687" width="15.7109375" style="53" bestFit="1" customWidth="1"/>
    <col min="7688" max="7688" width="13.140625" style="53" bestFit="1" customWidth="1"/>
    <col min="7689" max="7689" width="11.85546875" style="53" bestFit="1" customWidth="1"/>
    <col min="7690" max="7690" width="12.85546875" style="53" bestFit="1" customWidth="1"/>
    <col min="7691" max="7936" width="9.140625" style="53"/>
    <col min="7937" max="7937" width="9.28515625" style="53" customWidth="1"/>
    <col min="7938" max="7938" width="39.85546875" style="53" customWidth="1"/>
    <col min="7939" max="7939" width="18.28515625" style="53" customWidth="1"/>
    <col min="7940" max="7940" width="23.85546875" style="53" customWidth="1"/>
    <col min="7941" max="7941" width="16" style="53" bestFit="1" customWidth="1"/>
    <col min="7942" max="7942" width="13.7109375" style="53" bestFit="1" customWidth="1"/>
    <col min="7943" max="7943" width="15.7109375" style="53" bestFit="1" customWidth="1"/>
    <col min="7944" max="7944" width="13.140625" style="53" bestFit="1" customWidth="1"/>
    <col min="7945" max="7945" width="11.85546875" style="53" bestFit="1" customWidth="1"/>
    <col min="7946" max="7946" width="12.85546875" style="53" bestFit="1" customWidth="1"/>
    <col min="7947" max="8192" width="9.140625" style="53"/>
    <col min="8193" max="8193" width="9.28515625" style="53" customWidth="1"/>
    <col min="8194" max="8194" width="39.85546875" style="53" customWidth="1"/>
    <col min="8195" max="8195" width="18.28515625" style="53" customWidth="1"/>
    <col min="8196" max="8196" width="23.85546875" style="53" customWidth="1"/>
    <col min="8197" max="8197" width="16" style="53" bestFit="1" customWidth="1"/>
    <col min="8198" max="8198" width="13.7109375" style="53" bestFit="1" customWidth="1"/>
    <col min="8199" max="8199" width="15.7109375" style="53" bestFit="1" customWidth="1"/>
    <col min="8200" max="8200" width="13.140625" style="53" bestFit="1" customWidth="1"/>
    <col min="8201" max="8201" width="11.85546875" style="53" bestFit="1" customWidth="1"/>
    <col min="8202" max="8202" width="12.85546875" style="53" bestFit="1" customWidth="1"/>
    <col min="8203" max="8448" width="9.140625" style="53"/>
    <col min="8449" max="8449" width="9.28515625" style="53" customWidth="1"/>
    <col min="8450" max="8450" width="39.85546875" style="53" customWidth="1"/>
    <col min="8451" max="8451" width="18.28515625" style="53" customWidth="1"/>
    <col min="8452" max="8452" width="23.85546875" style="53" customWidth="1"/>
    <col min="8453" max="8453" width="16" style="53" bestFit="1" customWidth="1"/>
    <col min="8454" max="8454" width="13.7109375" style="53" bestFit="1" customWidth="1"/>
    <col min="8455" max="8455" width="15.7109375" style="53" bestFit="1" customWidth="1"/>
    <col min="8456" max="8456" width="13.140625" style="53" bestFit="1" customWidth="1"/>
    <col min="8457" max="8457" width="11.85546875" style="53" bestFit="1" customWidth="1"/>
    <col min="8458" max="8458" width="12.85546875" style="53" bestFit="1" customWidth="1"/>
    <col min="8459" max="8704" width="9.140625" style="53"/>
    <col min="8705" max="8705" width="9.28515625" style="53" customWidth="1"/>
    <col min="8706" max="8706" width="39.85546875" style="53" customWidth="1"/>
    <col min="8707" max="8707" width="18.28515625" style="53" customWidth="1"/>
    <col min="8708" max="8708" width="23.85546875" style="53" customWidth="1"/>
    <col min="8709" max="8709" width="16" style="53" bestFit="1" customWidth="1"/>
    <col min="8710" max="8710" width="13.7109375" style="53" bestFit="1" customWidth="1"/>
    <col min="8711" max="8711" width="15.7109375" style="53" bestFit="1" customWidth="1"/>
    <col min="8712" max="8712" width="13.140625" style="53" bestFit="1" customWidth="1"/>
    <col min="8713" max="8713" width="11.85546875" style="53" bestFit="1" customWidth="1"/>
    <col min="8714" max="8714" width="12.85546875" style="53" bestFit="1" customWidth="1"/>
    <col min="8715" max="8960" width="9.140625" style="53"/>
    <col min="8961" max="8961" width="9.28515625" style="53" customWidth="1"/>
    <col min="8962" max="8962" width="39.85546875" style="53" customWidth="1"/>
    <col min="8963" max="8963" width="18.28515625" style="53" customWidth="1"/>
    <col min="8964" max="8964" width="23.85546875" style="53" customWidth="1"/>
    <col min="8965" max="8965" width="16" style="53" bestFit="1" customWidth="1"/>
    <col min="8966" max="8966" width="13.7109375" style="53" bestFit="1" customWidth="1"/>
    <col min="8967" max="8967" width="15.7109375" style="53" bestFit="1" customWidth="1"/>
    <col min="8968" max="8968" width="13.140625" style="53" bestFit="1" customWidth="1"/>
    <col min="8969" max="8969" width="11.85546875" style="53" bestFit="1" customWidth="1"/>
    <col min="8970" max="8970" width="12.85546875" style="53" bestFit="1" customWidth="1"/>
    <col min="8971" max="9216" width="9.140625" style="53"/>
    <col min="9217" max="9217" width="9.28515625" style="53" customWidth="1"/>
    <col min="9218" max="9218" width="39.85546875" style="53" customWidth="1"/>
    <col min="9219" max="9219" width="18.28515625" style="53" customWidth="1"/>
    <col min="9220" max="9220" width="23.85546875" style="53" customWidth="1"/>
    <col min="9221" max="9221" width="16" style="53" bestFit="1" customWidth="1"/>
    <col min="9222" max="9222" width="13.7109375" style="53" bestFit="1" customWidth="1"/>
    <col min="9223" max="9223" width="15.7109375" style="53" bestFit="1" customWidth="1"/>
    <col min="9224" max="9224" width="13.140625" style="53" bestFit="1" customWidth="1"/>
    <col min="9225" max="9225" width="11.85546875" style="53" bestFit="1" customWidth="1"/>
    <col min="9226" max="9226" width="12.85546875" style="53" bestFit="1" customWidth="1"/>
    <col min="9227" max="9472" width="9.140625" style="53"/>
    <col min="9473" max="9473" width="9.28515625" style="53" customWidth="1"/>
    <col min="9474" max="9474" width="39.85546875" style="53" customWidth="1"/>
    <col min="9475" max="9475" width="18.28515625" style="53" customWidth="1"/>
    <col min="9476" max="9476" width="23.85546875" style="53" customWidth="1"/>
    <col min="9477" max="9477" width="16" style="53" bestFit="1" customWidth="1"/>
    <col min="9478" max="9478" width="13.7109375" style="53" bestFit="1" customWidth="1"/>
    <col min="9479" max="9479" width="15.7109375" style="53" bestFit="1" customWidth="1"/>
    <col min="9480" max="9480" width="13.140625" style="53" bestFit="1" customWidth="1"/>
    <col min="9481" max="9481" width="11.85546875" style="53" bestFit="1" customWidth="1"/>
    <col min="9482" max="9482" width="12.85546875" style="53" bestFit="1" customWidth="1"/>
    <col min="9483" max="9728" width="9.140625" style="53"/>
    <col min="9729" max="9729" width="9.28515625" style="53" customWidth="1"/>
    <col min="9730" max="9730" width="39.85546875" style="53" customWidth="1"/>
    <col min="9731" max="9731" width="18.28515625" style="53" customWidth="1"/>
    <col min="9732" max="9732" width="23.85546875" style="53" customWidth="1"/>
    <col min="9733" max="9733" width="16" style="53" bestFit="1" customWidth="1"/>
    <col min="9734" max="9734" width="13.7109375" style="53" bestFit="1" customWidth="1"/>
    <col min="9735" max="9735" width="15.7109375" style="53" bestFit="1" customWidth="1"/>
    <col min="9736" max="9736" width="13.140625" style="53" bestFit="1" customWidth="1"/>
    <col min="9737" max="9737" width="11.85546875" style="53" bestFit="1" customWidth="1"/>
    <col min="9738" max="9738" width="12.85546875" style="53" bestFit="1" customWidth="1"/>
    <col min="9739" max="9984" width="9.140625" style="53"/>
    <col min="9985" max="9985" width="9.28515625" style="53" customWidth="1"/>
    <col min="9986" max="9986" width="39.85546875" style="53" customWidth="1"/>
    <col min="9987" max="9987" width="18.28515625" style="53" customWidth="1"/>
    <col min="9988" max="9988" width="23.85546875" style="53" customWidth="1"/>
    <col min="9989" max="9989" width="16" style="53" bestFit="1" customWidth="1"/>
    <col min="9990" max="9990" width="13.7109375" style="53" bestFit="1" customWidth="1"/>
    <col min="9991" max="9991" width="15.7109375" style="53" bestFit="1" customWidth="1"/>
    <col min="9992" max="9992" width="13.140625" style="53" bestFit="1" customWidth="1"/>
    <col min="9993" max="9993" width="11.85546875" style="53" bestFit="1" customWidth="1"/>
    <col min="9994" max="9994" width="12.85546875" style="53" bestFit="1" customWidth="1"/>
    <col min="9995" max="10240" width="9.140625" style="53"/>
    <col min="10241" max="10241" width="9.28515625" style="53" customWidth="1"/>
    <col min="10242" max="10242" width="39.85546875" style="53" customWidth="1"/>
    <col min="10243" max="10243" width="18.28515625" style="53" customWidth="1"/>
    <col min="10244" max="10244" width="23.85546875" style="53" customWidth="1"/>
    <col min="10245" max="10245" width="16" style="53" bestFit="1" customWidth="1"/>
    <col min="10246" max="10246" width="13.7109375" style="53" bestFit="1" customWidth="1"/>
    <col min="10247" max="10247" width="15.7109375" style="53" bestFit="1" customWidth="1"/>
    <col min="10248" max="10248" width="13.140625" style="53" bestFit="1" customWidth="1"/>
    <col min="10249" max="10249" width="11.85546875" style="53" bestFit="1" customWidth="1"/>
    <col min="10250" max="10250" width="12.85546875" style="53" bestFit="1" customWidth="1"/>
    <col min="10251" max="10496" width="9.140625" style="53"/>
    <col min="10497" max="10497" width="9.28515625" style="53" customWidth="1"/>
    <col min="10498" max="10498" width="39.85546875" style="53" customWidth="1"/>
    <col min="10499" max="10499" width="18.28515625" style="53" customWidth="1"/>
    <col min="10500" max="10500" width="23.85546875" style="53" customWidth="1"/>
    <col min="10501" max="10501" width="16" style="53" bestFit="1" customWidth="1"/>
    <col min="10502" max="10502" width="13.7109375" style="53" bestFit="1" customWidth="1"/>
    <col min="10503" max="10503" width="15.7109375" style="53" bestFit="1" customWidth="1"/>
    <col min="10504" max="10504" width="13.140625" style="53" bestFit="1" customWidth="1"/>
    <col min="10505" max="10505" width="11.85546875" style="53" bestFit="1" customWidth="1"/>
    <col min="10506" max="10506" width="12.85546875" style="53" bestFit="1" customWidth="1"/>
    <col min="10507" max="10752" width="9.140625" style="53"/>
    <col min="10753" max="10753" width="9.28515625" style="53" customWidth="1"/>
    <col min="10754" max="10754" width="39.85546875" style="53" customWidth="1"/>
    <col min="10755" max="10755" width="18.28515625" style="53" customWidth="1"/>
    <col min="10756" max="10756" width="23.85546875" style="53" customWidth="1"/>
    <col min="10757" max="10757" width="16" style="53" bestFit="1" customWidth="1"/>
    <col min="10758" max="10758" width="13.7109375" style="53" bestFit="1" customWidth="1"/>
    <col min="10759" max="10759" width="15.7109375" style="53" bestFit="1" customWidth="1"/>
    <col min="10760" max="10760" width="13.140625" style="53" bestFit="1" customWidth="1"/>
    <col min="10761" max="10761" width="11.85546875" style="53" bestFit="1" customWidth="1"/>
    <col min="10762" max="10762" width="12.85546875" style="53" bestFit="1" customWidth="1"/>
    <col min="10763" max="11008" width="9.140625" style="53"/>
    <col min="11009" max="11009" width="9.28515625" style="53" customWidth="1"/>
    <col min="11010" max="11010" width="39.85546875" style="53" customWidth="1"/>
    <col min="11011" max="11011" width="18.28515625" style="53" customWidth="1"/>
    <col min="11012" max="11012" width="23.85546875" style="53" customWidth="1"/>
    <col min="11013" max="11013" width="16" style="53" bestFit="1" customWidth="1"/>
    <col min="11014" max="11014" width="13.7109375" style="53" bestFit="1" customWidth="1"/>
    <col min="11015" max="11015" width="15.7109375" style="53" bestFit="1" customWidth="1"/>
    <col min="11016" max="11016" width="13.140625" style="53" bestFit="1" customWidth="1"/>
    <col min="11017" max="11017" width="11.85546875" style="53" bestFit="1" customWidth="1"/>
    <col min="11018" max="11018" width="12.85546875" style="53" bestFit="1" customWidth="1"/>
    <col min="11019" max="11264" width="9.140625" style="53"/>
    <col min="11265" max="11265" width="9.28515625" style="53" customWidth="1"/>
    <col min="11266" max="11266" width="39.85546875" style="53" customWidth="1"/>
    <col min="11267" max="11267" width="18.28515625" style="53" customWidth="1"/>
    <col min="11268" max="11268" width="23.85546875" style="53" customWidth="1"/>
    <col min="11269" max="11269" width="16" style="53" bestFit="1" customWidth="1"/>
    <col min="11270" max="11270" width="13.7109375" style="53" bestFit="1" customWidth="1"/>
    <col min="11271" max="11271" width="15.7109375" style="53" bestFit="1" customWidth="1"/>
    <col min="11272" max="11272" width="13.140625" style="53" bestFit="1" customWidth="1"/>
    <col min="11273" max="11273" width="11.85546875" style="53" bestFit="1" customWidth="1"/>
    <col min="11274" max="11274" width="12.85546875" style="53" bestFit="1" customWidth="1"/>
    <col min="11275" max="11520" width="9.140625" style="53"/>
    <col min="11521" max="11521" width="9.28515625" style="53" customWidth="1"/>
    <col min="11522" max="11522" width="39.85546875" style="53" customWidth="1"/>
    <col min="11523" max="11523" width="18.28515625" style="53" customWidth="1"/>
    <col min="11524" max="11524" width="23.85546875" style="53" customWidth="1"/>
    <col min="11525" max="11525" width="16" style="53" bestFit="1" customWidth="1"/>
    <col min="11526" max="11526" width="13.7109375" style="53" bestFit="1" customWidth="1"/>
    <col min="11527" max="11527" width="15.7109375" style="53" bestFit="1" customWidth="1"/>
    <col min="11528" max="11528" width="13.140625" style="53" bestFit="1" customWidth="1"/>
    <col min="11529" max="11529" width="11.85546875" style="53" bestFit="1" customWidth="1"/>
    <col min="11530" max="11530" width="12.85546875" style="53" bestFit="1" customWidth="1"/>
    <col min="11531" max="11776" width="9.140625" style="53"/>
    <col min="11777" max="11777" width="9.28515625" style="53" customWidth="1"/>
    <col min="11778" max="11778" width="39.85546875" style="53" customWidth="1"/>
    <col min="11779" max="11779" width="18.28515625" style="53" customWidth="1"/>
    <col min="11780" max="11780" width="23.85546875" style="53" customWidth="1"/>
    <col min="11781" max="11781" width="16" style="53" bestFit="1" customWidth="1"/>
    <col min="11782" max="11782" width="13.7109375" style="53" bestFit="1" customWidth="1"/>
    <col min="11783" max="11783" width="15.7109375" style="53" bestFit="1" customWidth="1"/>
    <col min="11784" max="11784" width="13.140625" style="53" bestFit="1" customWidth="1"/>
    <col min="11785" max="11785" width="11.85546875" style="53" bestFit="1" customWidth="1"/>
    <col min="11786" max="11786" width="12.85546875" style="53" bestFit="1" customWidth="1"/>
    <col min="11787" max="12032" width="9.140625" style="53"/>
    <col min="12033" max="12033" width="9.28515625" style="53" customWidth="1"/>
    <col min="12034" max="12034" width="39.85546875" style="53" customWidth="1"/>
    <col min="12035" max="12035" width="18.28515625" style="53" customWidth="1"/>
    <col min="12036" max="12036" width="23.85546875" style="53" customWidth="1"/>
    <col min="12037" max="12037" width="16" style="53" bestFit="1" customWidth="1"/>
    <col min="12038" max="12038" width="13.7109375" style="53" bestFit="1" customWidth="1"/>
    <col min="12039" max="12039" width="15.7109375" style="53" bestFit="1" customWidth="1"/>
    <col min="12040" max="12040" width="13.140625" style="53" bestFit="1" customWidth="1"/>
    <col min="12041" max="12041" width="11.85546875" style="53" bestFit="1" customWidth="1"/>
    <col min="12042" max="12042" width="12.85546875" style="53" bestFit="1" customWidth="1"/>
    <col min="12043" max="12288" width="9.140625" style="53"/>
    <col min="12289" max="12289" width="9.28515625" style="53" customWidth="1"/>
    <col min="12290" max="12290" width="39.85546875" style="53" customWidth="1"/>
    <col min="12291" max="12291" width="18.28515625" style="53" customWidth="1"/>
    <col min="12292" max="12292" width="23.85546875" style="53" customWidth="1"/>
    <col min="12293" max="12293" width="16" style="53" bestFit="1" customWidth="1"/>
    <col min="12294" max="12294" width="13.7109375" style="53" bestFit="1" customWidth="1"/>
    <col min="12295" max="12295" width="15.7109375" style="53" bestFit="1" customWidth="1"/>
    <col min="12296" max="12296" width="13.140625" style="53" bestFit="1" customWidth="1"/>
    <col min="12297" max="12297" width="11.85546875" style="53" bestFit="1" customWidth="1"/>
    <col min="12298" max="12298" width="12.85546875" style="53" bestFit="1" customWidth="1"/>
    <col min="12299" max="12544" width="9.140625" style="53"/>
    <col min="12545" max="12545" width="9.28515625" style="53" customWidth="1"/>
    <col min="12546" max="12546" width="39.85546875" style="53" customWidth="1"/>
    <col min="12547" max="12547" width="18.28515625" style="53" customWidth="1"/>
    <col min="12548" max="12548" width="23.85546875" style="53" customWidth="1"/>
    <col min="12549" max="12549" width="16" style="53" bestFit="1" customWidth="1"/>
    <col min="12550" max="12550" width="13.7109375" style="53" bestFit="1" customWidth="1"/>
    <col min="12551" max="12551" width="15.7109375" style="53" bestFit="1" customWidth="1"/>
    <col min="12552" max="12552" width="13.140625" style="53" bestFit="1" customWidth="1"/>
    <col min="12553" max="12553" width="11.85546875" style="53" bestFit="1" customWidth="1"/>
    <col min="12554" max="12554" width="12.85546875" style="53" bestFit="1" customWidth="1"/>
    <col min="12555" max="12800" width="9.140625" style="53"/>
    <col min="12801" max="12801" width="9.28515625" style="53" customWidth="1"/>
    <col min="12802" max="12802" width="39.85546875" style="53" customWidth="1"/>
    <col min="12803" max="12803" width="18.28515625" style="53" customWidth="1"/>
    <col min="12804" max="12804" width="23.85546875" style="53" customWidth="1"/>
    <col min="12805" max="12805" width="16" style="53" bestFit="1" customWidth="1"/>
    <col min="12806" max="12806" width="13.7109375" style="53" bestFit="1" customWidth="1"/>
    <col min="12807" max="12807" width="15.7109375" style="53" bestFit="1" customWidth="1"/>
    <col min="12808" max="12808" width="13.140625" style="53" bestFit="1" customWidth="1"/>
    <col min="12809" max="12809" width="11.85546875" style="53" bestFit="1" customWidth="1"/>
    <col min="12810" max="12810" width="12.85546875" style="53" bestFit="1" customWidth="1"/>
    <col min="12811" max="13056" width="9.140625" style="53"/>
    <col min="13057" max="13057" width="9.28515625" style="53" customWidth="1"/>
    <col min="13058" max="13058" width="39.85546875" style="53" customWidth="1"/>
    <col min="13059" max="13059" width="18.28515625" style="53" customWidth="1"/>
    <col min="13060" max="13060" width="23.85546875" style="53" customWidth="1"/>
    <col min="13061" max="13061" width="16" style="53" bestFit="1" customWidth="1"/>
    <col min="13062" max="13062" width="13.7109375" style="53" bestFit="1" customWidth="1"/>
    <col min="13063" max="13063" width="15.7109375" style="53" bestFit="1" customWidth="1"/>
    <col min="13064" max="13064" width="13.140625" style="53" bestFit="1" customWidth="1"/>
    <col min="13065" max="13065" width="11.85546875" style="53" bestFit="1" customWidth="1"/>
    <col min="13066" max="13066" width="12.85546875" style="53" bestFit="1" customWidth="1"/>
    <col min="13067" max="13312" width="9.140625" style="53"/>
    <col min="13313" max="13313" width="9.28515625" style="53" customWidth="1"/>
    <col min="13314" max="13314" width="39.85546875" style="53" customWidth="1"/>
    <col min="13315" max="13315" width="18.28515625" style="53" customWidth="1"/>
    <col min="13316" max="13316" width="23.85546875" style="53" customWidth="1"/>
    <col min="13317" max="13317" width="16" style="53" bestFit="1" customWidth="1"/>
    <col min="13318" max="13318" width="13.7109375" style="53" bestFit="1" customWidth="1"/>
    <col min="13319" max="13319" width="15.7109375" style="53" bestFit="1" customWidth="1"/>
    <col min="13320" max="13320" width="13.140625" style="53" bestFit="1" customWidth="1"/>
    <col min="13321" max="13321" width="11.85546875" style="53" bestFit="1" customWidth="1"/>
    <col min="13322" max="13322" width="12.85546875" style="53" bestFit="1" customWidth="1"/>
    <col min="13323" max="13568" width="9.140625" style="53"/>
    <col min="13569" max="13569" width="9.28515625" style="53" customWidth="1"/>
    <col min="13570" max="13570" width="39.85546875" style="53" customWidth="1"/>
    <col min="13571" max="13571" width="18.28515625" style="53" customWidth="1"/>
    <col min="13572" max="13572" width="23.85546875" style="53" customWidth="1"/>
    <col min="13573" max="13573" width="16" style="53" bestFit="1" customWidth="1"/>
    <col min="13574" max="13574" width="13.7109375" style="53" bestFit="1" customWidth="1"/>
    <col min="13575" max="13575" width="15.7109375" style="53" bestFit="1" customWidth="1"/>
    <col min="13576" max="13576" width="13.140625" style="53" bestFit="1" customWidth="1"/>
    <col min="13577" max="13577" width="11.85546875" style="53" bestFit="1" customWidth="1"/>
    <col min="13578" max="13578" width="12.85546875" style="53" bestFit="1" customWidth="1"/>
    <col min="13579" max="13824" width="9.140625" style="53"/>
    <col min="13825" max="13825" width="9.28515625" style="53" customWidth="1"/>
    <col min="13826" max="13826" width="39.85546875" style="53" customWidth="1"/>
    <col min="13827" max="13827" width="18.28515625" style="53" customWidth="1"/>
    <col min="13828" max="13828" width="23.85546875" style="53" customWidth="1"/>
    <col min="13829" max="13829" width="16" style="53" bestFit="1" customWidth="1"/>
    <col min="13830" max="13830" width="13.7109375" style="53" bestFit="1" customWidth="1"/>
    <col min="13831" max="13831" width="15.7109375" style="53" bestFit="1" customWidth="1"/>
    <col min="13832" max="13832" width="13.140625" style="53" bestFit="1" customWidth="1"/>
    <col min="13833" max="13833" width="11.85546875" style="53" bestFit="1" customWidth="1"/>
    <col min="13834" max="13834" width="12.85546875" style="53" bestFit="1" customWidth="1"/>
    <col min="13835" max="14080" width="9.140625" style="53"/>
    <col min="14081" max="14081" width="9.28515625" style="53" customWidth="1"/>
    <col min="14082" max="14082" width="39.85546875" style="53" customWidth="1"/>
    <col min="14083" max="14083" width="18.28515625" style="53" customWidth="1"/>
    <col min="14084" max="14084" width="23.85546875" style="53" customWidth="1"/>
    <col min="14085" max="14085" width="16" style="53" bestFit="1" customWidth="1"/>
    <col min="14086" max="14086" width="13.7109375" style="53" bestFit="1" customWidth="1"/>
    <col min="14087" max="14087" width="15.7109375" style="53" bestFit="1" customWidth="1"/>
    <col min="14088" max="14088" width="13.140625" style="53" bestFit="1" customWidth="1"/>
    <col min="14089" max="14089" width="11.85546875" style="53" bestFit="1" customWidth="1"/>
    <col min="14090" max="14090" width="12.85546875" style="53" bestFit="1" customWidth="1"/>
    <col min="14091" max="14336" width="9.140625" style="53"/>
    <col min="14337" max="14337" width="9.28515625" style="53" customWidth="1"/>
    <col min="14338" max="14338" width="39.85546875" style="53" customWidth="1"/>
    <col min="14339" max="14339" width="18.28515625" style="53" customWidth="1"/>
    <col min="14340" max="14340" width="23.85546875" style="53" customWidth="1"/>
    <col min="14341" max="14341" width="16" style="53" bestFit="1" customWidth="1"/>
    <col min="14342" max="14342" width="13.7109375" style="53" bestFit="1" customWidth="1"/>
    <col min="14343" max="14343" width="15.7109375" style="53" bestFit="1" customWidth="1"/>
    <col min="14344" max="14344" width="13.140625" style="53" bestFit="1" customWidth="1"/>
    <col min="14345" max="14345" width="11.85546875" style="53" bestFit="1" customWidth="1"/>
    <col min="14346" max="14346" width="12.85546875" style="53" bestFit="1" customWidth="1"/>
    <col min="14347" max="14592" width="9.140625" style="53"/>
    <col min="14593" max="14593" width="9.28515625" style="53" customWidth="1"/>
    <col min="14594" max="14594" width="39.85546875" style="53" customWidth="1"/>
    <col min="14595" max="14595" width="18.28515625" style="53" customWidth="1"/>
    <col min="14596" max="14596" width="23.85546875" style="53" customWidth="1"/>
    <col min="14597" max="14597" width="16" style="53" bestFit="1" customWidth="1"/>
    <col min="14598" max="14598" width="13.7109375" style="53" bestFit="1" customWidth="1"/>
    <col min="14599" max="14599" width="15.7109375" style="53" bestFit="1" customWidth="1"/>
    <col min="14600" max="14600" width="13.140625" style="53" bestFit="1" customWidth="1"/>
    <col min="14601" max="14601" width="11.85546875" style="53" bestFit="1" customWidth="1"/>
    <col min="14602" max="14602" width="12.85546875" style="53" bestFit="1" customWidth="1"/>
    <col min="14603" max="14848" width="9.140625" style="53"/>
    <col min="14849" max="14849" width="9.28515625" style="53" customWidth="1"/>
    <col min="14850" max="14850" width="39.85546875" style="53" customWidth="1"/>
    <col min="14851" max="14851" width="18.28515625" style="53" customWidth="1"/>
    <col min="14852" max="14852" width="23.85546875" style="53" customWidth="1"/>
    <col min="14853" max="14853" width="16" style="53" bestFit="1" customWidth="1"/>
    <col min="14854" max="14854" width="13.7109375" style="53" bestFit="1" customWidth="1"/>
    <col min="14855" max="14855" width="15.7109375" style="53" bestFit="1" customWidth="1"/>
    <col min="14856" max="14856" width="13.140625" style="53" bestFit="1" customWidth="1"/>
    <col min="14857" max="14857" width="11.85546875" style="53" bestFit="1" customWidth="1"/>
    <col min="14858" max="14858" width="12.85546875" style="53" bestFit="1" customWidth="1"/>
    <col min="14859" max="15104" width="9.140625" style="53"/>
    <col min="15105" max="15105" width="9.28515625" style="53" customWidth="1"/>
    <col min="15106" max="15106" width="39.85546875" style="53" customWidth="1"/>
    <col min="15107" max="15107" width="18.28515625" style="53" customWidth="1"/>
    <col min="15108" max="15108" width="23.85546875" style="53" customWidth="1"/>
    <col min="15109" max="15109" width="16" style="53" bestFit="1" customWidth="1"/>
    <col min="15110" max="15110" width="13.7109375" style="53" bestFit="1" customWidth="1"/>
    <col min="15111" max="15111" width="15.7109375" style="53" bestFit="1" customWidth="1"/>
    <col min="15112" max="15112" width="13.140625" style="53" bestFit="1" customWidth="1"/>
    <col min="15113" max="15113" width="11.85546875" style="53" bestFit="1" customWidth="1"/>
    <col min="15114" max="15114" width="12.85546875" style="53" bestFit="1" customWidth="1"/>
    <col min="15115" max="15360" width="9.140625" style="53"/>
    <col min="15361" max="15361" width="9.28515625" style="53" customWidth="1"/>
    <col min="15362" max="15362" width="39.85546875" style="53" customWidth="1"/>
    <col min="15363" max="15363" width="18.28515625" style="53" customWidth="1"/>
    <col min="15364" max="15364" width="23.85546875" style="53" customWidth="1"/>
    <col min="15365" max="15365" width="16" style="53" bestFit="1" customWidth="1"/>
    <col min="15366" max="15366" width="13.7109375" style="53" bestFit="1" customWidth="1"/>
    <col min="15367" max="15367" width="15.7109375" style="53" bestFit="1" customWidth="1"/>
    <col min="15368" max="15368" width="13.140625" style="53" bestFit="1" customWidth="1"/>
    <col min="15369" max="15369" width="11.85546875" style="53" bestFit="1" customWidth="1"/>
    <col min="15370" max="15370" width="12.85546875" style="53" bestFit="1" customWidth="1"/>
    <col min="15371" max="15616" width="9.140625" style="53"/>
    <col min="15617" max="15617" width="9.28515625" style="53" customWidth="1"/>
    <col min="15618" max="15618" width="39.85546875" style="53" customWidth="1"/>
    <col min="15619" max="15619" width="18.28515625" style="53" customWidth="1"/>
    <col min="15620" max="15620" width="23.85546875" style="53" customWidth="1"/>
    <col min="15621" max="15621" width="16" style="53" bestFit="1" customWidth="1"/>
    <col min="15622" max="15622" width="13.7109375" style="53" bestFit="1" customWidth="1"/>
    <col min="15623" max="15623" width="15.7109375" style="53" bestFit="1" customWidth="1"/>
    <col min="15624" max="15624" width="13.140625" style="53" bestFit="1" customWidth="1"/>
    <col min="15625" max="15625" width="11.85546875" style="53" bestFit="1" customWidth="1"/>
    <col min="15626" max="15626" width="12.85546875" style="53" bestFit="1" customWidth="1"/>
    <col min="15627" max="15872" width="9.140625" style="53"/>
    <col min="15873" max="15873" width="9.28515625" style="53" customWidth="1"/>
    <col min="15874" max="15874" width="39.85546875" style="53" customWidth="1"/>
    <col min="15875" max="15875" width="18.28515625" style="53" customWidth="1"/>
    <col min="15876" max="15876" width="23.85546875" style="53" customWidth="1"/>
    <col min="15877" max="15877" width="16" style="53" bestFit="1" customWidth="1"/>
    <col min="15878" max="15878" width="13.7109375" style="53" bestFit="1" customWidth="1"/>
    <col min="15879" max="15879" width="15.7109375" style="53" bestFit="1" customWidth="1"/>
    <col min="15880" max="15880" width="13.140625" style="53" bestFit="1" customWidth="1"/>
    <col min="15881" max="15881" width="11.85546875" style="53" bestFit="1" customWidth="1"/>
    <col min="15882" max="15882" width="12.85546875" style="53" bestFit="1" customWidth="1"/>
    <col min="15883" max="16128" width="9.140625" style="53"/>
    <col min="16129" max="16129" width="9.28515625" style="53" customWidth="1"/>
    <col min="16130" max="16130" width="39.85546875" style="53" customWidth="1"/>
    <col min="16131" max="16131" width="18.28515625" style="53" customWidth="1"/>
    <col min="16132" max="16132" width="23.85546875" style="53" customWidth="1"/>
    <col min="16133" max="16133" width="16" style="53" bestFit="1" customWidth="1"/>
    <col min="16134" max="16134" width="13.7109375" style="53" bestFit="1" customWidth="1"/>
    <col min="16135" max="16135" width="15.7109375" style="53" bestFit="1" customWidth="1"/>
    <col min="16136" max="16136" width="13.140625" style="53" bestFit="1" customWidth="1"/>
    <col min="16137" max="16137" width="11.85546875" style="53" bestFit="1" customWidth="1"/>
    <col min="16138" max="16138" width="12.85546875" style="53" bestFit="1" customWidth="1"/>
    <col min="16139" max="16384" width="9.140625" style="53"/>
  </cols>
  <sheetData>
    <row r="3" spans="1:7" ht="15.75" customHeight="1">
      <c r="A3" s="543" t="s">
        <v>255</v>
      </c>
      <c r="B3" s="543"/>
      <c r="C3" s="543"/>
      <c r="D3" s="543"/>
      <c r="E3" s="52"/>
      <c r="F3" s="52"/>
      <c r="G3" s="52"/>
    </row>
    <row r="4" spans="1:7">
      <c r="A4" s="543"/>
      <c r="B4" s="543"/>
      <c r="C4" s="543"/>
      <c r="D4" s="543"/>
      <c r="E4" s="52"/>
      <c r="F4" s="52"/>
      <c r="G4" s="52"/>
    </row>
    <row r="5" spans="1:7">
      <c r="A5" s="54"/>
      <c r="B5" s="52"/>
      <c r="C5" s="52"/>
      <c r="D5" s="52"/>
      <c r="E5" s="52"/>
      <c r="F5" s="52"/>
      <c r="G5" s="52"/>
    </row>
    <row r="6" spans="1:7" ht="15.75" customHeight="1">
      <c r="A6" s="544" t="s">
        <v>550</v>
      </c>
      <c r="B6" s="544"/>
      <c r="C6" s="544"/>
      <c r="D6" s="544"/>
      <c r="E6" s="52"/>
      <c r="F6" s="52"/>
      <c r="G6" s="52"/>
    </row>
    <row r="7" spans="1:7">
      <c r="A7" s="522"/>
      <c r="B7" s="522"/>
      <c r="C7" s="522"/>
      <c r="D7" s="522"/>
    </row>
    <row r="8" spans="1:7">
      <c r="A8" s="237" t="s">
        <v>551</v>
      </c>
      <c r="B8" s="238"/>
      <c r="C8" s="187"/>
      <c r="D8" s="187"/>
    </row>
    <row r="9" spans="1:7">
      <c r="A9" s="522"/>
      <c r="B9" s="522"/>
      <c r="C9" s="522"/>
      <c r="D9" s="522"/>
    </row>
    <row r="10" spans="1:7">
      <c r="A10" s="57" t="s">
        <v>256</v>
      </c>
      <c r="B10" s="188"/>
      <c r="C10" s="187"/>
      <c r="D10" s="187"/>
    </row>
    <row r="11" spans="1:7">
      <c r="A11" s="59" t="s">
        <v>257</v>
      </c>
      <c r="B11" s="541" t="s">
        <v>258</v>
      </c>
      <c r="C11" s="542"/>
      <c r="D11" s="239">
        <v>42550</v>
      </c>
    </row>
    <row r="12" spans="1:7">
      <c r="A12" s="59" t="s">
        <v>259</v>
      </c>
      <c r="B12" s="62" t="s">
        <v>260</v>
      </c>
      <c r="C12" s="63"/>
      <c r="D12" s="240" t="s">
        <v>374</v>
      </c>
    </row>
    <row r="13" spans="1:7">
      <c r="A13" s="59" t="s">
        <v>261</v>
      </c>
      <c r="B13" s="541" t="s">
        <v>262</v>
      </c>
      <c r="C13" s="542"/>
      <c r="D13" s="240">
        <v>2016</v>
      </c>
    </row>
    <row r="14" spans="1:7">
      <c r="A14" s="64" t="s">
        <v>263</v>
      </c>
      <c r="B14" s="65" t="s">
        <v>555</v>
      </c>
      <c r="C14" s="66"/>
      <c r="D14" s="239">
        <v>42625</v>
      </c>
    </row>
    <row r="16" spans="1:7">
      <c r="A16" s="190"/>
    </row>
    <row r="17" spans="1:7">
      <c r="A17" s="523"/>
      <c r="B17" s="523"/>
      <c r="C17" s="523"/>
      <c r="D17" s="523"/>
      <c r="E17" s="523"/>
      <c r="F17" s="523"/>
      <c r="G17" s="523"/>
    </row>
    <row r="18" spans="1:7" ht="35.25" customHeight="1">
      <c r="A18" s="545" t="s">
        <v>264</v>
      </c>
      <c r="B18" s="545"/>
      <c r="C18" s="67" t="s">
        <v>265</v>
      </c>
      <c r="D18" s="67" t="s">
        <v>266</v>
      </c>
    </row>
    <row r="19" spans="1:7">
      <c r="A19" s="241">
        <v>1</v>
      </c>
      <c r="B19" s="242" t="s">
        <v>561</v>
      </c>
      <c r="C19" s="241" t="s">
        <v>267</v>
      </c>
      <c r="D19" s="243">
        <v>1</v>
      </c>
    </row>
    <row r="20" spans="1:7">
      <c r="A20" s="68"/>
      <c r="B20" s="69"/>
      <c r="C20" s="68"/>
      <c r="D20" s="70"/>
    </row>
    <row r="21" spans="1:7">
      <c r="A21" s="522" t="s">
        <v>268</v>
      </c>
      <c r="B21" s="522"/>
      <c r="C21" s="522"/>
      <c r="D21" s="522"/>
      <c r="E21" s="522"/>
      <c r="F21" s="522"/>
      <c r="G21" s="522"/>
    </row>
    <row r="22" spans="1:7">
      <c r="A22" s="71"/>
    </row>
    <row r="23" spans="1:7">
      <c r="A23" s="57" t="s">
        <v>269</v>
      </c>
    </row>
    <row r="24" spans="1:7">
      <c r="A24" s="57" t="s">
        <v>270</v>
      </c>
    </row>
    <row r="25" spans="1:7">
      <c r="A25" s="72" t="s">
        <v>271</v>
      </c>
      <c r="B25" s="60"/>
      <c r="C25" s="60"/>
      <c r="D25" s="61"/>
    </row>
    <row r="26" spans="1:7">
      <c r="A26" s="73">
        <v>1</v>
      </c>
      <c r="B26" s="74" t="s">
        <v>272</v>
      </c>
      <c r="C26" s="74"/>
      <c r="D26" s="244" t="str">
        <f>B19</f>
        <v>JARDINEIRO</v>
      </c>
    </row>
    <row r="27" spans="1:7" ht="30.75" customHeight="1">
      <c r="A27" s="73">
        <v>2</v>
      </c>
      <c r="B27" s="539" t="s">
        <v>273</v>
      </c>
      <c r="C27" s="540"/>
      <c r="D27" s="175">
        <v>1176</v>
      </c>
    </row>
    <row r="28" spans="1:7" ht="31.5" customHeight="1">
      <c r="A28" s="73">
        <v>3</v>
      </c>
      <c r="B28" s="539" t="s">
        <v>274</v>
      </c>
      <c r="C28" s="540"/>
      <c r="D28" s="176" t="s">
        <v>375</v>
      </c>
    </row>
    <row r="29" spans="1:7">
      <c r="A29" s="75">
        <v>4</v>
      </c>
      <c r="B29" s="76" t="s">
        <v>275</v>
      </c>
      <c r="C29" s="76"/>
      <c r="D29" s="77">
        <v>42401</v>
      </c>
    </row>
    <row r="30" spans="1:7">
      <c r="A30" s="71"/>
    </row>
    <row r="31" spans="1:7">
      <c r="A31" s="71"/>
    </row>
    <row r="32" spans="1:7">
      <c r="A32" s="71"/>
    </row>
    <row r="33" spans="1:7" ht="16.5" customHeight="1" thickBot="1">
      <c r="A33" s="523" t="s">
        <v>276</v>
      </c>
      <c r="B33" s="523"/>
      <c r="C33" s="523"/>
      <c r="D33" s="523"/>
      <c r="E33" s="523"/>
      <c r="F33" s="52"/>
      <c r="G33" s="52"/>
    </row>
    <row r="34" spans="1:7" ht="16.5" thickBot="1">
      <c r="A34" s="78" t="s">
        <v>277</v>
      </c>
      <c r="B34" s="79" t="s">
        <v>278</v>
      </c>
      <c r="C34" s="80"/>
      <c r="D34" s="81" t="s">
        <v>279</v>
      </c>
    </row>
    <row r="35" spans="1:7">
      <c r="A35" s="82" t="s">
        <v>257</v>
      </c>
      <c r="B35" s="83" t="s">
        <v>280</v>
      </c>
      <c r="C35" s="84"/>
      <c r="D35" s="85">
        <f>ROUND(((D27/220)*(365.25/12)*(40/6)),2)</f>
        <v>1084.68</v>
      </c>
    </row>
    <row r="36" spans="1:7">
      <c r="A36" s="191" t="s">
        <v>259</v>
      </c>
      <c r="B36" s="87" t="s">
        <v>281</v>
      </c>
      <c r="C36" s="88"/>
      <c r="D36" s="89">
        <v>0</v>
      </c>
    </row>
    <row r="37" spans="1:7">
      <c r="A37" s="191" t="s">
        <v>261</v>
      </c>
      <c r="B37" s="87" t="s">
        <v>282</v>
      </c>
      <c r="C37" s="90"/>
      <c r="D37" s="89">
        <v>0</v>
      </c>
    </row>
    <row r="38" spans="1:7">
      <c r="A38" s="191" t="s">
        <v>263</v>
      </c>
      <c r="B38" s="91" t="s">
        <v>552</v>
      </c>
      <c r="C38" s="88"/>
      <c r="D38" s="89">
        <v>0</v>
      </c>
    </row>
    <row r="39" spans="1:7">
      <c r="A39" s="191" t="s">
        <v>284</v>
      </c>
      <c r="B39" s="91" t="s">
        <v>285</v>
      </c>
      <c r="C39" s="92"/>
      <c r="D39" s="89">
        <v>0</v>
      </c>
    </row>
    <row r="40" spans="1:7">
      <c r="A40" s="191" t="s">
        <v>286</v>
      </c>
      <c r="B40" s="93" t="s">
        <v>287</v>
      </c>
      <c r="C40" s="92"/>
      <c r="D40" s="89">
        <v>0</v>
      </c>
    </row>
    <row r="41" spans="1:7">
      <c r="A41" s="191" t="s">
        <v>288</v>
      </c>
      <c r="B41" s="93" t="s">
        <v>289</v>
      </c>
      <c r="C41" s="92"/>
      <c r="D41" s="89">
        <v>0</v>
      </c>
    </row>
    <row r="42" spans="1:7" ht="16.5" thickBot="1">
      <c r="A42" s="191" t="s">
        <v>290</v>
      </c>
      <c r="B42" s="94" t="s">
        <v>376</v>
      </c>
      <c r="C42" s="95"/>
      <c r="D42" s="89">
        <v>0</v>
      </c>
    </row>
    <row r="43" spans="1:7" ht="16.5" thickBot="1">
      <c r="A43" s="96"/>
      <c r="B43" s="97" t="s">
        <v>292</v>
      </c>
      <c r="C43" s="98"/>
      <c r="D43" s="99">
        <f>SUM(D35:D42)</f>
        <v>1084.68</v>
      </c>
    </row>
    <row r="44" spans="1:7">
      <c r="A44" s="190"/>
    </row>
    <row r="45" spans="1:7" ht="16.5" thickBot="1">
      <c r="A45" s="523" t="s">
        <v>293</v>
      </c>
      <c r="B45" s="523"/>
      <c r="C45" s="523"/>
      <c r="D45" s="523"/>
      <c r="E45" s="523"/>
      <c r="F45" s="523"/>
      <c r="G45" s="523"/>
    </row>
    <row r="46" spans="1:7" ht="16.5" thickBot="1">
      <c r="A46" s="100">
        <v>2</v>
      </c>
      <c r="B46" s="189" t="s">
        <v>294</v>
      </c>
      <c r="C46" s="102"/>
      <c r="D46" s="100" t="s">
        <v>279</v>
      </c>
    </row>
    <row r="47" spans="1:7">
      <c r="A47" s="82" t="s">
        <v>257</v>
      </c>
      <c r="B47" s="83" t="s">
        <v>295</v>
      </c>
      <c r="C47" s="103"/>
      <c r="D47" s="104">
        <f>(3.7*44)-(D35*6%)</f>
        <v>97.719200000000015</v>
      </c>
    </row>
    <row r="48" spans="1:7" ht="31.5">
      <c r="A48" s="105" t="s">
        <v>259</v>
      </c>
      <c r="B48" s="106" t="s">
        <v>296</v>
      </c>
      <c r="C48" s="90"/>
      <c r="D48" s="107">
        <f>330*(1-20%)</f>
        <v>264</v>
      </c>
    </row>
    <row r="49" spans="1:7">
      <c r="A49" s="191" t="s">
        <v>261</v>
      </c>
      <c r="B49" s="87" t="s">
        <v>389</v>
      </c>
      <c r="C49" s="90"/>
      <c r="D49" s="107">
        <v>50</v>
      </c>
    </row>
    <row r="50" spans="1:7">
      <c r="A50" s="191" t="s">
        <v>263</v>
      </c>
      <c r="B50" s="87" t="s">
        <v>297</v>
      </c>
      <c r="C50" s="88"/>
      <c r="D50" s="107">
        <v>0</v>
      </c>
    </row>
    <row r="51" spans="1:7">
      <c r="A51" s="191" t="s">
        <v>284</v>
      </c>
      <c r="B51" s="87" t="s">
        <v>390</v>
      </c>
      <c r="C51" s="92"/>
      <c r="D51" s="108">
        <v>16</v>
      </c>
    </row>
    <row r="52" spans="1:7" ht="16.5" customHeight="1">
      <c r="A52" s="191" t="s">
        <v>286</v>
      </c>
      <c r="B52" s="535" t="s">
        <v>377</v>
      </c>
      <c r="C52" s="536"/>
      <c r="D52" s="108">
        <v>16</v>
      </c>
    </row>
    <row r="53" spans="1:7" ht="16.5" thickBot="1">
      <c r="A53" s="109" t="s">
        <v>288</v>
      </c>
      <c r="B53" s="537" t="s">
        <v>291</v>
      </c>
      <c r="C53" s="538"/>
      <c r="D53" s="110">
        <v>0</v>
      </c>
    </row>
    <row r="54" spans="1:7" ht="16.5" thickBot="1">
      <c r="A54" s="111"/>
      <c r="B54" s="189" t="s">
        <v>298</v>
      </c>
      <c r="C54" s="112"/>
      <c r="D54" s="113">
        <f>SUM(D47:D53)</f>
        <v>443.7192</v>
      </c>
    </row>
    <row r="55" spans="1:7" ht="33" customHeight="1">
      <c r="A55" s="522" t="s">
        <v>299</v>
      </c>
      <c r="B55" s="522"/>
      <c r="C55" s="522"/>
      <c r="D55" s="522"/>
    </row>
    <row r="56" spans="1:7">
      <c r="A56" s="190"/>
    </row>
    <row r="57" spans="1:7" ht="16.5" thickBot="1">
      <c r="A57" s="523" t="s">
        <v>300</v>
      </c>
      <c r="B57" s="523"/>
      <c r="C57" s="523"/>
      <c r="D57" s="523"/>
      <c r="E57" s="523"/>
      <c r="F57" s="523"/>
      <c r="G57" s="523"/>
    </row>
    <row r="58" spans="1:7" ht="16.5" thickBot="1">
      <c r="A58" s="114">
        <v>3</v>
      </c>
      <c r="B58" s="189" t="s">
        <v>301</v>
      </c>
      <c r="C58" s="102"/>
      <c r="D58" s="100" t="s">
        <v>279</v>
      </c>
    </row>
    <row r="59" spans="1:7">
      <c r="A59" s="82" t="s">
        <v>257</v>
      </c>
      <c r="B59" s="83" t="s">
        <v>302</v>
      </c>
      <c r="C59" s="115"/>
      <c r="D59" s="116">
        <f>'ANEXO IV'!D55</f>
        <v>33.333333333333336</v>
      </c>
    </row>
    <row r="60" spans="1:7">
      <c r="A60" s="105" t="s">
        <v>259</v>
      </c>
      <c r="B60" s="106" t="s">
        <v>15</v>
      </c>
      <c r="C60" s="90"/>
      <c r="D60" s="107">
        <v>0</v>
      </c>
    </row>
    <row r="61" spans="1:7">
      <c r="A61" s="191" t="s">
        <v>261</v>
      </c>
      <c r="B61" s="87" t="s">
        <v>21</v>
      </c>
      <c r="C61" s="90"/>
      <c r="D61" s="107">
        <v>16.91</v>
      </c>
    </row>
    <row r="62" spans="1:7">
      <c r="A62" s="191" t="s">
        <v>263</v>
      </c>
      <c r="B62" s="535" t="s">
        <v>18</v>
      </c>
      <c r="C62" s="536"/>
      <c r="D62" s="108">
        <f>Equipamentos!D140</f>
        <v>18.423333333333336</v>
      </c>
    </row>
    <row r="63" spans="1:7" ht="16.5" thickBot="1">
      <c r="A63" s="109" t="s">
        <v>284</v>
      </c>
      <c r="B63" s="537" t="s">
        <v>291</v>
      </c>
      <c r="C63" s="538"/>
      <c r="D63" s="110">
        <v>0</v>
      </c>
    </row>
    <row r="64" spans="1:7" ht="16.5" thickBot="1">
      <c r="A64" s="111"/>
      <c r="B64" s="189" t="s">
        <v>303</v>
      </c>
      <c r="C64" s="112"/>
      <c r="D64" s="113">
        <f>SUM(D59:D63)</f>
        <v>68.666666666666671</v>
      </c>
    </row>
    <row r="65" spans="1:7">
      <c r="A65" s="522" t="s">
        <v>304</v>
      </c>
      <c r="B65" s="522"/>
      <c r="C65" s="522"/>
      <c r="D65" s="522"/>
      <c r="E65" s="522"/>
      <c r="F65" s="522"/>
      <c r="G65" s="522"/>
    </row>
    <row r="66" spans="1:7">
      <c r="A66" s="190"/>
    </row>
    <row r="67" spans="1:7">
      <c r="A67" s="523" t="s">
        <v>305</v>
      </c>
      <c r="B67" s="523"/>
      <c r="C67" s="523"/>
      <c r="D67" s="523"/>
      <c r="E67" s="523"/>
      <c r="F67" s="523"/>
      <c r="G67" s="523"/>
    </row>
    <row r="68" spans="1:7" ht="16.5" thickBot="1">
      <c r="A68" s="523" t="s">
        <v>306</v>
      </c>
      <c r="B68" s="523"/>
      <c r="C68" s="523"/>
      <c r="D68" s="523"/>
      <c r="E68" s="523"/>
      <c r="F68" s="523"/>
      <c r="G68" s="523"/>
    </row>
    <row r="69" spans="1:7" ht="16.5" thickBot="1">
      <c r="A69" s="117" t="s">
        <v>307</v>
      </c>
      <c r="B69" s="118" t="s">
        <v>308</v>
      </c>
      <c r="C69" s="117" t="s">
        <v>4</v>
      </c>
      <c r="D69" s="117" t="s">
        <v>279</v>
      </c>
    </row>
    <row r="70" spans="1:7">
      <c r="A70" s="82" t="s">
        <v>257</v>
      </c>
      <c r="B70" s="119" t="s">
        <v>8</v>
      </c>
      <c r="C70" s="120">
        <v>0.2</v>
      </c>
      <c r="D70" s="104">
        <f t="shared" ref="D70:D77" si="0">ROUND($D$43*C70,2)</f>
        <v>216.94</v>
      </c>
    </row>
    <row r="71" spans="1:7">
      <c r="A71" s="105" t="s">
        <v>259</v>
      </c>
      <c r="B71" s="121" t="s">
        <v>309</v>
      </c>
      <c r="C71" s="122">
        <v>1.4999999999999999E-2</v>
      </c>
      <c r="D71" s="107">
        <f t="shared" si="0"/>
        <v>16.27</v>
      </c>
    </row>
    <row r="72" spans="1:7">
      <c r="A72" s="191" t="s">
        <v>261</v>
      </c>
      <c r="B72" s="123" t="s">
        <v>310</v>
      </c>
      <c r="C72" s="122">
        <v>0.01</v>
      </c>
      <c r="D72" s="107">
        <f t="shared" si="0"/>
        <v>10.85</v>
      </c>
    </row>
    <row r="73" spans="1:7">
      <c r="A73" s="105" t="s">
        <v>263</v>
      </c>
      <c r="B73" s="121" t="s">
        <v>9</v>
      </c>
      <c r="C73" s="122">
        <v>2E-3</v>
      </c>
      <c r="D73" s="107">
        <f t="shared" si="0"/>
        <v>2.17</v>
      </c>
    </row>
    <row r="74" spans="1:7">
      <c r="A74" s="191" t="s">
        <v>284</v>
      </c>
      <c r="B74" s="123" t="s">
        <v>10</v>
      </c>
      <c r="C74" s="122">
        <v>2.5000000000000001E-2</v>
      </c>
      <c r="D74" s="107">
        <f t="shared" si="0"/>
        <v>27.12</v>
      </c>
    </row>
    <row r="75" spans="1:7">
      <c r="A75" s="105" t="s">
        <v>286</v>
      </c>
      <c r="B75" s="121" t="s">
        <v>11</v>
      </c>
      <c r="C75" s="122">
        <v>0.08</v>
      </c>
      <c r="D75" s="107">
        <f t="shared" si="0"/>
        <v>86.77</v>
      </c>
    </row>
    <row r="76" spans="1:7" ht="31.5">
      <c r="A76" s="191" t="s">
        <v>288</v>
      </c>
      <c r="B76" s="123" t="s">
        <v>378</v>
      </c>
      <c r="C76" s="141">
        <v>3.0499999999999999E-2</v>
      </c>
      <c r="D76" s="245">
        <f t="shared" si="0"/>
        <v>33.08</v>
      </c>
    </row>
    <row r="77" spans="1:7" ht="16.5" thickBot="1">
      <c r="A77" s="124" t="s">
        <v>290</v>
      </c>
      <c r="B77" s="125" t="s">
        <v>12</v>
      </c>
      <c r="C77" s="126">
        <v>6.0000000000000001E-3</v>
      </c>
      <c r="D77" s="110">
        <f t="shared" si="0"/>
        <v>6.51</v>
      </c>
    </row>
    <row r="78" spans="1:7" ht="16.5" thickBot="1">
      <c r="A78" s="530" t="s">
        <v>7</v>
      </c>
      <c r="B78" s="531"/>
      <c r="C78" s="127">
        <f>SUM(C70:C77)</f>
        <v>0.36850000000000005</v>
      </c>
      <c r="D78" s="113">
        <f>SUM(D70:D77)</f>
        <v>399.70999999999992</v>
      </c>
    </row>
    <row r="79" spans="1:7">
      <c r="A79" s="534" t="s">
        <v>311</v>
      </c>
      <c r="B79" s="534"/>
      <c r="C79" s="534"/>
      <c r="D79" s="534"/>
    </row>
    <row r="80" spans="1:7" ht="16.5" customHeight="1">
      <c r="A80" s="534" t="s">
        <v>312</v>
      </c>
      <c r="B80" s="534"/>
      <c r="C80" s="534"/>
      <c r="D80" s="534"/>
    </row>
    <row r="81" spans="1:7">
      <c r="A81" s="190"/>
    </row>
    <row r="82" spans="1:7" ht="16.5" thickBot="1">
      <c r="A82" s="523" t="s">
        <v>313</v>
      </c>
      <c r="B82" s="523"/>
      <c r="C82" s="523"/>
      <c r="D82" s="523"/>
      <c r="E82" s="523"/>
      <c r="F82" s="523"/>
      <c r="G82" s="523"/>
    </row>
    <row r="83" spans="1:7" ht="16.5" thickBot="1">
      <c r="A83" s="117" t="s">
        <v>314</v>
      </c>
      <c r="B83" s="118" t="s">
        <v>315</v>
      </c>
      <c r="C83" s="117" t="s">
        <v>4</v>
      </c>
      <c r="D83" s="117" t="s">
        <v>279</v>
      </c>
    </row>
    <row r="84" spans="1:7">
      <c r="A84" s="82" t="s">
        <v>257</v>
      </c>
      <c r="B84" s="119" t="s">
        <v>316</v>
      </c>
      <c r="C84" s="120">
        <f>((5/56)*100)/100</f>
        <v>8.9285714285714288E-2</v>
      </c>
      <c r="D84" s="104">
        <f>ROUND($D$43*C84,2)</f>
        <v>96.85</v>
      </c>
    </row>
    <row r="85" spans="1:7">
      <c r="A85" s="105" t="s">
        <v>259</v>
      </c>
      <c r="B85" s="121" t="s">
        <v>317</v>
      </c>
      <c r="C85" s="128">
        <f>(1/3)*(5/56)</f>
        <v>2.976190476190476E-2</v>
      </c>
      <c r="D85" s="129">
        <f>ROUND($D$43*C85,2)</f>
        <v>32.28</v>
      </c>
    </row>
    <row r="86" spans="1:7">
      <c r="A86" s="130" t="s">
        <v>318</v>
      </c>
      <c r="B86" s="121"/>
      <c r="C86" s="131">
        <f>SUM(C84:C85)</f>
        <v>0.11904761904761904</v>
      </c>
      <c r="D86" s="132">
        <f>SUM(D84:D85)</f>
        <v>129.13</v>
      </c>
    </row>
    <row r="87" spans="1:7" ht="32.25" thickBot="1">
      <c r="A87" s="105" t="s">
        <v>261</v>
      </c>
      <c r="B87" s="121" t="s">
        <v>319</v>
      </c>
      <c r="C87" s="122">
        <f>D87/D43</f>
        <v>4.386547184423055E-2</v>
      </c>
      <c r="D87" s="107">
        <f>ROUND(D78*C86,2)</f>
        <v>47.58</v>
      </c>
    </row>
    <row r="88" spans="1:7" ht="16.5" thickBot="1">
      <c r="A88" s="530" t="s">
        <v>7</v>
      </c>
      <c r="B88" s="531"/>
      <c r="C88" s="127">
        <f>C87+C86</f>
        <v>0.16291309089184958</v>
      </c>
      <c r="D88" s="113">
        <f>D86+D87</f>
        <v>176.70999999999998</v>
      </c>
    </row>
    <row r="89" spans="1:7">
      <c r="A89" s="190"/>
    </row>
    <row r="90" spans="1:7" ht="16.5" thickBot="1">
      <c r="A90" s="523" t="s">
        <v>320</v>
      </c>
      <c r="B90" s="523"/>
      <c r="C90" s="523"/>
      <c r="D90" s="523"/>
      <c r="E90" s="523"/>
      <c r="F90" s="523"/>
      <c r="G90" s="523"/>
    </row>
    <row r="91" spans="1:7" ht="16.5" thickBot="1">
      <c r="A91" s="117" t="s">
        <v>321</v>
      </c>
      <c r="B91" s="118" t="s">
        <v>322</v>
      </c>
      <c r="C91" s="117" t="s">
        <v>4</v>
      </c>
      <c r="D91" s="117" t="s">
        <v>279</v>
      </c>
    </row>
    <row r="92" spans="1:7">
      <c r="A92" s="82" t="s">
        <v>257</v>
      </c>
      <c r="B92" s="133" t="s">
        <v>323</v>
      </c>
      <c r="C92" s="120">
        <f>0.1111*0.02*0.3333</f>
        <v>7.4059259999999997E-4</v>
      </c>
      <c r="D92" s="104">
        <f>ROUND($D$43*C92,2)</f>
        <v>0.8</v>
      </c>
    </row>
    <row r="93" spans="1:7" ht="32.25" thickBot="1">
      <c r="A93" s="109" t="s">
        <v>259</v>
      </c>
      <c r="B93" s="134" t="s">
        <v>324</v>
      </c>
      <c r="C93" s="126">
        <f>D93/D43</f>
        <v>2.7657926761809933E-4</v>
      </c>
      <c r="D93" s="110">
        <f>ROUND(D78*C92,2)</f>
        <v>0.3</v>
      </c>
    </row>
    <row r="94" spans="1:7" ht="16.5" thickBot="1">
      <c r="A94" s="530" t="s">
        <v>7</v>
      </c>
      <c r="B94" s="531"/>
      <c r="C94" s="127">
        <f>SUM(C92:C93)</f>
        <v>1.0171718676180992E-3</v>
      </c>
      <c r="D94" s="113">
        <f>SUM(D92:D93)</f>
        <v>1.1000000000000001</v>
      </c>
    </row>
    <row r="95" spans="1:7">
      <c r="A95" s="190"/>
    </row>
    <row r="96" spans="1:7">
      <c r="A96" s="190"/>
    </row>
    <row r="97" spans="1:7" ht="16.5" thickBot="1">
      <c r="A97" s="523" t="s">
        <v>325</v>
      </c>
      <c r="B97" s="523"/>
      <c r="C97" s="523"/>
      <c r="D97" s="523"/>
      <c r="E97" s="523"/>
      <c r="F97" s="523"/>
      <c r="G97" s="523"/>
    </row>
    <row r="98" spans="1:7" ht="16.5" thickBot="1">
      <c r="A98" s="117" t="s">
        <v>326</v>
      </c>
      <c r="B98" s="118" t="s">
        <v>327</v>
      </c>
      <c r="C98" s="117" t="s">
        <v>4</v>
      </c>
      <c r="D98" s="117" t="s">
        <v>279</v>
      </c>
    </row>
    <row r="99" spans="1:7">
      <c r="A99" s="82" t="s">
        <v>257</v>
      </c>
      <c r="B99" s="133" t="s">
        <v>328</v>
      </c>
      <c r="C99" s="135">
        <f>((1/12)*0.05)</f>
        <v>4.1666666666666666E-3</v>
      </c>
      <c r="D99" s="104">
        <f>ROUND($D$43*C99,2)</f>
        <v>4.5199999999999996</v>
      </c>
    </row>
    <row r="100" spans="1:7" ht="31.5">
      <c r="A100" s="191" t="s">
        <v>259</v>
      </c>
      <c r="B100" s="91" t="s">
        <v>329</v>
      </c>
      <c r="C100" s="136">
        <f>D100/D43</f>
        <v>3.3189512114171918E-4</v>
      </c>
      <c r="D100" s="137">
        <f>ROUND(D75*C99,2)</f>
        <v>0.36</v>
      </c>
    </row>
    <row r="101" spans="1:7">
      <c r="A101" s="191" t="s">
        <v>261</v>
      </c>
      <c r="B101" s="138" t="s">
        <v>330</v>
      </c>
      <c r="C101" s="139">
        <f>0.08*0.5*0.9*(1+(5/56)+(5/56)+(1/3)*(5/56))</f>
        <v>4.3499999999999997E-2</v>
      </c>
      <c r="D101" s="107">
        <f>ROUND($D$43*C101,2)</f>
        <v>47.18</v>
      </c>
    </row>
    <row r="102" spans="1:7">
      <c r="A102" s="191" t="s">
        <v>263</v>
      </c>
      <c r="B102" s="138" t="s">
        <v>331</v>
      </c>
      <c r="C102" s="140">
        <f>(((7/30)/12))</f>
        <v>1.9444444444444445E-2</v>
      </c>
      <c r="D102" s="107">
        <f>ROUND($D$43*C102,2)</f>
        <v>21.09</v>
      </c>
    </row>
    <row r="103" spans="1:7" ht="31.5">
      <c r="A103" s="191" t="s">
        <v>284</v>
      </c>
      <c r="B103" s="138" t="s">
        <v>332</v>
      </c>
      <c r="C103" s="141">
        <f>D103/D43</f>
        <v>7.163403031308772E-3</v>
      </c>
      <c r="D103" s="107">
        <f>ROUND(D78*C102,2)</f>
        <v>7.77</v>
      </c>
    </row>
    <row r="104" spans="1:7" ht="16.5" thickBot="1">
      <c r="A104" s="109" t="s">
        <v>286</v>
      </c>
      <c r="B104" s="134" t="s">
        <v>333</v>
      </c>
      <c r="C104" s="142">
        <f>(40%+10%)*C75*C102</f>
        <v>7.7777777777777784E-4</v>
      </c>
      <c r="D104" s="107">
        <f>ROUND($D$43*C104,2)</f>
        <v>0.84</v>
      </c>
    </row>
    <row r="105" spans="1:7" ht="16.5" thickBot="1">
      <c r="A105" s="525" t="s">
        <v>7</v>
      </c>
      <c r="B105" s="526"/>
      <c r="C105" s="127">
        <f>SUM(C99:C104)</f>
        <v>7.5384187041339382E-2</v>
      </c>
      <c r="D105" s="143">
        <f>SUM(D99:D104)</f>
        <v>81.760000000000005</v>
      </c>
    </row>
    <row r="106" spans="1:7">
      <c r="A106" s="71"/>
    </row>
    <row r="107" spans="1:7" ht="16.5" thickBot="1">
      <c r="A107" s="523" t="s">
        <v>334</v>
      </c>
      <c r="B107" s="523"/>
      <c r="C107" s="523"/>
      <c r="D107" s="523"/>
      <c r="E107" s="523"/>
      <c r="F107" s="523"/>
      <c r="G107" s="523"/>
    </row>
    <row r="108" spans="1:7" ht="32.25" thickBot="1">
      <c r="A108" s="117" t="s">
        <v>335</v>
      </c>
      <c r="B108" s="118" t="s">
        <v>336</v>
      </c>
      <c r="C108" s="117" t="s">
        <v>4</v>
      </c>
      <c r="D108" s="117" t="s">
        <v>279</v>
      </c>
    </row>
    <row r="109" spans="1:7">
      <c r="A109" s="82" t="s">
        <v>257</v>
      </c>
      <c r="B109" s="133" t="s">
        <v>13</v>
      </c>
      <c r="C109" s="144">
        <f>(5/56)</f>
        <v>8.9285714285714288E-2</v>
      </c>
      <c r="D109" s="107">
        <f t="shared" ref="D109:D114" si="1">ROUND($D$43*C109,2)</f>
        <v>96.85</v>
      </c>
    </row>
    <row r="110" spans="1:7">
      <c r="A110" s="191" t="s">
        <v>259</v>
      </c>
      <c r="B110" s="138" t="s">
        <v>379</v>
      </c>
      <c r="C110" s="122">
        <f>(10.96/30)/12</f>
        <v>3.0444444444444444E-2</v>
      </c>
      <c r="D110" s="107">
        <f t="shared" si="1"/>
        <v>33.020000000000003</v>
      </c>
      <c r="E110" s="184"/>
    </row>
    <row r="111" spans="1:7">
      <c r="A111" s="191" t="s">
        <v>261</v>
      </c>
      <c r="B111" s="138" t="s">
        <v>337</v>
      </c>
      <c r="C111" s="122">
        <f>((5/30)/12)*0.015</f>
        <v>2.0833333333333332E-4</v>
      </c>
      <c r="D111" s="107">
        <f t="shared" si="1"/>
        <v>0.23</v>
      </c>
    </row>
    <row r="112" spans="1:7">
      <c r="A112" s="191" t="s">
        <v>263</v>
      </c>
      <c r="B112" s="138" t="s">
        <v>338</v>
      </c>
      <c r="C112" s="122">
        <f>((1/30)/12)</f>
        <v>2.7777777777777779E-3</v>
      </c>
      <c r="D112" s="107">
        <f t="shared" si="1"/>
        <v>3.01</v>
      </c>
    </row>
    <row r="113" spans="1:7">
      <c r="A113" s="191" t="s">
        <v>284</v>
      </c>
      <c r="B113" s="138" t="s">
        <v>339</v>
      </c>
      <c r="C113" s="122">
        <f>((15/30)/12)*0.0078</f>
        <v>3.2499999999999999E-4</v>
      </c>
      <c r="D113" s="107">
        <f t="shared" si="1"/>
        <v>0.35</v>
      </c>
    </row>
    <row r="114" spans="1:7">
      <c r="A114" s="191" t="s">
        <v>286</v>
      </c>
      <c r="B114" s="138" t="s">
        <v>291</v>
      </c>
      <c r="C114" s="145"/>
      <c r="D114" s="107">
        <f t="shared" si="1"/>
        <v>0</v>
      </c>
    </row>
    <row r="115" spans="1:7">
      <c r="A115" s="532" t="s">
        <v>318</v>
      </c>
      <c r="B115" s="533"/>
      <c r="C115" s="122">
        <f>SUM(C109:C114)</f>
        <v>0.12304126984126985</v>
      </c>
      <c r="D115" s="107">
        <f>SUM(D109:D114)</f>
        <v>133.45999999999998</v>
      </c>
    </row>
    <row r="116" spans="1:7" ht="32.25" thickBot="1">
      <c r="A116" s="109" t="s">
        <v>288</v>
      </c>
      <c r="B116" s="134" t="s">
        <v>340</v>
      </c>
      <c r="C116" s="142">
        <f>D116/$D$43</f>
        <v>4.534056127152708E-2</v>
      </c>
      <c r="D116" s="107">
        <f>ROUND(D78*C115,2)</f>
        <v>49.18</v>
      </c>
    </row>
    <row r="117" spans="1:7" ht="16.5" thickBot="1">
      <c r="A117" s="525" t="s">
        <v>7</v>
      </c>
      <c r="B117" s="526"/>
      <c r="C117" s="127">
        <f>C116+C115</f>
        <v>0.16838183111279692</v>
      </c>
      <c r="D117" s="146">
        <f>D116+D115</f>
        <v>182.64</v>
      </c>
    </row>
    <row r="118" spans="1:7">
      <c r="A118" s="190" t="s">
        <v>341</v>
      </c>
    </row>
    <row r="119" spans="1:7" ht="16.5" thickBot="1">
      <c r="A119" s="522" t="s">
        <v>342</v>
      </c>
      <c r="B119" s="522"/>
      <c r="C119" s="522"/>
      <c r="D119" s="522"/>
      <c r="E119" s="522"/>
      <c r="F119" s="522"/>
      <c r="G119" s="522"/>
    </row>
    <row r="120" spans="1:7" ht="32.25" customHeight="1" thickBot="1">
      <c r="A120" s="147">
        <v>4</v>
      </c>
      <c r="B120" s="148" t="s">
        <v>343</v>
      </c>
      <c r="C120" s="149" t="s">
        <v>4</v>
      </c>
      <c r="D120" s="150" t="s">
        <v>279</v>
      </c>
    </row>
    <row r="121" spans="1:7">
      <c r="A121" s="82" t="s">
        <v>307</v>
      </c>
      <c r="B121" s="133" t="s">
        <v>344</v>
      </c>
      <c r="C121" s="142">
        <f t="shared" ref="C121:C126" si="2">D121/$D$43</f>
        <v>0.16291440793598108</v>
      </c>
      <c r="D121" s="107">
        <f>D88</f>
        <v>176.70999999999998</v>
      </c>
    </row>
    <row r="122" spans="1:7">
      <c r="A122" s="191" t="s">
        <v>314</v>
      </c>
      <c r="B122" s="138" t="s">
        <v>308</v>
      </c>
      <c r="C122" s="142">
        <f t="shared" si="2"/>
        <v>0.36850499686543486</v>
      </c>
      <c r="D122" s="107">
        <f>D78</f>
        <v>399.70999999999992</v>
      </c>
    </row>
    <row r="123" spans="1:7">
      <c r="A123" s="191" t="s">
        <v>321</v>
      </c>
      <c r="B123" s="138" t="s">
        <v>323</v>
      </c>
      <c r="C123" s="142">
        <f t="shared" si="2"/>
        <v>1.0141239812663642E-3</v>
      </c>
      <c r="D123" s="107">
        <f>D94</f>
        <v>1.1000000000000001</v>
      </c>
    </row>
    <row r="124" spans="1:7">
      <c r="A124" s="151" t="s">
        <v>326</v>
      </c>
      <c r="B124" s="152" t="s">
        <v>345</v>
      </c>
      <c r="C124" s="142">
        <f t="shared" si="2"/>
        <v>7.537706973485267E-2</v>
      </c>
      <c r="D124" s="107">
        <f>D105</f>
        <v>81.760000000000005</v>
      </c>
    </row>
    <row r="125" spans="1:7">
      <c r="A125" s="153" t="s">
        <v>335</v>
      </c>
      <c r="B125" s="154" t="s">
        <v>346</v>
      </c>
      <c r="C125" s="142">
        <f t="shared" si="2"/>
        <v>0.16838145812589886</v>
      </c>
      <c r="D125" s="107">
        <f>D117</f>
        <v>182.64</v>
      </c>
    </row>
    <row r="126" spans="1:7" ht="16.5" thickBot="1">
      <c r="A126" s="191" t="s">
        <v>347</v>
      </c>
      <c r="B126" s="138" t="s">
        <v>291</v>
      </c>
      <c r="C126" s="142">
        <f t="shared" si="2"/>
        <v>0</v>
      </c>
      <c r="D126" s="107">
        <v>0</v>
      </c>
    </row>
    <row r="127" spans="1:7" ht="37.5" customHeight="1" thickBot="1">
      <c r="A127" s="530" t="s">
        <v>348</v>
      </c>
      <c r="B127" s="531"/>
      <c r="C127" s="127">
        <f>SUM(C121:C126)</f>
        <v>0.77619205664343383</v>
      </c>
      <c r="D127" s="113">
        <f>SUM(D121:D126)</f>
        <v>841.91999999999985</v>
      </c>
    </row>
    <row r="128" spans="1:7">
      <c r="A128" s="155"/>
      <c r="B128" s="155"/>
      <c r="C128" s="156"/>
      <c r="D128" s="157"/>
      <c r="E128" s="158"/>
      <c r="F128" s="159"/>
      <c r="G128" s="159"/>
    </row>
    <row r="129" spans="1:8" ht="16.5" thickBot="1">
      <c r="A129" s="522" t="s">
        <v>349</v>
      </c>
      <c r="B129" s="522"/>
      <c r="C129" s="522"/>
      <c r="D129" s="522"/>
      <c r="E129" s="522"/>
      <c r="F129" s="522"/>
      <c r="G129" s="522"/>
      <c r="H129" s="160"/>
    </row>
    <row r="130" spans="1:8" ht="16.5" thickBot="1">
      <c r="A130" s="147" t="s">
        <v>350</v>
      </c>
      <c r="B130" s="148" t="s">
        <v>351</v>
      </c>
      <c r="C130" s="149" t="s">
        <v>4</v>
      </c>
      <c r="D130" s="114" t="s">
        <v>279</v>
      </c>
      <c r="E130" s="161">
        <f>D43+D54+D64+D78+D88+D94+D105+D117</f>
        <v>2438.9858666666669</v>
      </c>
      <c r="G130" s="160"/>
    </row>
    <row r="131" spans="1:8">
      <c r="A131" s="82" t="s">
        <v>257</v>
      </c>
      <c r="B131" s="133" t="s">
        <v>352</v>
      </c>
      <c r="C131" s="162">
        <v>6.9976999999999998E-2</v>
      </c>
      <c r="D131" s="163">
        <f>E130*C131</f>
        <v>170.67291399173334</v>
      </c>
      <c r="G131" s="160"/>
    </row>
    <row r="132" spans="1:8">
      <c r="A132" s="191" t="s">
        <v>259</v>
      </c>
      <c r="B132" s="138" t="s">
        <v>353</v>
      </c>
      <c r="C132" s="142"/>
      <c r="D132" s="164"/>
      <c r="F132" s="165"/>
    </row>
    <row r="133" spans="1:8">
      <c r="A133" s="191"/>
      <c r="B133" s="138" t="s">
        <v>354</v>
      </c>
      <c r="C133" s="142"/>
      <c r="D133" s="129"/>
      <c r="F133" s="182"/>
      <c r="G133" s="160"/>
    </row>
    <row r="134" spans="1:8">
      <c r="A134" s="191"/>
      <c r="B134" s="138" t="s">
        <v>355</v>
      </c>
      <c r="C134" s="142">
        <v>7.5999999999999998E-2</v>
      </c>
      <c r="D134" s="107">
        <f>$D$152*C134</f>
        <v>235.91895898546753</v>
      </c>
      <c r="E134" s="165">
        <f>D152</f>
        <v>3104.1968287561517</v>
      </c>
      <c r="G134" s="160"/>
    </row>
    <row r="135" spans="1:8">
      <c r="A135" s="191"/>
      <c r="B135" s="138" t="s">
        <v>356</v>
      </c>
      <c r="C135" s="142">
        <v>1.6500000000000001E-2</v>
      </c>
      <c r="D135" s="107">
        <f>$D$152*C135</f>
        <v>51.219247674476506</v>
      </c>
      <c r="E135" s="246"/>
      <c r="G135" s="160"/>
    </row>
    <row r="136" spans="1:8">
      <c r="A136" s="191"/>
      <c r="B136" s="138" t="s">
        <v>357</v>
      </c>
      <c r="C136" s="142"/>
      <c r="D136" s="107"/>
    </row>
    <row r="137" spans="1:8">
      <c r="A137" s="191"/>
      <c r="B137" s="138" t="s">
        <v>358</v>
      </c>
      <c r="C137" s="142">
        <v>0.05</v>
      </c>
      <c r="D137" s="107">
        <f>$D$152*C137</f>
        <v>155.2098414378076</v>
      </c>
      <c r="G137" s="160"/>
    </row>
    <row r="138" spans="1:8">
      <c r="A138" s="191"/>
      <c r="B138" s="138" t="s">
        <v>359</v>
      </c>
      <c r="C138" s="142"/>
      <c r="D138" s="107"/>
    </row>
    <row r="139" spans="1:8" ht="16.5" thickBot="1">
      <c r="A139" s="191" t="s">
        <v>261</v>
      </c>
      <c r="B139" s="138" t="s">
        <v>360</v>
      </c>
      <c r="C139" s="142">
        <v>0.02</v>
      </c>
      <c r="D139" s="107">
        <f>ROUND(E139*C139,2)</f>
        <v>52.19</v>
      </c>
      <c r="E139" s="132">
        <f>E130+D131</f>
        <v>2609.6587806584002</v>
      </c>
    </row>
    <row r="140" spans="1:8" ht="33" customHeight="1" thickBot="1">
      <c r="A140" s="527" t="s">
        <v>361</v>
      </c>
      <c r="B140" s="528"/>
      <c r="C140" s="529"/>
      <c r="D140" s="166">
        <f>D131+D134+D135+D137+D139</f>
        <v>665.21096208948507</v>
      </c>
    </row>
    <row r="141" spans="1:8">
      <c r="A141" s="522" t="s">
        <v>362</v>
      </c>
      <c r="B141" s="522"/>
      <c r="C141" s="522"/>
      <c r="D141" s="522"/>
      <c r="E141" s="522"/>
      <c r="F141" s="522"/>
      <c r="G141" s="522"/>
    </row>
    <row r="142" spans="1:8">
      <c r="A142" s="522" t="s">
        <v>363</v>
      </c>
      <c r="B142" s="522"/>
      <c r="C142" s="522"/>
      <c r="D142" s="522"/>
      <c r="E142" s="522"/>
      <c r="F142" s="522"/>
      <c r="G142" s="522"/>
    </row>
    <row r="143" spans="1:8">
      <c r="A143" s="190"/>
    </row>
    <row r="144" spans="1:8" ht="16.5" thickBot="1">
      <c r="A144" s="523" t="s">
        <v>364</v>
      </c>
      <c r="B144" s="523"/>
      <c r="C144" s="523"/>
      <c r="D144" s="523"/>
      <c r="E144" s="523"/>
      <c r="F144" s="523"/>
      <c r="G144" s="523"/>
    </row>
    <row r="145" spans="1:8" ht="32.25" customHeight="1" thickBot="1">
      <c r="A145" s="147"/>
      <c r="B145" s="524" t="s">
        <v>365</v>
      </c>
      <c r="C145" s="524"/>
      <c r="D145" s="167" t="s">
        <v>366</v>
      </c>
    </row>
    <row r="146" spans="1:8">
      <c r="A146" s="191" t="s">
        <v>257</v>
      </c>
      <c r="B146" s="138" t="s">
        <v>367</v>
      </c>
      <c r="C146" s="122">
        <f t="shared" ref="C146:C151" si="3">D146/$D$152</f>
        <v>0.34942371886728268</v>
      </c>
      <c r="D146" s="129">
        <f>D43</f>
        <v>1084.68</v>
      </c>
    </row>
    <row r="147" spans="1:8">
      <c r="A147" s="191" t="s">
        <v>259</v>
      </c>
      <c r="B147" s="138" t="s">
        <v>368</v>
      </c>
      <c r="C147" s="122">
        <f t="shared" si="3"/>
        <v>0.14294170907255188</v>
      </c>
      <c r="D147" s="129">
        <f>D54</f>
        <v>443.7192</v>
      </c>
    </row>
    <row r="148" spans="1:8" ht="31.5">
      <c r="A148" s="191" t="s">
        <v>261</v>
      </c>
      <c r="B148" s="138" t="s">
        <v>369</v>
      </c>
      <c r="C148" s="122">
        <f t="shared" si="3"/>
        <v>2.2120590431174859E-2</v>
      </c>
      <c r="D148" s="129">
        <f>D64</f>
        <v>68.666666666666671</v>
      </c>
      <c r="E148" s="165">
        <f>D150+D131+D139</f>
        <v>2661.8487806584003</v>
      </c>
    </row>
    <row r="149" spans="1:8" ht="31.5">
      <c r="A149" s="191" t="s">
        <v>263</v>
      </c>
      <c r="B149" s="138" t="s">
        <v>370</v>
      </c>
      <c r="C149" s="122">
        <f t="shared" si="3"/>
        <v>0.27121991498759318</v>
      </c>
      <c r="D149" s="129">
        <f>D127</f>
        <v>841.91999999999985</v>
      </c>
      <c r="E149" s="174">
        <f>C137+C135+C134</f>
        <v>0.14250000000000002</v>
      </c>
    </row>
    <row r="150" spans="1:8" ht="16.5" customHeight="1">
      <c r="A150" s="168" t="s">
        <v>371</v>
      </c>
      <c r="B150" s="169"/>
      <c r="C150" s="131">
        <f t="shared" si="3"/>
        <v>0.78570593335860273</v>
      </c>
      <c r="D150" s="170">
        <f>SUM(D146:D149)</f>
        <v>2438.9858666666669</v>
      </c>
      <c r="E150" s="174">
        <f>100%-E149</f>
        <v>0.85749999999999993</v>
      </c>
    </row>
    <row r="151" spans="1:8" ht="32.25" thickBot="1">
      <c r="A151" s="191" t="s">
        <v>284</v>
      </c>
      <c r="B151" s="138" t="s">
        <v>372</v>
      </c>
      <c r="C151" s="122">
        <f t="shared" si="3"/>
        <v>0.21429406664139733</v>
      </c>
      <c r="D151" s="129">
        <f>D140</f>
        <v>665.21096208948507</v>
      </c>
      <c r="G151" s="171"/>
    </row>
    <row r="152" spans="1:8" ht="16.5" customHeight="1" thickBot="1">
      <c r="A152" s="525" t="s">
        <v>373</v>
      </c>
      <c r="B152" s="526"/>
      <c r="C152" s="127">
        <f>C151+C150</f>
        <v>1</v>
      </c>
      <c r="D152" s="166">
        <f>(D150+D139+D131)/0.8575</f>
        <v>3104.1968287561517</v>
      </c>
      <c r="E152" s="171"/>
      <c r="F152" s="165">
        <f>D150+D151</f>
        <v>3104.1968287561522</v>
      </c>
      <c r="H152" s="172"/>
    </row>
    <row r="153" spans="1:8">
      <c r="E153" s="171"/>
    </row>
    <row r="154" spans="1:8">
      <c r="A154" s="186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1.299212598425197" right="0.51181102362204722" top="2.1653543307086616" bottom="0.98425196850393704" header="0.31496062992125984" footer="0.31496062992125984"/>
  <pageSetup paperSize="9" scale="79" fitToHeight="4" orientation="portrait" r:id="rId1"/>
  <headerFooter alignWithMargins="0"/>
  <rowBreaks count="3" manualBreakCount="3">
    <brk id="43" max="3" man="1"/>
    <brk id="88" max="3" man="1"/>
    <brk id="128" max="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154"/>
  <sheetViews>
    <sheetView showGridLines="0" view="pageBreakPreview" topLeftCell="A15" zoomScale="90" zoomScaleSheetLayoutView="90" workbookViewId="0">
      <selection activeCell="D48" sqref="D48"/>
    </sheetView>
  </sheetViews>
  <sheetFormatPr defaultRowHeight="15.75"/>
  <cols>
    <col min="1" max="1" width="9.28515625" style="53" customWidth="1"/>
    <col min="2" max="2" width="39.85546875" style="53" customWidth="1"/>
    <col min="3" max="3" width="18.28515625" style="53" customWidth="1"/>
    <col min="4" max="4" width="23.85546875" style="53" customWidth="1"/>
    <col min="5" max="5" width="16" style="53" bestFit="1" customWidth="1"/>
    <col min="6" max="6" width="13.7109375" style="53" bestFit="1" customWidth="1"/>
    <col min="7" max="7" width="15.7109375" style="53" bestFit="1" customWidth="1"/>
    <col min="8" max="8" width="13.140625" style="53" bestFit="1" customWidth="1"/>
    <col min="9" max="9" width="11.85546875" style="53" bestFit="1" customWidth="1"/>
    <col min="10" max="10" width="12.85546875" style="53" bestFit="1" customWidth="1"/>
    <col min="11" max="256" width="9.140625" style="53"/>
    <col min="257" max="257" width="9.28515625" style="53" customWidth="1"/>
    <col min="258" max="258" width="39.85546875" style="53" customWidth="1"/>
    <col min="259" max="259" width="18.28515625" style="53" customWidth="1"/>
    <col min="260" max="260" width="23.85546875" style="53" customWidth="1"/>
    <col min="261" max="261" width="16" style="53" bestFit="1" customWidth="1"/>
    <col min="262" max="262" width="13.7109375" style="53" bestFit="1" customWidth="1"/>
    <col min="263" max="263" width="15.7109375" style="53" bestFit="1" customWidth="1"/>
    <col min="264" max="264" width="13.140625" style="53" bestFit="1" customWidth="1"/>
    <col min="265" max="265" width="11.85546875" style="53" bestFit="1" customWidth="1"/>
    <col min="266" max="266" width="12.85546875" style="53" bestFit="1" customWidth="1"/>
    <col min="267" max="512" width="9.140625" style="53"/>
    <col min="513" max="513" width="9.28515625" style="53" customWidth="1"/>
    <col min="514" max="514" width="39.85546875" style="53" customWidth="1"/>
    <col min="515" max="515" width="18.28515625" style="53" customWidth="1"/>
    <col min="516" max="516" width="23.85546875" style="53" customWidth="1"/>
    <col min="517" max="517" width="16" style="53" bestFit="1" customWidth="1"/>
    <col min="518" max="518" width="13.7109375" style="53" bestFit="1" customWidth="1"/>
    <col min="519" max="519" width="15.7109375" style="53" bestFit="1" customWidth="1"/>
    <col min="520" max="520" width="13.140625" style="53" bestFit="1" customWidth="1"/>
    <col min="521" max="521" width="11.85546875" style="53" bestFit="1" customWidth="1"/>
    <col min="522" max="522" width="12.85546875" style="53" bestFit="1" customWidth="1"/>
    <col min="523" max="768" width="9.140625" style="53"/>
    <col min="769" max="769" width="9.28515625" style="53" customWidth="1"/>
    <col min="770" max="770" width="39.85546875" style="53" customWidth="1"/>
    <col min="771" max="771" width="18.28515625" style="53" customWidth="1"/>
    <col min="772" max="772" width="23.85546875" style="53" customWidth="1"/>
    <col min="773" max="773" width="16" style="53" bestFit="1" customWidth="1"/>
    <col min="774" max="774" width="13.7109375" style="53" bestFit="1" customWidth="1"/>
    <col min="775" max="775" width="15.7109375" style="53" bestFit="1" customWidth="1"/>
    <col min="776" max="776" width="13.140625" style="53" bestFit="1" customWidth="1"/>
    <col min="777" max="777" width="11.85546875" style="53" bestFit="1" customWidth="1"/>
    <col min="778" max="778" width="12.85546875" style="53" bestFit="1" customWidth="1"/>
    <col min="779" max="1024" width="9.140625" style="53"/>
    <col min="1025" max="1025" width="9.28515625" style="53" customWidth="1"/>
    <col min="1026" max="1026" width="39.85546875" style="53" customWidth="1"/>
    <col min="1027" max="1027" width="18.28515625" style="53" customWidth="1"/>
    <col min="1028" max="1028" width="23.85546875" style="53" customWidth="1"/>
    <col min="1029" max="1029" width="16" style="53" bestFit="1" customWidth="1"/>
    <col min="1030" max="1030" width="13.7109375" style="53" bestFit="1" customWidth="1"/>
    <col min="1031" max="1031" width="15.7109375" style="53" bestFit="1" customWidth="1"/>
    <col min="1032" max="1032" width="13.140625" style="53" bestFit="1" customWidth="1"/>
    <col min="1033" max="1033" width="11.85546875" style="53" bestFit="1" customWidth="1"/>
    <col min="1034" max="1034" width="12.85546875" style="53" bestFit="1" customWidth="1"/>
    <col min="1035" max="1280" width="9.140625" style="53"/>
    <col min="1281" max="1281" width="9.28515625" style="53" customWidth="1"/>
    <col min="1282" max="1282" width="39.85546875" style="53" customWidth="1"/>
    <col min="1283" max="1283" width="18.28515625" style="53" customWidth="1"/>
    <col min="1284" max="1284" width="23.85546875" style="53" customWidth="1"/>
    <col min="1285" max="1285" width="16" style="53" bestFit="1" customWidth="1"/>
    <col min="1286" max="1286" width="13.7109375" style="53" bestFit="1" customWidth="1"/>
    <col min="1287" max="1287" width="15.7109375" style="53" bestFit="1" customWidth="1"/>
    <col min="1288" max="1288" width="13.140625" style="53" bestFit="1" customWidth="1"/>
    <col min="1289" max="1289" width="11.85546875" style="53" bestFit="1" customWidth="1"/>
    <col min="1290" max="1290" width="12.85546875" style="53" bestFit="1" customWidth="1"/>
    <col min="1291" max="1536" width="9.140625" style="53"/>
    <col min="1537" max="1537" width="9.28515625" style="53" customWidth="1"/>
    <col min="1538" max="1538" width="39.85546875" style="53" customWidth="1"/>
    <col min="1539" max="1539" width="18.28515625" style="53" customWidth="1"/>
    <col min="1540" max="1540" width="23.85546875" style="53" customWidth="1"/>
    <col min="1541" max="1541" width="16" style="53" bestFit="1" customWidth="1"/>
    <col min="1542" max="1542" width="13.7109375" style="53" bestFit="1" customWidth="1"/>
    <col min="1543" max="1543" width="15.7109375" style="53" bestFit="1" customWidth="1"/>
    <col min="1544" max="1544" width="13.140625" style="53" bestFit="1" customWidth="1"/>
    <col min="1545" max="1545" width="11.85546875" style="53" bestFit="1" customWidth="1"/>
    <col min="1546" max="1546" width="12.85546875" style="53" bestFit="1" customWidth="1"/>
    <col min="1547" max="1792" width="9.140625" style="53"/>
    <col min="1793" max="1793" width="9.28515625" style="53" customWidth="1"/>
    <col min="1794" max="1794" width="39.85546875" style="53" customWidth="1"/>
    <col min="1795" max="1795" width="18.28515625" style="53" customWidth="1"/>
    <col min="1796" max="1796" width="23.85546875" style="53" customWidth="1"/>
    <col min="1797" max="1797" width="16" style="53" bestFit="1" customWidth="1"/>
    <col min="1798" max="1798" width="13.7109375" style="53" bestFit="1" customWidth="1"/>
    <col min="1799" max="1799" width="15.7109375" style="53" bestFit="1" customWidth="1"/>
    <col min="1800" max="1800" width="13.140625" style="53" bestFit="1" customWidth="1"/>
    <col min="1801" max="1801" width="11.85546875" style="53" bestFit="1" customWidth="1"/>
    <col min="1802" max="1802" width="12.85546875" style="53" bestFit="1" customWidth="1"/>
    <col min="1803" max="2048" width="9.140625" style="53"/>
    <col min="2049" max="2049" width="9.28515625" style="53" customWidth="1"/>
    <col min="2050" max="2050" width="39.85546875" style="53" customWidth="1"/>
    <col min="2051" max="2051" width="18.28515625" style="53" customWidth="1"/>
    <col min="2052" max="2052" width="23.85546875" style="53" customWidth="1"/>
    <col min="2053" max="2053" width="16" style="53" bestFit="1" customWidth="1"/>
    <col min="2054" max="2054" width="13.7109375" style="53" bestFit="1" customWidth="1"/>
    <col min="2055" max="2055" width="15.7109375" style="53" bestFit="1" customWidth="1"/>
    <col min="2056" max="2056" width="13.140625" style="53" bestFit="1" customWidth="1"/>
    <col min="2057" max="2057" width="11.85546875" style="53" bestFit="1" customWidth="1"/>
    <col min="2058" max="2058" width="12.85546875" style="53" bestFit="1" customWidth="1"/>
    <col min="2059" max="2304" width="9.140625" style="53"/>
    <col min="2305" max="2305" width="9.28515625" style="53" customWidth="1"/>
    <col min="2306" max="2306" width="39.85546875" style="53" customWidth="1"/>
    <col min="2307" max="2307" width="18.28515625" style="53" customWidth="1"/>
    <col min="2308" max="2308" width="23.85546875" style="53" customWidth="1"/>
    <col min="2309" max="2309" width="16" style="53" bestFit="1" customWidth="1"/>
    <col min="2310" max="2310" width="13.7109375" style="53" bestFit="1" customWidth="1"/>
    <col min="2311" max="2311" width="15.7109375" style="53" bestFit="1" customWidth="1"/>
    <col min="2312" max="2312" width="13.140625" style="53" bestFit="1" customWidth="1"/>
    <col min="2313" max="2313" width="11.85546875" style="53" bestFit="1" customWidth="1"/>
    <col min="2314" max="2314" width="12.85546875" style="53" bestFit="1" customWidth="1"/>
    <col min="2315" max="2560" width="9.140625" style="53"/>
    <col min="2561" max="2561" width="9.28515625" style="53" customWidth="1"/>
    <col min="2562" max="2562" width="39.85546875" style="53" customWidth="1"/>
    <col min="2563" max="2563" width="18.28515625" style="53" customWidth="1"/>
    <col min="2564" max="2564" width="23.85546875" style="53" customWidth="1"/>
    <col min="2565" max="2565" width="16" style="53" bestFit="1" customWidth="1"/>
    <col min="2566" max="2566" width="13.7109375" style="53" bestFit="1" customWidth="1"/>
    <col min="2567" max="2567" width="15.7109375" style="53" bestFit="1" customWidth="1"/>
    <col min="2568" max="2568" width="13.140625" style="53" bestFit="1" customWidth="1"/>
    <col min="2569" max="2569" width="11.85546875" style="53" bestFit="1" customWidth="1"/>
    <col min="2570" max="2570" width="12.85546875" style="53" bestFit="1" customWidth="1"/>
    <col min="2571" max="2816" width="9.140625" style="53"/>
    <col min="2817" max="2817" width="9.28515625" style="53" customWidth="1"/>
    <col min="2818" max="2818" width="39.85546875" style="53" customWidth="1"/>
    <col min="2819" max="2819" width="18.28515625" style="53" customWidth="1"/>
    <col min="2820" max="2820" width="23.85546875" style="53" customWidth="1"/>
    <col min="2821" max="2821" width="16" style="53" bestFit="1" customWidth="1"/>
    <col min="2822" max="2822" width="13.7109375" style="53" bestFit="1" customWidth="1"/>
    <col min="2823" max="2823" width="15.7109375" style="53" bestFit="1" customWidth="1"/>
    <col min="2824" max="2824" width="13.140625" style="53" bestFit="1" customWidth="1"/>
    <col min="2825" max="2825" width="11.85546875" style="53" bestFit="1" customWidth="1"/>
    <col min="2826" max="2826" width="12.85546875" style="53" bestFit="1" customWidth="1"/>
    <col min="2827" max="3072" width="9.140625" style="53"/>
    <col min="3073" max="3073" width="9.28515625" style="53" customWidth="1"/>
    <col min="3074" max="3074" width="39.85546875" style="53" customWidth="1"/>
    <col min="3075" max="3075" width="18.28515625" style="53" customWidth="1"/>
    <col min="3076" max="3076" width="23.85546875" style="53" customWidth="1"/>
    <col min="3077" max="3077" width="16" style="53" bestFit="1" customWidth="1"/>
    <col min="3078" max="3078" width="13.7109375" style="53" bestFit="1" customWidth="1"/>
    <col min="3079" max="3079" width="15.7109375" style="53" bestFit="1" customWidth="1"/>
    <col min="3080" max="3080" width="13.140625" style="53" bestFit="1" customWidth="1"/>
    <col min="3081" max="3081" width="11.85546875" style="53" bestFit="1" customWidth="1"/>
    <col min="3082" max="3082" width="12.85546875" style="53" bestFit="1" customWidth="1"/>
    <col min="3083" max="3328" width="9.140625" style="53"/>
    <col min="3329" max="3329" width="9.28515625" style="53" customWidth="1"/>
    <col min="3330" max="3330" width="39.85546875" style="53" customWidth="1"/>
    <col min="3331" max="3331" width="18.28515625" style="53" customWidth="1"/>
    <col min="3332" max="3332" width="23.85546875" style="53" customWidth="1"/>
    <col min="3333" max="3333" width="16" style="53" bestFit="1" customWidth="1"/>
    <col min="3334" max="3334" width="13.7109375" style="53" bestFit="1" customWidth="1"/>
    <col min="3335" max="3335" width="15.7109375" style="53" bestFit="1" customWidth="1"/>
    <col min="3336" max="3336" width="13.140625" style="53" bestFit="1" customWidth="1"/>
    <col min="3337" max="3337" width="11.85546875" style="53" bestFit="1" customWidth="1"/>
    <col min="3338" max="3338" width="12.85546875" style="53" bestFit="1" customWidth="1"/>
    <col min="3339" max="3584" width="9.140625" style="53"/>
    <col min="3585" max="3585" width="9.28515625" style="53" customWidth="1"/>
    <col min="3586" max="3586" width="39.85546875" style="53" customWidth="1"/>
    <col min="3587" max="3587" width="18.28515625" style="53" customWidth="1"/>
    <col min="3588" max="3588" width="23.85546875" style="53" customWidth="1"/>
    <col min="3589" max="3589" width="16" style="53" bestFit="1" customWidth="1"/>
    <col min="3590" max="3590" width="13.7109375" style="53" bestFit="1" customWidth="1"/>
    <col min="3591" max="3591" width="15.7109375" style="53" bestFit="1" customWidth="1"/>
    <col min="3592" max="3592" width="13.140625" style="53" bestFit="1" customWidth="1"/>
    <col min="3593" max="3593" width="11.85546875" style="53" bestFit="1" customWidth="1"/>
    <col min="3594" max="3594" width="12.85546875" style="53" bestFit="1" customWidth="1"/>
    <col min="3595" max="3840" width="9.140625" style="53"/>
    <col min="3841" max="3841" width="9.28515625" style="53" customWidth="1"/>
    <col min="3842" max="3842" width="39.85546875" style="53" customWidth="1"/>
    <col min="3843" max="3843" width="18.28515625" style="53" customWidth="1"/>
    <col min="3844" max="3844" width="23.85546875" style="53" customWidth="1"/>
    <col min="3845" max="3845" width="16" style="53" bestFit="1" customWidth="1"/>
    <col min="3846" max="3846" width="13.7109375" style="53" bestFit="1" customWidth="1"/>
    <col min="3847" max="3847" width="15.7109375" style="53" bestFit="1" customWidth="1"/>
    <col min="3848" max="3848" width="13.140625" style="53" bestFit="1" customWidth="1"/>
    <col min="3849" max="3849" width="11.85546875" style="53" bestFit="1" customWidth="1"/>
    <col min="3850" max="3850" width="12.85546875" style="53" bestFit="1" customWidth="1"/>
    <col min="3851" max="4096" width="9.140625" style="53"/>
    <col min="4097" max="4097" width="9.28515625" style="53" customWidth="1"/>
    <col min="4098" max="4098" width="39.85546875" style="53" customWidth="1"/>
    <col min="4099" max="4099" width="18.28515625" style="53" customWidth="1"/>
    <col min="4100" max="4100" width="23.85546875" style="53" customWidth="1"/>
    <col min="4101" max="4101" width="16" style="53" bestFit="1" customWidth="1"/>
    <col min="4102" max="4102" width="13.7109375" style="53" bestFit="1" customWidth="1"/>
    <col min="4103" max="4103" width="15.7109375" style="53" bestFit="1" customWidth="1"/>
    <col min="4104" max="4104" width="13.140625" style="53" bestFit="1" customWidth="1"/>
    <col min="4105" max="4105" width="11.85546875" style="53" bestFit="1" customWidth="1"/>
    <col min="4106" max="4106" width="12.85546875" style="53" bestFit="1" customWidth="1"/>
    <col min="4107" max="4352" width="9.140625" style="53"/>
    <col min="4353" max="4353" width="9.28515625" style="53" customWidth="1"/>
    <col min="4354" max="4354" width="39.85546875" style="53" customWidth="1"/>
    <col min="4355" max="4355" width="18.28515625" style="53" customWidth="1"/>
    <col min="4356" max="4356" width="23.85546875" style="53" customWidth="1"/>
    <col min="4357" max="4357" width="16" style="53" bestFit="1" customWidth="1"/>
    <col min="4358" max="4358" width="13.7109375" style="53" bestFit="1" customWidth="1"/>
    <col min="4359" max="4359" width="15.7109375" style="53" bestFit="1" customWidth="1"/>
    <col min="4360" max="4360" width="13.140625" style="53" bestFit="1" customWidth="1"/>
    <col min="4361" max="4361" width="11.85546875" style="53" bestFit="1" customWidth="1"/>
    <col min="4362" max="4362" width="12.85546875" style="53" bestFit="1" customWidth="1"/>
    <col min="4363" max="4608" width="9.140625" style="53"/>
    <col min="4609" max="4609" width="9.28515625" style="53" customWidth="1"/>
    <col min="4610" max="4610" width="39.85546875" style="53" customWidth="1"/>
    <col min="4611" max="4611" width="18.28515625" style="53" customWidth="1"/>
    <col min="4612" max="4612" width="23.85546875" style="53" customWidth="1"/>
    <col min="4613" max="4613" width="16" style="53" bestFit="1" customWidth="1"/>
    <col min="4614" max="4614" width="13.7109375" style="53" bestFit="1" customWidth="1"/>
    <col min="4615" max="4615" width="15.7109375" style="53" bestFit="1" customWidth="1"/>
    <col min="4616" max="4616" width="13.140625" style="53" bestFit="1" customWidth="1"/>
    <col min="4617" max="4617" width="11.85546875" style="53" bestFit="1" customWidth="1"/>
    <col min="4618" max="4618" width="12.85546875" style="53" bestFit="1" customWidth="1"/>
    <col min="4619" max="4864" width="9.140625" style="53"/>
    <col min="4865" max="4865" width="9.28515625" style="53" customWidth="1"/>
    <col min="4866" max="4866" width="39.85546875" style="53" customWidth="1"/>
    <col min="4867" max="4867" width="18.28515625" style="53" customWidth="1"/>
    <col min="4868" max="4868" width="23.85546875" style="53" customWidth="1"/>
    <col min="4869" max="4869" width="16" style="53" bestFit="1" customWidth="1"/>
    <col min="4870" max="4870" width="13.7109375" style="53" bestFit="1" customWidth="1"/>
    <col min="4871" max="4871" width="15.7109375" style="53" bestFit="1" customWidth="1"/>
    <col min="4872" max="4872" width="13.140625" style="53" bestFit="1" customWidth="1"/>
    <col min="4873" max="4873" width="11.85546875" style="53" bestFit="1" customWidth="1"/>
    <col min="4874" max="4874" width="12.85546875" style="53" bestFit="1" customWidth="1"/>
    <col min="4875" max="5120" width="9.140625" style="53"/>
    <col min="5121" max="5121" width="9.28515625" style="53" customWidth="1"/>
    <col min="5122" max="5122" width="39.85546875" style="53" customWidth="1"/>
    <col min="5123" max="5123" width="18.28515625" style="53" customWidth="1"/>
    <col min="5124" max="5124" width="23.85546875" style="53" customWidth="1"/>
    <col min="5125" max="5125" width="16" style="53" bestFit="1" customWidth="1"/>
    <col min="5126" max="5126" width="13.7109375" style="53" bestFit="1" customWidth="1"/>
    <col min="5127" max="5127" width="15.7109375" style="53" bestFit="1" customWidth="1"/>
    <col min="5128" max="5128" width="13.140625" style="53" bestFit="1" customWidth="1"/>
    <col min="5129" max="5129" width="11.85546875" style="53" bestFit="1" customWidth="1"/>
    <col min="5130" max="5130" width="12.85546875" style="53" bestFit="1" customWidth="1"/>
    <col min="5131" max="5376" width="9.140625" style="53"/>
    <col min="5377" max="5377" width="9.28515625" style="53" customWidth="1"/>
    <col min="5378" max="5378" width="39.85546875" style="53" customWidth="1"/>
    <col min="5379" max="5379" width="18.28515625" style="53" customWidth="1"/>
    <col min="5380" max="5380" width="23.85546875" style="53" customWidth="1"/>
    <col min="5381" max="5381" width="16" style="53" bestFit="1" customWidth="1"/>
    <col min="5382" max="5382" width="13.7109375" style="53" bestFit="1" customWidth="1"/>
    <col min="5383" max="5383" width="15.7109375" style="53" bestFit="1" customWidth="1"/>
    <col min="5384" max="5384" width="13.140625" style="53" bestFit="1" customWidth="1"/>
    <col min="5385" max="5385" width="11.85546875" style="53" bestFit="1" customWidth="1"/>
    <col min="5386" max="5386" width="12.85546875" style="53" bestFit="1" customWidth="1"/>
    <col min="5387" max="5632" width="9.140625" style="53"/>
    <col min="5633" max="5633" width="9.28515625" style="53" customWidth="1"/>
    <col min="5634" max="5634" width="39.85546875" style="53" customWidth="1"/>
    <col min="5635" max="5635" width="18.28515625" style="53" customWidth="1"/>
    <col min="5636" max="5636" width="23.85546875" style="53" customWidth="1"/>
    <col min="5637" max="5637" width="16" style="53" bestFit="1" customWidth="1"/>
    <col min="5638" max="5638" width="13.7109375" style="53" bestFit="1" customWidth="1"/>
    <col min="5639" max="5639" width="15.7109375" style="53" bestFit="1" customWidth="1"/>
    <col min="5640" max="5640" width="13.140625" style="53" bestFit="1" customWidth="1"/>
    <col min="5641" max="5641" width="11.85546875" style="53" bestFit="1" customWidth="1"/>
    <col min="5642" max="5642" width="12.85546875" style="53" bestFit="1" customWidth="1"/>
    <col min="5643" max="5888" width="9.140625" style="53"/>
    <col min="5889" max="5889" width="9.28515625" style="53" customWidth="1"/>
    <col min="5890" max="5890" width="39.85546875" style="53" customWidth="1"/>
    <col min="5891" max="5891" width="18.28515625" style="53" customWidth="1"/>
    <col min="5892" max="5892" width="23.85546875" style="53" customWidth="1"/>
    <col min="5893" max="5893" width="16" style="53" bestFit="1" customWidth="1"/>
    <col min="5894" max="5894" width="13.7109375" style="53" bestFit="1" customWidth="1"/>
    <col min="5895" max="5895" width="15.7109375" style="53" bestFit="1" customWidth="1"/>
    <col min="5896" max="5896" width="13.140625" style="53" bestFit="1" customWidth="1"/>
    <col min="5897" max="5897" width="11.85546875" style="53" bestFit="1" customWidth="1"/>
    <col min="5898" max="5898" width="12.85546875" style="53" bestFit="1" customWidth="1"/>
    <col min="5899" max="6144" width="9.140625" style="53"/>
    <col min="6145" max="6145" width="9.28515625" style="53" customWidth="1"/>
    <col min="6146" max="6146" width="39.85546875" style="53" customWidth="1"/>
    <col min="6147" max="6147" width="18.28515625" style="53" customWidth="1"/>
    <col min="6148" max="6148" width="23.85546875" style="53" customWidth="1"/>
    <col min="6149" max="6149" width="16" style="53" bestFit="1" customWidth="1"/>
    <col min="6150" max="6150" width="13.7109375" style="53" bestFit="1" customWidth="1"/>
    <col min="6151" max="6151" width="15.7109375" style="53" bestFit="1" customWidth="1"/>
    <col min="6152" max="6152" width="13.140625" style="53" bestFit="1" customWidth="1"/>
    <col min="6153" max="6153" width="11.85546875" style="53" bestFit="1" customWidth="1"/>
    <col min="6154" max="6154" width="12.85546875" style="53" bestFit="1" customWidth="1"/>
    <col min="6155" max="6400" width="9.140625" style="53"/>
    <col min="6401" max="6401" width="9.28515625" style="53" customWidth="1"/>
    <col min="6402" max="6402" width="39.85546875" style="53" customWidth="1"/>
    <col min="6403" max="6403" width="18.28515625" style="53" customWidth="1"/>
    <col min="6404" max="6404" width="23.85546875" style="53" customWidth="1"/>
    <col min="6405" max="6405" width="16" style="53" bestFit="1" customWidth="1"/>
    <col min="6406" max="6406" width="13.7109375" style="53" bestFit="1" customWidth="1"/>
    <col min="6407" max="6407" width="15.7109375" style="53" bestFit="1" customWidth="1"/>
    <col min="6408" max="6408" width="13.140625" style="53" bestFit="1" customWidth="1"/>
    <col min="6409" max="6409" width="11.85546875" style="53" bestFit="1" customWidth="1"/>
    <col min="6410" max="6410" width="12.85546875" style="53" bestFit="1" customWidth="1"/>
    <col min="6411" max="6656" width="9.140625" style="53"/>
    <col min="6657" max="6657" width="9.28515625" style="53" customWidth="1"/>
    <col min="6658" max="6658" width="39.85546875" style="53" customWidth="1"/>
    <col min="6659" max="6659" width="18.28515625" style="53" customWidth="1"/>
    <col min="6660" max="6660" width="23.85546875" style="53" customWidth="1"/>
    <col min="6661" max="6661" width="16" style="53" bestFit="1" customWidth="1"/>
    <col min="6662" max="6662" width="13.7109375" style="53" bestFit="1" customWidth="1"/>
    <col min="6663" max="6663" width="15.7109375" style="53" bestFit="1" customWidth="1"/>
    <col min="6664" max="6664" width="13.140625" style="53" bestFit="1" customWidth="1"/>
    <col min="6665" max="6665" width="11.85546875" style="53" bestFit="1" customWidth="1"/>
    <col min="6666" max="6666" width="12.85546875" style="53" bestFit="1" customWidth="1"/>
    <col min="6667" max="6912" width="9.140625" style="53"/>
    <col min="6913" max="6913" width="9.28515625" style="53" customWidth="1"/>
    <col min="6914" max="6914" width="39.85546875" style="53" customWidth="1"/>
    <col min="6915" max="6915" width="18.28515625" style="53" customWidth="1"/>
    <col min="6916" max="6916" width="23.85546875" style="53" customWidth="1"/>
    <col min="6917" max="6917" width="16" style="53" bestFit="1" customWidth="1"/>
    <col min="6918" max="6918" width="13.7109375" style="53" bestFit="1" customWidth="1"/>
    <col min="6919" max="6919" width="15.7109375" style="53" bestFit="1" customWidth="1"/>
    <col min="6920" max="6920" width="13.140625" style="53" bestFit="1" customWidth="1"/>
    <col min="6921" max="6921" width="11.85546875" style="53" bestFit="1" customWidth="1"/>
    <col min="6922" max="6922" width="12.85546875" style="53" bestFit="1" customWidth="1"/>
    <col min="6923" max="7168" width="9.140625" style="53"/>
    <col min="7169" max="7169" width="9.28515625" style="53" customWidth="1"/>
    <col min="7170" max="7170" width="39.85546875" style="53" customWidth="1"/>
    <col min="7171" max="7171" width="18.28515625" style="53" customWidth="1"/>
    <col min="7172" max="7172" width="23.85546875" style="53" customWidth="1"/>
    <col min="7173" max="7173" width="16" style="53" bestFit="1" customWidth="1"/>
    <col min="7174" max="7174" width="13.7109375" style="53" bestFit="1" customWidth="1"/>
    <col min="7175" max="7175" width="15.7109375" style="53" bestFit="1" customWidth="1"/>
    <col min="7176" max="7176" width="13.140625" style="53" bestFit="1" customWidth="1"/>
    <col min="7177" max="7177" width="11.85546875" style="53" bestFit="1" customWidth="1"/>
    <col min="7178" max="7178" width="12.85546875" style="53" bestFit="1" customWidth="1"/>
    <col min="7179" max="7424" width="9.140625" style="53"/>
    <col min="7425" max="7425" width="9.28515625" style="53" customWidth="1"/>
    <col min="7426" max="7426" width="39.85546875" style="53" customWidth="1"/>
    <col min="7427" max="7427" width="18.28515625" style="53" customWidth="1"/>
    <col min="7428" max="7428" width="23.85546875" style="53" customWidth="1"/>
    <col min="7429" max="7429" width="16" style="53" bestFit="1" customWidth="1"/>
    <col min="7430" max="7430" width="13.7109375" style="53" bestFit="1" customWidth="1"/>
    <col min="7431" max="7431" width="15.7109375" style="53" bestFit="1" customWidth="1"/>
    <col min="7432" max="7432" width="13.140625" style="53" bestFit="1" customWidth="1"/>
    <col min="7433" max="7433" width="11.85546875" style="53" bestFit="1" customWidth="1"/>
    <col min="7434" max="7434" width="12.85546875" style="53" bestFit="1" customWidth="1"/>
    <col min="7435" max="7680" width="9.140625" style="53"/>
    <col min="7681" max="7681" width="9.28515625" style="53" customWidth="1"/>
    <col min="7682" max="7682" width="39.85546875" style="53" customWidth="1"/>
    <col min="7683" max="7683" width="18.28515625" style="53" customWidth="1"/>
    <col min="7684" max="7684" width="23.85546875" style="53" customWidth="1"/>
    <col min="7685" max="7685" width="16" style="53" bestFit="1" customWidth="1"/>
    <col min="7686" max="7686" width="13.7109375" style="53" bestFit="1" customWidth="1"/>
    <col min="7687" max="7687" width="15.7109375" style="53" bestFit="1" customWidth="1"/>
    <col min="7688" max="7688" width="13.140625" style="53" bestFit="1" customWidth="1"/>
    <col min="7689" max="7689" width="11.85546875" style="53" bestFit="1" customWidth="1"/>
    <col min="7690" max="7690" width="12.85546875" style="53" bestFit="1" customWidth="1"/>
    <col min="7691" max="7936" width="9.140625" style="53"/>
    <col min="7937" max="7937" width="9.28515625" style="53" customWidth="1"/>
    <col min="7938" max="7938" width="39.85546875" style="53" customWidth="1"/>
    <col min="7939" max="7939" width="18.28515625" style="53" customWidth="1"/>
    <col min="7940" max="7940" width="23.85546875" style="53" customWidth="1"/>
    <col min="7941" max="7941" width="16" style="53" bestFit="1" customWidth="1"/>
    <col min="7942" max="7942" width="13.7109375" style="53" bestFit="1" customWidth="1"/>
    <col min="7943" max="7943" width="15.7109375" style="53" bestFit="1" customWidth="1"/>
    <col min="7944" max="7944" width="13.140625" style="53" bestFit="1" customWidth="1"/>
    <col min="7945" max="7945" width="11.85546875" style="53" bestFit="1" customWidth="1"/>
    <col min="7946" max="7946" width="12.85546875" style="53" bestFit="1" customWidth="1"/>
    <col min="7947" max="8192" width="9.140625" style="53"/>
    <col min="8193" max="8193" width="9.28515625" style="53" customWidth="1"/>
    <col min="8194" max="8194" width="39.85546875" style="53" customWidth="1"/>
    <col min="8195" max="8195" width="18.28515625" style="53" customWidth="1"/>
    <col min="8196" max="8196" width="23.85546875" style="53" customWidth="1"/>
    <col min="8197" max="8197" width="16" style="53" bestFit="1" customWidth="1"/>
    <col min="8198" max="8198" width="13.7109375" style="53" bestFit="1" customWidth="1"/>
    <col min="8199" max="8199" width="15.7109375" style="53" bestFit="1" customWidth="1"/>
    <col min="8200" max="8200" width="13.140625" style="53" bestFit="1" customWidth="1"/>
    <col min="8201" max="8201" width="11.85546875" style="53" bestFit="1" customWidth="1"/>
    <col min="8202" max="8202" width="12.85546875" style="53" bestFit="1" customWidth="1"/>
    <col min="8203" max="8448" width="9.140625" style="53"/>
    <col min="8449" max="8449" width="9.28515625" style="53" customWidth="1"/>
    <col min="8450" max="8450" width="39.85546875" style="53" customWidth="1"/>
    <col min="8451" max="8451" width="18.28515625" style="53" customWidth="1"/>
    <col min="8452" max="8452" width="23.85546875" style="53" customWidth="1"/>
    <col min="8453" max="8453" width="16" style="53" bestFit="1" customWidth="1"/>
    <col min="8454" max="8454" width="13.7109375" style="53" bestFit="1" customWidth="1"/>
    <col min="8455" max="8455" width="15.7109375" style="53" bestFit="1" customWidth="1"/>
    <col min="8456" max="8456" width="13.140625" style="53" bestFit="1" customWidth="1"/>
    <col min="8457" max="8457" width="11.85546875" style="53" bestFit="1" customWidth="1"/>
    <col min="8458" max="8458" width="12.85546875" style="53" bestFit="1" customWidth="1"/>
    <col min="8459" max="8704" width="9.140625" style="53"/>
    <col min="8705" max="8705" width="9.28515625" style="53" customWidth="1"/>
    <col min="8706" max="8706" width="39.85546875" style="53" customWidth="1"/>
    <col min="8707" max="8707" width="18.28515625" style="53" customWidth="1"/>
    <col min="8708" max="8708" width="23.85546875" style="53" customWidth="1"/>
    <col min="8709" max="8709" width="16" style="53" bestFit="1" customWidth="1"/>
    <col min="8710" max="8710" width="13.7109375" style="53" bestFit="1" customWidth="1"/>
    <col min="8711" max="8711" width="15.7109375" style="53" bestFit="1" customWidth="1"/>
    <col min="8712" max="8712" width="13.140625" style="53" bestFit="1" customWidth="1"/>
    <col min="8713" max="8713" width="11.85546875" style="53" bestFit="1" customWidth="1"/>
    <col min="8714" max="8714" width="12.85546875" style="53" bestFit="1" customWidth="1"/>
    <col min="8715" max="8960" width="9.140625" style="53"/>
    <col min="8961" max="8961" width="9.28515625" style="53" customWidth="1"/>
    <col min="8962" max="8962" width="39.85546875" style="53" customWidth="1"/>
    <col min="8963" max="8963" width="18.28515625" style="53" customWidth="1"/>
    <col min="8964" max="8964" width="23.85546875" style="53" customWidth="1"/>
    <col min="8965" max="8965" width="16" style="53" bestFit="1" customWidth="1"/>
    <col min="8966" max="8966" width="13.7109375" style="53" bestFit="1" customWidth="1"/>
    <col min="8967" max="8967" width="15.7109375" style="53" bestFit="1" customWidth="1"/>
    <col min="8968" max="8968" width="13.140625" style="53" bestFit="1" customWidth="1"/>
    <col min="8969" max="8969" width="11.85546875" style="53" bestFit="1" customWidth="1"/>
    <col min="8970" max="8970" width="12.85546875" style="53" bestFit="1" customWidth="1"/>
    <col min="8971" max="9216" width="9.140625" style="53"/>
    <col min="9217" max="9217" width="9.28515625" style="53" customWidth="1"/>
    <col min="9218" max="9218" width="39.85546875" style="53" customWidth="1"/>
    <col min="9219" max="9219" width="18.28515625" style="53" customWidth="1"/>
    <col min="9220" max="9220" width="23.85546875" style="53" customWidth="1"/>
    <col min="9221" max="9221" width="16" style="53" bestFit="1" customWidth="1"/>
    <col min="9222" max="9222" width="13.7109375" style="53" bestFit="1" customWidth="1"/>
    <col min="9223" max="9223" width="15.7109375" style="53" bestFit="1" customWidth="1"/>
    <col min="9224" max="9224" width="13.140625" style="53" bestFit="1" customWidth="1"/>
    <col min="9225" max="9225" width="11.85546875" style="53" bestFit="1" customWidth="1"/>
    <col min="9226" max="9226" width="12.85546875" style="53" bestFit="1" customWidth="1"/>
    <col min="9227" max="9472" width="9.140625" style="53"/>
    <col min="9473" max="9473" width="9.28515625" style="53" customWidth="1"/>
    <col min="9474" max="9474" width="39.85546875" style="53" customWidth="1"/>
    <col min="9475" max="9475" width="18.28515625" style="53" customWidth="1"/>
    <col min="9476" max="9476" width="23.85546875" style="53" customWidth="1"/>
    <col min="9477" max="9477" width="16" style="53" bestFit="1" customWidth="1"/>
    <col min="9478" max="9478" width="13.7109375" style="53" bestFit="1" customWidth="1"/>
    <col min="9479" max="9479" width="15.7109375" style="53" bestFit="1" customWidth="1"/>
    <col min="9480" max="9480" width="13.140625" style="53" bestFit="1" customWidth="1"/>
    <col min="9481" max="9481" width="11.85546875" style="53" bestFit="1" customWidth="1"/>
    <col min="9482" max="9482" width="12.85546875" style="53" bestFit="1" customWidth="1"/>
    <col min="9483" max="9728" width="9.140625" style="53"/>
    <col min="9729" max="9729" width="9.28515625" style="53" customWidth="1"/>
    <col min="9730" max="9730" width="39.85546875" style="53" customWidth="1"/>
    <col min="9731" max="9731" width="18.28515625" style="53" customWidth="1"/>
    <col min="9732" max="9732" width="23.85546875" style="53" customWidth="1"/>
    <col min="9733" max="9733" width="16" style="53" bestFit="1" customWidth="1"/>
    <col min="9734" max="9734" width="13.7109375" style="53" bestFit="1" customWidth="1"/>
    <col min="9735" max="9735" width="15.7109375" style="53" bestFit="1" customWidth="1"/>
    <col min="9736" max="9736" width="13.140625" style="53" bestFit="1" customWidth="1"/>
    <col min="9737" max="9737" width="11.85546875" style="53" bestFit="1" customWidth="1"/>
    <col min="9738" max="9738" width="12.85546875" style="53" bestFit="1" customWidth="1"/>
    <col min="9739" max="9984" width="9.140625" style="53"/>
    <col min="9985" max="9985" width="9.28515625" style="53" customWidth="1"/>
    <col min="9986" max="9986" width="39.85546875" style="53" customWidth="1"/>
    <col min="9987" max="9987" width="18.28515625" style="53" customWidth="1"/>
    <col min="9988" max="9988" width="23.85546875" style="53" customWidth="1"/>
    <col min="9989" max="9989" width="16" style="53" bestFit="1" customWidth="1"/>
    <col min="9990" max="9990" width="13.7109375" style="53" bestFit="1" customWidth="1"/>
    <col min="9991" max="9991" width="15.7109375" style="53" bestFit="1" customWidth="1"/>
    <col min="9992" max="9992" width="13.140625" style="53" bestFit="1" customWidth="1"/>
    <col min="9993" max="9993" width="11.85546875" style="53" bestFit="1" customWidth="1"/>
    <col min="9994" max="9994" width="12.85546875" style="53" bestFit="1" customWidth="1"/>
    <col min="9995" max="10240" width="9.140625" style="53"/>
    <col min="10241" max="10241" width="9.28515625" style="53" customWidth="1"/>
    <col min="10242" max="10242" width="39.85546875" style="53" customWidth="1"/>
    <col min="10243" max="10243" width="18.28515625" style="53" customWidth="1"/>
    <col min="10244" max="10244" width="23.85546875" style="53" customWidth="1"/>
    <col min="10245" max="10245" width="16" style="53" bestFit="1" customWidth="1"/>
    <col min="10246" max="10246" width="13.7109375" style="53" bestFit="1" customWidth="1"/>
    <col min="10247" max="10247" width="15.7109375" style="53" bestFit="1" customWidth="1"/>
    <col min="10248" max="10248" width="13.140625" style="53" bestFit="1" customWidth="1"/>
    <col min="10249" max="10249" width="11.85546875" style="53" bestFit="1" customWidth="1"/>
    <col min="10250" max="10250" width="12.85546875" style="53" bestFit="1" customWidth="1"/>
    <col min="10251" max="10496" width="9.140625" style="53"/>
    <col min="10497" max="10497" width="9.28515625" style="53" customWidth="1"/>
    <col min="10498" max="10498" width="39.85546875" style="53" customWidth="1"/>
    <col min="10499" max="10499" width="18.28515625" style="53" customWidth="1"/>
    <col min="10500" max="10500" width="23.85546875" style="53" customWidth="1"/>
    <col min="10501" max="10501" width="16" style="53" bestFit="1" customWidth="1"/>
    <col min="10502" max="10502" width="13.7109375" style="53" bestFit="1" customWidth="1"/>
    <col min="10503" max="10503" width="15.7109375" style="53" bestFit="1" customWidth="1"/>
    <col min="10504" max="10504" width="13.140625" style="53" bestFit="1" customWidth="1"/>
    <col min="10505" max="10505" width="11.85546875" style="53" bestFit="1" customWidth="1"/>
    <col min="10506" max="10506" width="12.85546875" style="53" bestFit="1" customWidth="1"/>
    <col min="10507" max="10752" width="9.140625" style="53"/>
    <col min="10753" max="10753" width="9.28515625" style="53" customWidth="1"/>
    <col min="10754" max="10754" width="39.85546875" style="53" customWidth="1"/>
    <col min="10755" max="10755" width="18.28515625" style="53" customWidth="1"/>
    <col min="10756" max="10756" width="23.85546875" style="53" customWidth="1"/>
    <col min="10757" max="10757" width="16" style="53" bestFit="1" customWidth="1"/>
    <col min="10758" max="10758" width="13.7109375" style="53" bestFit="1" customWidth="1"/>
    <col min="10759" max="10759" width="15.7109375" style="53" bestFit="1" customWidth="1"/>
    <col min="10760" max="10760" width="13.140625" style="53" bestFit="1" customWidth="1"/>
    <col min="10761" max="10761" width="11.85546875" style="53" bestFit="1" customWidth="1"/>
    <col min="10762" max="10762" width="12.85546875" style="53" bestFit="1" customWidth="1"/>
    <col min="10763" max="11008" width="9.140625" style="53"/>
    <col min="11009" max="11009" width="9.28515625" style="53" customWidth="1"/>
    <col min="11010" max="11010" width="39.85546875" style="53" customWidth="1"/>
    <col min="11011" max="11011" width="18.28515625" style="53" customWidth="1"/>
    <col min="11012" max="11012" width="23.85546875" style="53" customWidth="1"/>
    <col min="11013" max="11013" width="16" style="53" bestFit="1" customWidth="1"/>
    <col min="11014" max="11014" width="13.7109375" style="53" bestFit="1" customWidth="1"/>
    <col min="11015" max="11015" width="15.7109375" style="53" bestFit="1" customWidth="1"/>
    <col min="11016" max="11016" width="13.140625" style="53" bestFit="1" customWidth="1"/>
    <col min="11017" max="11017" width="11.85546875" style="53" bestFit="1" customWidth="1"/>
    <col min="11018" max="11018" width="12.85546875" style="53" bestFit="1" customWidth="1"/>
    <col min="11019" max="11264" width="9.140625" style="53"/>
    <col min="11265" max="11265" width="9.28515625" style="53" customWidth="1"/>
    <col min="11266" max="11266" width="39.85546875" style="53" customWidth="1"/>
    <col min="11267" max="11267" width="18.28515625" style="53" customWidth="1"/>
    <col min="11268" max="11268" width="23.85546875" style="53" customWidth="1"/>
    <col min="11269" max="11269" width="16" style="53" bestFit="1" customWidth="1"/>
    <col min="11270" max="11270" width="13.7109375" style="53" bestFit="1" customWidth="1"/>
    <col min="11271" max="11271" width="15.7109375" style="53" bestFit="1" customWidth="1"/>
    <col min="11272" max="11272" width="13.140625" style="53" bestFit="1" customWidth="1"/>
    <col min="11273" max="11273" width="11.85546875" style="53" bestFit="1" customWidth="1"/>
    <col min="11274" max="11274" width="12.85546875" style="53" bestFit="1" customWidth="1"/>
    <col min="11275" max="11520" width="9.140625" style="53"/>
    <col min="11521" max="11521" width="9.28515625" style="53" customWidth="1"/>
    <col min="11522" max="11522" width="39.85546875" style="53" customWidth="1"/>
    <col min="11523" max="11523" width="18.28515625" style="53" customWidth="1"/>
    <col min="11524" max="11524" width="23.85546875" style="53" customWidth="1"/>
    <col min="11525" max="11525" width="16" style="53" bestFit="1" customWidth="1"/>
    <col min="11526" max="11526" width="13.7109375" style="53" bestFit="1" customWidth="1"/>
    <col min="11527" max="11527" width="15.7109375" style="53" bestFit="1" customWidth="1"/>
    <col min="11528" max="11528" width="13.140625" style="53" bestFit="1" customWidth="1"/>
    <col min="11529" max="11529" width="11.85546875" style="53" bestFit="1" customWidth="1"/>
    <col min="11530" max="11530" width="12.85546875" style="53" bestFit="1" customWidth="1"/>
    <col min="11531" max="11776" width="9.140625" style="53"/>
    <col min="11777" max="11777" width="9.28515625" style="53" customWidth="1"/>
    <col min="11778" max="11778" width="39.85546875" style="53" customWidth="1"/>
    <col min="11779" max="11779" width="18.28515625" style="53" customWidth="1"/>
    <col min="11780" max="11780" width="23.85546875" style="53" customWidth="1"/>
    <col min="11781" max="11781" width="16" style="53" bestFit="1" customWidth="1"/>
    <col min="11782" max="11782" width="13.7109375" style="53" bestFit="1" customWidth="1"/>
    <col min="11783" max="11783" width="15.7109375" style="53" bestFit="1" customWidth="1"/>
    <col min="11784" max="11784" width="13.140625" style="53" bestFit="1" customWidth="1"/>
    <col min="11785" max="11785" width="11.85546875" style="53" bestFit="1" customWidth="1"/>
    <col min="11786" max="11786" width="12.85546875" style="53" bestFit="1" customWidth="1"/>
    <col min="11787" max="12032" width="9.140625" style="53"/>
    <col min="12033" max="12033" width="9.28515625" style="53" customWidth="1"/>
    <col min="12034" max="12034" width="39.85546875" style="53" customWidth="1"/>
    <col min="12035" max="12035" width="18.28515625" style="53" customWidth="1"/>
    <col min="12036" max="12036" width="23.85546875" style="53" customWidth="1"/>
    <col min="12037" max="12037" width="16" style="53" bestFit="1" customWidth="1"/>
    <col min="12038" max="12038" width="13.7109375" style="53" bestFit="1" customWidth="1"/>
    <col min="12039" max="12039" width="15.7109375" style="53" bestFit="1" customWidth="1"/>
    <col min="12040" max="12040" width="13.140625" style="53" bestFit="1" customWidth="1"/>
    <col min="12041" max="12041" width="11.85546875" style="53" bestFit="1" customWidth="1"/>
    <col min="12042" max="12042" width="12.85546875" style="53" bestFit="1" customWidth="1"/>
    <col min="12043" max="12288" width="9.140625" style="53"/>
    <col min="12289" max="12289" width="9.28515625" style="53" customWidth="1"/>
    <col min="12290" max="12290" width="39.85546875" style="53" customWidth="1"/>
    <col min="12291" max="12291" width="18.28515625" style="53" customWidth="1"/>
    <col min="12292" max="12292" width="23.85546875" style="53" customWidth="1"/>
    <col min="12293" max="12293" width="16" style="53" bestFit="1" customWidth="1"/>
    <col min="12294" max="12294" width="13.7109375" style="53" bestFit="1" customWidth="1"/>
    <col min="12295" max="12295" width="15.7109375" style="53" bestFit="1" customWidth="1"/>
    <col min="12296" max="12296" width="13.140625" style="53" bestFit="1" customWidth="1"/>
    <col min="12297" max="12297" width="11.85546875" style="53" bestFit="1" customWidth="1"/>
    <col min="12298" max="12298" width="12.85546875" style="53" bestFit="1" customWidth="1"/>
    <col min="12299" max="12544" width="9.140625" style="53"/>
    <col min="12545" max="12545" width="9.28515625" style="53" customWidth="1"/>
    <col min="12546" max="12546" width="39.85546875" style="53" customWidth="1"/>
    <col min="12547" max="12547" width="18.28515625" style="53" customWidth="1"/>
    <col min="12548" max="12548" width="23.85546875" style="53" customWidth="1"/>
    <col min="12549" max="12549" width="16" style="53" bestFit="1" customWidth="1"/>
    <col min="12550" max="12550" width="13.7109375" style="53" bestFit="1" customWidth="1"/>
    <col min="12551" max="12551" width="15.7109375" style="53" bestFit="1" customWidth="1"/>
    <col min="12552" max="12552" width="13.140625" style="53" bestFit="1" customWidth="1"/>
    <col min="12553" max="12553" width="11.85546875" style="53" bestFit="1" customWidth="1"/>
    <col min="12554" max="12554" width="12.85546875" style="53" bestFit="1" customWidth="1"/>
    <col min="12555" max="12800" width="9.140625" style="53"/>
    <col min="12801" max="12801" width="9.28515625" style="53" customWidth="1"/>
    <col min="12802" max="12802" width="39.85546875" style="53" customWidth="1"/>
    <col min="12803" max="12803" width="18.28515625" style="53" customWidth="1"/>
    <col min="12804" max="12804" width="23.85546875" style="53" customWidth="1"/>
    <col min="12805" max="12805" width="16" style="53" bestFit="1" customWidth="1"/>
    <col min="12806" max="12806" width="13.7109375" style="53" bestFit="1" customWidth="1"/>
    <col min="12807" max="12807" width="15.7109375" style="53" bestFit="1" customWidth="1"/>
    <col min="12808" max="12808" width="13.140625" style="53" bestFit="1" customWidth="1"/>
    <col min="12809" max="12809" width="11.85546875" style="53" bestFit="1" customWidth="1"/>
    <col min="12810" max="12810" width="12.85546875" style="53" bestFit="1" customWidth="1"/>
    <col min="12811" max="13056" width="9.140625" style="53"/>
    <col min="13057" max="13057" width="9.28515625" style="53" customWidth="1"/>
    <col min="13058" max="13058" width="39.85546875" style="53" customWidth="1"/>
    <col min="13059" max="13059" width="18.28515625" style="53" customWidth="1"/>
    <col min="13060" max="13060" width="23.85546875" style="53" customWidth="1"/>
    <col min="13061" max="13061" width="16" style="53" bestFit="1" customWidth="1"/>
    <col min="13062" max="13062" width="13.7109375" style="53" bestFit="1" customWidth="1"/>
    <col min="13063" max="13063" width="15.7109375" style="53" bestFit="1" customWidth="1"/>
    <col min="13064" max="13064" width="13.140625" style="53" bestFit="1" customWidth="1"/>
    <col min="13065" max="13065" width="11.85546875" style="53" bestFit="1" customWidth="1"/>
    <col min="13066" max="13066" width="12.85546875" style="53" bestFit="1" customWidth="1"/>
    <col min="13067" max="13312" width="9.140625" style="53"/>
    <col min="13313" max="13313" width="9.28515625" style="53" customWidth="1"/>
    <col min="13314" max="13314" width="39.85546875" style="53" customWidth="1"/>
    <col min="13315" max="13315" width="18.28515625" style="53" customWidth="1"/>
    <col min="13316" max="13316" width="23.85546875" style="53" customWidth="1"/>
    <col min="13317" max="13317" width="16" style="53" bestFit="1" customWidth="1"/>
    <col min="13318" max="13318" width="13.7109375" style="53" bestFit="1" customWidth="1"/>
    <col min="13319" max="13319" width="15.7109375" style="53" bestFit="1" customWidth="1"/>
    <col min="13320" max="13320" width="13.140625" style="53" bestFit="1" customWidth="1"/>
    <col min="13321" max="13321" width="11.85546875" style="53" bestFit="1" customWidth="1"/>
    <col min="13322" max="13322" width="12.85546875" style="53" bestFit="1" customWidth="1"/>
    <col min="13323" max="13568" width="9.140625" style="53"/>
    <col min="13569" max="13569" width="9.28515625" style="53" customWidth="1"/>
    <col min="13570" max="13570" width="39.85546875" style="53" customWidth="1"/>
    <col min="13571" max="13571" width="18.28515625" style="53" customWidth="1"/>
    <col min="13572" max="13572" width="23.85546875" style="53" customWidth="1"/>
    <col min="13573" max="13573" width="16" style="53" bestFit="1" customWidth="1"/>
    <col min="13574" max="13574" width="13.7109375" style="53" bestFit="1" customWidth="1"/>
    <col min="13575" max="13575" width="15.7109375" style="53" bestFit="1" customWidth="1"/>
    <col min="13576" max="13576" width="13.140625" style="53" bestFit="1" customWidth="1"/>
    <col min="13577" max="13577" width="11.85546875" style="53" bestFit="1" customWidth="1"/>
    <col min="13578" max="13578" width="12.85546875" style="53" bestFit="1" customWidth="1"/>
    <col min="13579" max="13824" width="9.140625" style="53"/>
    <col min="13825" max="13825" width="9.28515625" style="53" customWidth="1"/>
    <col min="13826" max="13826" width="39.85546875" style="53" customWidth="1"/>
    <col min="13827" max="13827" width="18.28515625" style="53" customWidth="1"/>
    <col min="13828" max="13828" width="23.85546875" style="53" customWidth="1"/>
    <col min="13829" max="13829" width="16" style="53" bestFit="1" customWidth="1"/>
    <col min="13830" max="13830" width="13.7109375" style="53" bestFit="1" customWidth="1"/>
    <col min="13831" max="13831" width="15.7109375" style="53" bestFit="1" customWidth="1"/>
    <col min="13832" max="13832" width="13.140625" style="53" bestFit="1" customWidth="1"/>
    <col min="13833" max="13833" width="11.85546875" style="53" bestFit="1" customWidth="1"/>
    <col min="13834" max="13834" width="12.85546875" style="53" bestFit="1" customWidth="1"/>
    <col min="13835" max="14080" width="9.140625" style="53"/>
    <col min="14081" max="14081" width="9.28515625" style="53" customWidth="1"/>
    <col min="14082" max="14082" width="39.85546875" style="53" customWidth="1"/>
    <col min="14083" max="14083" width="18.28515625" style="53" customWidth="1"/>
    <col min="14084" max="14084" width="23.85546875" style="53" customWidth="1"/>
    <col min="14085" max="14085" width="16" style="53" bestFit="1" customWidth="1"/>
    <col min="14086" max="14086" width="13.7109375" style="53" bestFit="1" customWidth="1"/>
    <col min="14087" max="14087" width="15.7109375" style="53" bestFit="1" customWidth="1"/>
    <col min="14088" max="14088" width="13.140625" style="53" bestFit="1" customWidth="1"/>
    <col min="14089" max="14089" width="11.85546875" style="53" bestFit="1" customWidth="1"/>
    <col min="14090" max="14090" width="12.85546875" style="53" bestFit="1" customWidth="1"/>
    <col min="14091" max="14336" width="9.140625" style="53"/>
    <col min="14337" max="14337" width="9.28515625" style="53" customWidth="1"/>
    <col min="14338" max="14338" width="39.85546875" style="53" customWidth="1"/>
    <col min="14339" max="14339" width="18.28515625" style="53" customWidth="1"/>
    <col min="14340" max="14340" width="23.85546875" style="53" customWidth="1"/>
    <col min="14341" max="14341" width="16" style="53" bestFit="1" customWidth="1"/>
    <col min="14342" max="14342" width="13.7109375" style="53" bestFit="1" customWidth="1"/>
    <col min="14343" max="14343" width="15.7109375" style="53" bestFit="1" customWidth="1"/>
    <col min="14344" max="14344" width="13.140625" style="53" bestFit="1" customWidth="1"/>
    <col min="14345" max="14345" width="11.85546875" style="53" bestFit="1" customWidth="1"/>
    <col min="14346" max="14346" width="12.85546875" style="53" bestFit="1" customWidth="1"/>
    <col min="14347" max="14592" width="9.140625" style="53"/>
    <col min="14593" max="14593" width="9.28515625" style="53" customWidth="1"/>
    <col min="14594" max="14594" width="39.85546875" style="53" customWidth="1"/>
    <col min="14595" max="14595" width="18.28515625" style="53" customWidth="1"/>
    <col min="14596" max="14596" width="23.85546875" style="53" customWidth="1"/>
    <col min="14597" max="14597" width="16" style="53" bestFit="1" customWidth="1"/>
    <col min="14598" max="14598" width="13.7109375" style="53" bestFit="1" customWidth="1"/>
    <col min="14599" max="14599" width="15.7109375" style="53" bestFit="1" customWidth="1"/>
    <col min="14600" max="14600" width="13.140625" style="53" bestFit="1" customWidth="1"/>
    <col min="14601" max="14601" width="11.85546875" style="53" bestFit="1" customWidth="1"/>
    <col min="14602" max="14602" width="12.85546875" style="53" bestFit="1" customWidth="1"/>
    <col min="14603" max="14848" width="9.140625" style="53"/>
    <col min="14849" max="14849" width="9.28515625" style="53" customWidth="1"/>
    <col min="14850" max="14850" width="39.85546875" style="53" customWidth="1"/>
    <col min="14851" max="14851" width="18.28515625" style="53" customWidth="1"/>
    <col min="14852" max="14852" width="23.85546875" style="53" customWidth="1"/>
    <col min="14853" max="14853" width="16" style="53" bestFit="1" customWidth="1"/>
    <col min="14854" max="14854" width="13.7109375" style="53" bestFit="1" customWidth="1"/>
    <col min="14855" max="14855" width="15.7109375" style="53" bestFit="1" customWidth="1"/>
    <col min="14856" max="14856" width="13.140625" style="53" bestFit="1" customWidth="1"/>
    <col min="14857" max="14857" width="11.85546875" style="53" bestFit="1" customWidth="1"/>
    <col min="14858" max="14858" width="12.85546875" style="53" bestFit="1" customWidth="1"/>
    <col min="14859" max="15104" width="9.140625" style="53"/>
    <col min="15105" max="15105" width="9.28515625" style="53" customWidth="1"/>
    <col min="15106" max="15106" width="39.85546875" style="53" customWidth="1"/>
    <col min="15107" max="15107" width="18.28515625" style="53" customWidth="1"/>
    <col min="15108" max="15108" width="23.85546875" style="53" customWidth="1"/>
    <col min="15109" max="15109" width="16" style="53" bestFit="1" customWidth="1"/>
    <col min="15110" max="15110" width="13.7109375" style="53" bestFit="1" customWidth="1"/>
    <col min="15111" max="15111" width="15.7109375" style="53" bestFit="1" customWidth="1"/>
    <col min="15112" max="15112" width="13.140625" style="53" bestFit="1" customWidth="1"/>
    <col min="15113" max="15113" width="11.85546875" style="53" bestFit="1" customWidth="1"/>
    <col min="15114" max="15114" width="12.85546875" style="53" bestFit="1" customWidth="1"/>
    <col min="15115" max="15360" width="9.140625" style="53"/>
    <col min="15361" max="15361" width="9.28515625" style="53" customWidth="1"/>
    <col min="15362" max="15362" width="39.85546875" style="53" customWidth="1"/>
    <col min="15363" max="15363" width="18.28515625" style="53" customWidth="1"/>
    <col min="15364" max="15364" width="23.85546875" style="53" customWidth="1"/>
    <col min="15365" max="15365" width="16" style="53" bestFit="1" customWidth="1"/>
    <col min="15366" max="15366" width="13.7109375" style="53" bestFit="1" customWidth="1"/>
    <col min="15367" max="15367" width="15.7109375" style="53" bestFit="1" customWidth="1"/>
    <col min="15368" max="15368" width="13.140625" style="53" bestFit="1" customWidth="1"/>
    <col min="15369" max="15369" width="11.85546875" style="53" bestFit="1" customWidth="1"/>
    <col min="15370" max="15370" width="12.85546875" style="53" bestFit="1" customWidth="1"/>
    <col min="15371" max="15616" width="9.140625" style="53"/>
    <col min="15617" max="15617" width="9.28515625" style="53" customWidth="1"/>
    <col min="15618" max="15618" width="39.85546875" style="53" customWidth="1"/>
    <col min="15619" max="15619" width="18.28515625" style="53" customWidth="1"/>
    <col min="15620" max="15620" width="23.85546875" style="53" customWidth="1"/>
    <col min="15621" max="15621" width="16" style="53" bestFit="1" customWidth="1"/>
    <col min="15622" max="15622" width="13.7109375" style="53" bestFit="1" customWidth="1"/>
    <col min="15623" max="15623" width="15.7109375" style="53" bestFit="1" customWidth="1"/>
    <col min="15624" max="15624" width="13.140625" style="53" bestFit="1" customWidth="1"/>
    <col min="15625" max="15625" width="11.85546875" style="53" bestFit="1" customWidth="1"/>
    <col min="15626" max="15626" width="12.85546875" style="53" bestFit="1" customWidth="1"/>
    <col min="15627" max="15872" width="9.140625" style="53"/>
    <col min="15873" max="15873" width="9.28515625" style="53" customWidth="1"/>
    <col min="15874" max="15874" width="39.85546875" style="53" customWidth="1"/>
    <col min="15875" max="15875" width="18.28515625" style="53" customWidth="1"/>
    <col min="15876" max="15876" width="23.85546875" style="53" customWidth="1"/>
    <col min="15877" max="15877" width="16" style="53" bestFit="1" customWidth="1"/>
    <col min="15878" max="15878" width="13.7109375" style="53" bestFit="1" customWidth="1"/>
    <col min="15879" max="15879" width="15.7109375" style="53" bestFit="1" customWidth="1"/>
    <col min="15880" max="15880" width="13.140625" style="53" bestFit="1" customWidth="1"/>
    <col min="15881" max="15881" width="11.85546875" style="53" bestFit="1" customWidth="1"/>
    <col min="15882" max="15882" width="12.85546875" style="53" bestFit="1" customWidth="1"/>
    <col min="15883" max="16128" width="9.140625" style="53"/>
    <col min="16129" max="16129" width="9.28515625" style="53" customWidth="1"/>
    <col min="16130" max="16130" width="39.85546875" style="53" customWidth="1"/>
    <col min="16131" max="16131" width="18.28515625" style="53" customWidth="1"/>
    <col min="16132" max="16132" width="23.85546875" style="53" customWidth="1"/>
    <col min="16133" max="16133" width="16" style="53" bestFit="1" customWidth="1"/>
    <col min="16134" max="16134" width="13.7109375" style="53" bestFit="1" customWidth="1"/>
    <col min="16135" max="16135" width="15.7109375" style="53" bestFit="1" customWidth="1"/>
    <col min="16136" max="16136" width="13.140625" style="53" bestFit="1" customWidth="1"/>
    <col min="16137" max="16137" width="11.85546875" style="53" bestFit="1" customWidth="1"/>
    <col min="16138" max="16138" width="12.85546875" style="53" bestFit="1" customWidth="1"/>
    <col min="16139" max="16384" width="9.140625" style="53"/>
  </cols>
  <sheetData>
    <row r="3" spans="1:7" ht="15.75" customHeight="1">
      <c r="A3" s="543" t="s">
        <v>255</v>
      </c>
      <c r="B3" s="543"/>
      <c r="C3" s="543"/>
      <c r="D3" s="543"/>
      <c r="E3" s="52"/>
      <c r="F3" s="52"/>
      <c r="G3" s="52"/>
    </row>
    <row r="4" spans="1:7">
      <c r="A4" s="543"/>
      <c r="B4" s="543"/>
      <c r="C4" s="543"/>
      <c r="D4" s="543"/>
      <c r="E4" s="52"/>
      <c r="F4" s="52"/>
      <c r="G4" s="52"/>
    </row>
    <row r="5" spans="1:7">
      <c r="A5" s="54"/>
      <c r="B5" s="52"/>
      <c r="C5" s="52"/>
      <c r="D5" s="52"/>
      <c r="E5" s="52"/>
      <c r="F5" s="52"/>
      <c r="G5" s="52"/>
    </row>
    <row r="6" spans="1:7" ht="15.75" customHeight="1">
      <c r="A6" s="544" t="s">
        <v>550</v>
      </c>
      <c r="B6" s="544"/>
      <c r="C6" s="544"/>
      <c r="D6" s="544"/>
      <c r="E6" s="52"/>
      <c r="F6" s="52"/>
      <c r="G6" s="52"/>
    </row>
    <row r="7" spans="1:7">
      <c r="A7" s="522"/>
      <c r="B7" s="522"/>
      <c r="C7" s="522"/>
      <c r="D7" s="522"/>
    </row>
    <row r="8" spans="1:7">
      <c r="A8" s="237" t="s">
        <v>551</v>
      </c>
      <c r="B8" s="238"/>
      <c r="C8" s="187"/>
      <c r="D8" s="187"/>
    </row>
    <row r="9" spans="1:7">
      <c r="A9" s="522"/>
      <c r="B9" s="522"/>
      <c r="C9" s="522"/>
      <c r="D9" s="522"/>
    </row>
    <row r="10" spans="1:7">
      <c r="A10" s="57" t="s">
        <v>256</v>
      </c>
      <c r="B10" s="188"/>
      <c r="C10" s="187"/>
      <c r="D10" s="187"/>
    </row>
    <row r="11" spans="1:7">
      <c r="A11" s="59" t="s">
        <v>257</v>
      </c>
      <c r="B11" s="541" t="s">
        <v>258</v>
      </c>
      <c r="C11" s="542"/>
      <c r="D11" s="239">
        <v>42550</v>
      </c>
    </row>
    <row r="12" spans="1:7">
      <c r="A12" s="59" t="s">
        <v>259</v>
      </c>
      <c r="B12" s="62" t="s">
        <v>260</v>
      </c>
      <c r="C12" s="63"/>
      <c r="D12" s="240" t="s">
        <v>374</v>
      </c>
    </row>
    <row r="13" spans="1:7">
      <c r="A13" s="59" t="s">
        <v>261</v>
      </c>
      <c r="B13" s="541" t="s">
        <v>262</v>
      </c>
      <c r="C13" s="542"/>
      <c r="D13" s="240">
        <v>2016</v>
      </c>
    </row>
    <row r="14" spans="1:7">
      <c r="A14" s="64" t="s">
        <v>263</v>
      </c>
      <c r="B14" s="65" t="s">
        <v>555</v>
      </c>
      <c r="C14" s="66"/>
      <c r="D14" s="239">
        <v>42625</v>
      </c>
    </row>
    <row r="16" spans="1:7">
      <c r="A16" s="190"/>
    </row>
    <row r="17" spans="1:7">
      <c r="A17" s="523"/>
      <c r="B17" s="523"/>
      <c r="C17" s="523"/>
      <c r="D17" s="523"/>
      <c r="E17" s="523"/>
      <c r="F17" s="523"/>
      <c r="G17" s="523"/>
    </row>
    <row r="18" spans="1:7" ht="35.25" customHeight="1">
      <c r="A18" s="545" t="s">
        <v>264</v>
      </c>
      <c r="B18" s="545"/>
      <c r="C18" s="67" t="s">
        <v>265</v>
      </c>
      <c r="D18" s="67" t="s">
        <v>266</v>
      </c>
    </row>
    <row r="19" spans="1:7">
      <c r="A19" s="241">
        <v>1</v>
      </c>
      <c r="B19" s="242" t="s">
        <v>398</v>
      </c>
      <c r="C19" s="241" t="s">
        <v>267</v>
      </c>
      <c r="D19" s="243">
        <v>14</v>
      </c>
    </row>
    <row r="20" spans="1:7">
      <c r="A20" s="68"/>
      <c r="B20" s="69"/>
      <c r="C20" s="68"/>
      <c r="D20" s="70"/>
    </row>
    <row r="21" spans="1:7">
      <c r="A21" s="522" t="s">
        <v>268</v>
      </c>
      <c r="B21" s="522"/>
      <c r="C21" s="522"/>
      <c r="D21" s="522"/>
      <c r="E21" s="522"/>
      <c r="F21" s="522"/>
      <c r="G21" s="522"/>
    </row>
    <row r="22" spans="1:7">
      <c r="A22" s="71"/>
    </row>
    <row r="23" spans="1:7">
      <c r="A23" s="57" t="s">
        <v>269</v>
      </c>
    </row>
    <row r="24" spans="1:7">
      <c r="A24" s="57" t="s">
        <v>270</v>
      </c>
    </row>
    <row r="25" spans="1:7">
      <c r="A25" s="72" t="s">
        <v>271</v>
      </c>
      <c r="B25" s="60"/>
      <c r="C25" s="60"/>
      <c r="D25" s="61"/>
    </row>
    <row r="26" spans="1:7">
      <c r="A26" s="73">
        <v>1</v>
      </c>
      <c r="B26" s="74" t="s">
        <v>272</v>
      </c>
      <c r="C26" s="74"/>
      <c r="D26" s="244" t="str">
        <f>B19</f>
        <v>ORÇAMENTISTA</v>
      </c>
    </row>
    <row r="27" spans="1:7" ht="30.75" customHeight="1">
      <c r="A27" s="73">
        <v>2</v>
      </c>
      <c r="B27" s="539" t="s">
        <v>273</v>
      </c>
      <c r="C27" s="540"/>
      <c r="D27" s="175">
        <v>1860.6</v>
      </c>
    </row>
    <row r="28" spans="1:7" ht="31.5" customHeight="1">
      <c r="A28" s="73">
        <v>3</v>
      </c>
      <c r="B28" s="539" t="s">
        <v>274</v>
      </c>
      <c r="C28" s="540"/>
      <c r="D28" s="176" t="s">
        <v>375</v>
      </c>
    </row>
    <row r="29" spans="1:7">
      <c r="A29" s="75">
        <v>4</v>
      </c>
      <c r="B29" s="76" t="s">
        <v>275</v>
      </c>
      <c r="C29" s="76"/>
      <c r="D29" s="77">
        <v>42401</v>
      </c>
    </row>
    <row r="30" spans="1:7">
      <c r="A30" s="71"/>
    </row>
    <row r="31" spans="1:7">
      <c r="A31" s="71"/>
    </row>
    <row r="32" spans="1:7">
      <c r="A32" s="71"/>
    </row>
    <row r="33" spans="1:7" ht="16.5" customHeight="1" thickBot="1">
      <c r="A33" s="523" t="s">
        <v>276</v>
      </c>
      <c r="B33" s="523"/>
      <c r="C33" s="523"/>
      <c r="D33" s="523"/>
      <c r="E33" s="523"/>
      <c r="F33" s="52"/>
      <c r="G33" s="52"/>
    </row>
    <row r="34" spans="1:7" ht="16.5" thickBot="1">
      <c r="A34" s="78" t="s">
        <v>277</v>
      </c>
      <c r="B34" s="79" t="s">
        <v>278</v>
      </c>
      <c r="C34" s="80"/>
      <c r="D34" s="81" t="s">
        <v>279</v>
      </c>
    </row>
    <row r="35" spans="1:7">
      <c r="A35" s="82" t="s">
        <v>257</v>
      </c>
      <c r="B35" s="83" t="s">
        <v>280</v>
      </c>
      <c r="C35" s="84"/>
      <c r="D35" s="85">
        <f>ROUND(((D27/220)*(365.25/12)*(40/6)),2)</f>
        <v>1716.12</v>
      </c>
    </row>
    <row r="36" spans="1:7">
      <c r="A36" s="191" t="s">
        <v>259</v>
      </c>
      <c r="B36" s="87" t="s">
        <v>281</v>
      </c>
      <c r="C36" s="88"/>
      <c r="D36" s="89">
        <v>0</v>
      </c>
    </row>
    <row r="37" spans="1:7">
      <c r="A37" s="191" t="s">
        <v>261</v>
      </c>
      <c r="B37" s="87" t="s">
        <v>282</v>
      </c>
      <c r="C37" s="90"/>
      <c r="D37" s="89">
        <v>0</v>
      </c>
    </row>
    <row r="38" spans="1:7">
      <c r="A38" s="191" t="s">
        <v>263</v>
      </c>
      <c r="B38" s="91" t="s">
        <v>552</v>
      </c>
      <c r="C38" s="88"/>
      <c r="D38" s="89">
        <v>0</v>
      </c>
    </row>
    <row r="39" spans="1:7">
      <c r="A39" s="191" t="s">
        <v>284</v>
      </c>
      <c r="B39" s="91" t="s">
        <v>285</v>
      </c>
      <c r="C39" s="92"/>
      <c r="D39" s="89">
        <v>0</v>
      </c>
    </row>
    <row r="40" spans="1:7">
      <c r="A40" s="191" t="s">
        <v>286</v>
      </c>
      <c r="B40" s="93" t="s">
        <v>287</v>
      </c>
      <c r="C40" s="92"/>
      <c r="D40" s="89">
        <v>0</v>
      </c>
    </row>
    <row r="41" spans="1:7">
      <c r="A41" s="191" t="s">
        <v>288</v>
      </c>
      <c r="B41" s="93" t="s">
        <v>289</v>
      </c>
      <c r="C41" s="92"/>
      <c r="D41" s="89">
        <v>0</v>
      </c>
    </row>
    <row r="42" spans="1:7" ht="16.5" thickBot="1">
      <c r="A42" s="191" t="s">
        <v>290</v>
      </c>
      <c r="B42" s="94" t="s">
        <v>376</v>
      </c>
      <c r="C42" s="95"/>
      <c r="D42" s="89">
        <v>0</v>
      </c>
    </row>
    <row r="43" spans="1:7" ht="16.5" thickBot="1">
      <c r="A43" s="96"/>
      <c r="B43" s="97" t="s">
        <v>292</v>
      </c>
      <c r="C43" s="98"/>
      <c r="D43" s="99">
        <f>SUM(D35:D42)</f>
        <v>1716.12</v>
      </c>
    </row>
    <row r="44" spans="1:7">
      <c r="A44" s="190"/>
    </row>
    <row r="45" spans="1:7" ht="16.5" thickBot="1">
      <c r="A45" s="523" t="s">
        <v>293</v>
      </c>
      <c r="B45" s="523"/>
      <c r="C45" s="523"/>
      <c r="D45" s="523"/>
      <c r="E45" s="523"/>
      <c r="F45" s="523"/>
      <c r="G45" s="523"/>
    </row>
    <row r="46" spans="1:7" ht="16.5" thickBot="1">
      <c r="A46" s="100">
        <v>2</v>
      </c>
      <c r="B46" s="189" t="s">
        <v>294</v>
      </c>
      <c r="C46" s="102"/>
      <c r="D46" s="100" t="s">
        <v>279</v>
      </c>
    </row>
    <row r="47" spans="1:7">
      <c r="A47" s="82" t="s">
        <v>257</v>
      </c>
      <c r="B47" s="83" t="s">
        <v>295</v>
      </c>
      <c r="C47" s="103"/>
      <c r="D47" s="104">
        <f>(3.7*44)-(D35*6%)</f>
        <v>59.83280000000002</v>
      </c>
    </row>
    <row r="48" spans="1:7" ht="31.5">
      <c r="A48" s="105" t="s">
        <v>259</v>
      </c>
      <c r="B48" s="106" t="s">
        <v>296</v>
      </c>
      <c r="C48" s="90"/>
      <c r="D48" s="107">
        <f>330*(1-20%)</f>
        <v>264</v>
      </c>
    </row>
    <row r="49" spans="1:7">
      <c r="A49" s="191" t="s">
        <v>261</v>
      </c>
      <c r="B49" s="87" t="s">
        <v>389</v>
      </c>
      <c r="C49" s="90"/>
      <c r="D49" s="107">
        <v>50</v>
      </c>
    </row>
    <row r="50" spans="1:7">
      <c r="A50" s="191" t="s">
        <v>263</v>
      </c>
      <c r="B50" s="87" t="s">
        <v>297</v>
      </c>
      <c r="C50" s="88"/>
      <c r="D50" s="107">
        <v>0</v>
      </c>
    </row>
    <row r="51" spans="1:7">
      <c r="A51" s="191" t="s">
        <v>284</v>
      </c>
      <c r="B51" s="87" t="s">
        <v>390</v>
      </c>
      <c r="C51" s="92"/>
      <c r="D51" s="108">
        <v>16</v>
      </c>
    </row>
    <row r="52" spans="1:7" ht="16.5" customHeight="1">
      <c r="A52" s="191" t="s">
        <v>286</v>
      </c>
      <c r="B52" s="535" t="s">
        <v>377</v>
      </c>
      <c r="C52" s="536"/>
      <c r="D52" s="108">
        <v>16</v>
      </c>
    </row>
    <row r="53" spans="1:7" ht="16.5" thickBot="1">
      <c r="A53" s="109" t="s">
        <v>288</v>
      </c>
      <c r="B53" s="537" t="s">
        <v>291</v>
      </c>
      <c r="C53" s="538"/>
      <c r="D53" s="110">
        <v>0</v>
      </c>
    </row>
    <row r="54" spans="1:7" ht="16.5" thickBot="1">
      <c r="A54" s="111"/>
      <c r="B54" s="189" t="s">
        <v>298</v>
      </c>
      <c r="C54" s="112"/>
      <c r="D54" s="113">
        <f>SUM(D47:D53)</f>
        <v>405.83280000000002</v>
      </c>
    </row>
    <row r="55" spans="1:7" ht="33" customHeight="1">
      <c r="A55" s="522" t="s">
        <v>299</v>
      </c>
      <c r="B55" s="522"/>
      <c r="C55" s="522"/>
      <c r="D55" s="522"/>
    </row>
    <row r="56" spans="1:7">
      <c r="A56" s="190"/>
    </row>
    <row r="57" spans="1:7" ht="16.5" thickBot="1">
      <c r="A57" s="523" t="s">
        <v>300</v>
      </c>
      <c r="B57" s="523"/>
      <c r="C57" s="523"/>
      <c r="D57" s="523"/>
      <c r="E57" s="523"/>
      <c r="F57" s="523"/>
      <c r="G57" s="523"/>
    </row>
    <row r="58" spans="1:7" ht="16.5" thickBot="1">
      <c r="A58" s="114">
        <v>3</v>
      </c>
      <c r="B58" s="189" t="s">
        <v>301</v>
      </c>
      <c r="C58" s="102"/>
      <c r="D58" s="100" t="s">
        <v>279</v>
      </c>
    </row>
    <row r="59" spans="1:7">
      <c r="A59" s="82" t="s">
        <v>257</v>
      </c>
      <c r="B59" s="83" t="s">
        <v>302</v>
      </c>
      <c r="C59" s="115"/>
      <c r="D59" s="116">
        <f>'ANEXO IV'!D19</f>
        <v>41.166666666666664</v>
      </c>
    </row>
    <row r="60" spans="1:7">
      <c r="A60" s="105" t="s">
        <v>259</v>
      </c>
      <c r="B60" s="106" t="s">
        <v>15</v>
      </c>
      <c r="C60" s="90"/>
      <c r="D60" s="107">
        <v>0</v>
      </c>
    </row>
    <row r="61" spans="1:7">
      <c r="A61" s="191" t="s">
        <v>261</v>
      </c>
      <c r="B61" s="87" t="s">
        <v>21</v>
      </c>
      <c r="C61" s="90"/>
      <c r="D61" s="107">
        <v>0</v>
      </c>
    </row>
    <row r="62" spans="1:7">
      <c r="A62" s="191" t="s">
        <v>263</v>
      </c>
      <c r="B62" s="535" t="s">
        <v>18</v>
      </c>
      <c r="C62" s="536"/>
      <c r="D62" s="108">
        <v>0</v>
      </c>
    </row>
    <row r="63" spans="1:7" ht="16.5" thickBot="1">
      <c r="A63" s="109" t="s">
        <v>284</v>
      </c>
      <c r="B63" s="537" t="s">
        <v>291</v>
      </c>
      <c r="C63" s="538"/>
      <c r="D63" s="110">
        <v>0</v>
      </c>
    </row>
    <row r="64" spans="1:7" ht="16.5" thickBot="1">
      <c r="A64" s="111"/>
      <c r="B64" s="189" t="s">
        <v>303</v>
      </c>
      <c r="C64" s="112"/>
      <c r="D64" s="113">
        <f>SUM(D59:D63)</f>
        <v>41.166666666666664</v>
      </c>
    </row>
    <row r="65" spans="1:7">
      <c r="A65" s="522" t="s">
        <v>304</v>
      </c>
      <c r="B65" s="522"/>
      <c r="C65" s="522"/>
      <c r="D65" s="522"/>
      <c r="E65" s="522"/>
      <c r="F65" s="522"/>
      <c r="G65" s="522"/>
    </row>
    <row r="66" spans="1:7">
      <c r="A66" s="190"/>
    </row>
    <row r="67" spans="1:7">
      <c r="A67" s="523" t="s">
        <v>305</v>
      </c>
      <c r="B67" s="523"/>
      <c r="C67" s="523"/>
      <c r="D67" s="523"/>
      <c r="E67" s="523"/>
      <c r="F67" s="523"/>
      <c r="G67" s="523"/>
    </row>
    <row r="68" spans="1:7" ht="16.5" thickBot="1">
      <c r="A68" s="523" t="s">
        <v>306</v>
      </c>
      <c r="B68" s="523"/>
      <c r="C68" s="523"/>
      <c r="D68" s="523"/>
      <c r="E68" s="523"/>
      <c r="F68" s="523"/>
      <c r="G68" s="523"/>
    </row>
    <row r="69" spans="1:7" ht="16.5" thickBot="1">
      <c r="A69" s="117" t="s">
        <v>307</v>
      </c>
      <c r="B69" s="118" t="s">
        <v>308</v>
      </c>
      <c r="C69" s="117" t="s">
        <v>4</v>
      </c>
      <c r="D69" s="117" t="s">
        <v>279</v>
      </c>
    </row>
    <row r="70" spans="1:7">
      <c r="A70" s="82" t="s">
        <v>257</v>
      </c>
      <c r="B70" s="119" t="s">
        <v>8</v>
      </c>
      <c r="C70" s="120">
        <v>0.2</v>
      </c>
      <c r="D70" s="104">
        <f t="shared" ref="D70:D77" si="0">ROUND($D$43*C70,2)</f>
        <v>343.22</v>
      </c>
    </row>
    <row r="71" spans="1:7">
      <c r="A71" s="105" t="s">
        <v>259</v>
      </c>
      <c r="B71" s="121" t="s">
        <v>309</v>
      </c>
      <c r="C71" s="122">
        <v>1.4999999999999999E-2</v>
      </c>
      <c r="D71" s="107">
        <f t="shared" si="0"/>
        <v>25.74</v>
      </c>
    </row>
    <row r="72" spans="1:7">
      <c r="A72" s="191" t="s">
        <v>261</v>
      </c>
      <c r="B72" s="123" t="s">
        <v>310</v>
      </c>
      <c r="C72" s="122">
        <v>0.01</v>
      </c>
      <c r="D72" s="107">
        <f t="shared" si="0"/>
        <v>17.16</v>
      </c>
    </row>
    <row r="73" spans="1:7">
      <c r="A73" s="105" t="s">
        <v>263</v>
      </c>
      <c r="B73" s="121" t="s">
        <v>9</v>
      </c>
      <c r="C73" s="122">
        <v>2E-3</v>
      </c>
      <c r="D73" s="107">
        <f t="shared" si="0"/>
        <v>3.43</v>
      </c>
    </row>
    <row r="74" spans="1:7">
      <c r="A74" s="191" t="s">
        <v>284</v>
      </c>
      <c r="B74" s="123" t="s">
        <v>10</v>
      </c>
      <c r="C74" s="122">
        <v>2.5000000000000001E-2</v>
      </c>
      <c r="D74" s="107">
        <f t="shared" si="0"/>
        <v>42.9</v>
      </c>
    </row>
    <row r="75" spans="1:7">
      <c r="A75" s="105" t="s">
        <v>286</v>
      </c>
      <c r="B75" s="121" t="s">
        <v>11</v>
      </c>
      <c r="C75" s="122">
        <v>0.08</v>
      </c>
      <c r="D75" s="107">
        <f t="shared" si="0"/>
        <v>137.29</v>
      </c>
    </row>
    <row r="76" spans="1:7" ht="31.5">
      <c r="A76" s="191" t="s">
        <v>288</v>
      </c>
      <c r="B76" s="123" t="s">
        <v>378</v>
      </c>
      <c r="C76" s="141">
        <v>3.0499999999999999E-2</v>
      </c>
      <c r="D76" s="245">
        <f t="shared" si="0"/>
        <v>52.34</v>
      </c>
    </row>
    <row r="77" spans="1:7" ht="16.5" thickBot="1">
      <c r="A77" s="124" t="s">
        <v>290</v>
      </c>
      <c r="B77" s="125" t="s">
        <v>12</v>
      </c>
      <c r="C77" s="126">
        <v>6.0000000000000001E-3</v>
      </c>
      <c r="D77" s="110">
        <f t="shared" si="0"/>
        <v>10.3</v>
      </c>
    </row>
    <row r="78" spans="1:7" ht="16.5" thickBot="1">
      <c r="A78" s="530" t="s">
        <v>7</v>
      </c>
      <c r="B78" s="531"/>
      <c r="C78" s="127">
        <f>SUM(C70:C77)</f>
        <v>0.36850000000000005</v>
      </c>
      <c r="D78" s="113">
        <f>SUM(D70:D77)</f>
        <v>632.38</v>
      </c>
    </row>
    <row r="79" spans="1:7">
      <c r="A79" s="534" t="s">
        <v>311</v>
      </c>
      <c r="B79" s="534"/>
      <c r="C79" s="534"/>
      <c r="D79" s="534"/>
    </row>
    <row r="80" spans="1:7" ht="16.5" customHeight="1">
      <c r="A80" s="534" t="s">
        <v>312</v>
      </c>
      <c r="B80" s="534"/>
      <c r="C80" s="534"/>
      <c r="D80" s="534"/>
    </row>
    <row r="81" spans="1:7">
      <c r="A81" s="190"/>
    </row>
    <row r="82" spans="1:7" ht="16.5" thickBot="1">
      <c r="A82" s="523" t="s">
        <v>313</v>
      </c>
      <c r="B82" s="523"/>
      <c r="C82" s="523"/>
      <c r="D82" s="523"/>
      <c r="E82" s="523"/>
      <c r="F82" s="523"/>
      <c r="G82" s="523"/>
    </row>
    <row r="83" spans="1:7" ht="16.5" thickBot="1">
      <c r="A83" s="117" t="s">
        <v>314</v>
      </c>
      <c r="B83" s="118" t="s">
        <v>315</v>
      </c>
      <c r="C83" s="117" t="s">
        <v>4</v>
      </c>
      <c r="D83" s="117" t="s">
        <v>279</v>
      </c>
    </row>
    <row r="84" spans="1:7">
      <c r="A84" s="82" t="s">
        <v>257</v>
      </c>
      <c r="B84" s="119" t="s">
        <v>316</v>
      </c>
      <c r="C84" s="120">
        <f>((5/56)*100)/100</f>
        <v>8.9285714285714288E-2</v>
      </c>
      <c r="D84" s="104">
        <f>ROUND($D$43*C84,2)</f>
        <v>153.22999999999999</v>
      </c>
    </row>
    <row r="85" spans="1:7">
      <c r="A85" s="105" t="s">
        <v>259</v>
      </c>
      <c r="B85" s="121" t="s">
        <v>317</v>
      </c>
      <c r="C85" s="128">
        <f>(1/3)*(5/56)</f>
        <v>2.976190476190476E-2</v>
      </c>
      <c r="D85" s="129">
        <f>ROUND($D$43*C85,2)</f>
        <v>51.08</v>
      </c>
    </row>
    <row r="86" spans="1:7">
      <c r="A86" s="130" t="s">
        <v>318</v>
      </c>
      <c r="B86" s="121"/>
      <c r="C86" s="131">
        <f>SUM(C84:C85)</f>
        <v>0.11904761904761904</v>
      </c>
      <c r="D86" s="132">
        <f>SUM(D84:D85)</f>
        <v>204.31</v>
      </c>
    </row>
    <row r="87" spans="1:7" ht="32.25" thickBot="1">
      <c r="A87" s="105" t="s">
        <v>261</v>
      </c>
      <c r="B87" s="121" t="s">
        <v>319</v>
      </c>
      <c r="C87" s="122">
        <f>D87/D43</f>
        <v>4.3866396289303784E-2</v>
      </c>
      <c r="D87" s="107">
        <f>ROUND(D78*C86,2)</f>
        <v>75.28</v>
      </c>
    </row>
    <row r="88" spans="1:7" ht="16.5" thickBot="1">
      <c r="A88" s="530" t="s">
        <v>7</v>
      </c>
      <c r="B88" s="531"/>
      <c r="C88" s="127">
        <f>C87+C86</f>
        <v>0.16291401533692282</v>
      </c>
      <c r="D88" s="113">
        <f>D86+D87</f>
        <v>279.59000000000003</v>
      </c>
    </row>
    <row r="89" spans="1:7">
      <c r="A89" s="190"/>
    </row>
    <row r="90" spans="1:7" ht="16.5" thickBot="1">
      <c r="A90" s="523" t="s">
        <v>320</v>
      </c>
      <c r="B90" s="523"/>
      <c r="C90" s="523"/>
      <c r="D90" s="523"/>
      <c r="E90" s="523"/>
      <c r="F90" s="523"/>
      <c r="G90" s="523"/>
    </row>
    <row r="91" spans="1:7" ht="16.5" thickBot="1">
      <c r="A91" s="117" t="s">
        <v>321</v>
      </c>
      <c r="B91" s="118" t="s">
        <v>322</v>
      </c>
      <c r="C91" s="117" t="s">
        <v>4</v>
      </c>
      <c r="D91" s="117" t="s">
        <v>279</v>
      </c>
    </row>
    <row r="92" spans="1:7">
      <c r="A92" s="82" t="s">
        <v>257</v>
      </c>
      <c r="B92" s="133" t="s">
        <v>323</v>
      </c>
      <c r="C92" s="120">
        <f>0.1111*0.02*0.3333</f>
        <v>7.4059259999999997E-4</v>
      </c>
      <c r="D92" s="104">
        <f>ROUND($D$43*C92,2)</f>
        <v>1.27</v>
      </c>
    </row>
    <row r="93" spans="1:7" ht="32.25" thickBot="1">
      <c r="A93" s="109" t="s">
        <v>259</v>
      </c>
      <c r="B93" s="134" t="s">
        <v>324</v>
      </c>
      <c r="C93" s="126">
        <f>D93/D43</f>
        <v>2.7387362189124304E-4</v>
      </c>
      <c r="D93" s="110">
        <f>ROUND(D78*C92,2)</f>
        <v>0.47</v>
      </c>
    </row>
    <row r="94" spans="1:7" ht="16.5" thickBot="1">
      <c r="A94" s="530" t="s">
        <v>7</v>
      </c>
      <c r="B94" s="531"/>
      <c r="C94" s="127">
        <f>SUM(C92:C93)</f>
        <v>1.0144662218912431E-3</v>
      </c>
      <c r="D94" s="113">
        <f>SUM(D92:D93)</f>
        <v>1.74</v>
      </c>
    </row>
    <row r="95" spans="1:7">
      <c r="A95" s="190"/>
    </row>
    <row r="96" spans="1:7">
      <c r="A96" s="190"/>
    </row>
    <row r="97" spans="1:7" ht="16.5" thickBot="1">
      <c r="A97" s="523" t="s">
        <v>325</v>
      </c>
      <c r="B97" s="523"/>
      <c r="C97" s="523"/>
      <c r="D97" s="523"/>
      <c r="E97" s="523"/>
      <c r="F97" s="523"/>
      <c r="G97" s="523"/>
    </row>
    <row r="98" spans="1:7" ht="16.5" thickBot="1">
      <c r="A98" s="117" t="s">
        <v>326</v>
      </c>
      <c r="B98" s="118" t="s">
        <v>327</v>
      </c>
      <c r="C98" s="117" t="s">
        <v>4</v>
      </c>
      <c r="D98" s="117" t="s">
        <v>279</v>
      </c>
    </row>
    <row r="99" spans="1:7">
      <c r="A99" s="82" t="s">
        <v>257</v>
      </c>
      <c r="B99" s="133" t="s">
        <v>328</v>
      </c>
      <c r="C99" s="135">
        <f>((1/12)*0.05)</f>
        <v>4.1666666666666666E-3</v>
      </c>
      <c r="D99" s="104">
        <f>ROUND($D$43*C99,2)</f>
        <v>7.15</v>
      </c>
    </row>
    <row r="100" spans="1:7" ht="31.5">
      <c r="A100" s="191" t="s">
        <v>259</v>
      </c>
      <c r="B100" s="91" t="s">
        <v>329</v>
      </c>
      <c r="C100" s="136">
        <f>D100/D43</f>
        <v>3.3214460527235858E-4</v>
      </c>
      <c r="D100" s="137">
        <f>ROUND(D75*C99,2)</f>
        <v>0.56999999999999995</v>
      </c>
    </row>
    <row r="101" spans="1:7">
      <c r="A101" s="191" t="s">
        <v>261</v>
      </c>
      <c r="B101" s="138" t="s">
        <v>330</v>
      </c>
      <c r="C101" s="139">
        <f>0.08*0.5*0.9*(1+(5/56)+(5/56)+(1/3)*(5/56))</f>
        <v>4.3499999999999997E-2</v>
      </c>
      <c r="D101" s="107">
        <f>ROUND($D$43*C101,2)</f>
        <v>74.650000000000006</v>
      </c>
    </row>
    <row r="102" spans="1:7">
      <c r="A102" s="191" t="s">
        <v>263</v>
      </c>
      <c r="B102" s="138" t="s">
        <v>331</v>
      </c>
      <c r="C102" s="140">
        <f>(((7/30)/12))</f>
        <v>1.9444444444444445E-2</v>
      </c>
      <c r="D102" s="107">
        <f>ROUND($D$43*C102,2)</f>
        <v>33.369999999999997</v>
      </c>
    </row>
    <row r="103" spans="1:7" ht="31.5">
      <c r="A103" s="191" t="s">
        <v>284</v>
      </c>
      <c r="B103" s="138" t="s">
        <v>332</v>
      </c>
      <c r="C103" s="141">
        <f>D103/D43</f>
        <v>7.167330955877212E-3</v>
      </c>
      <c r="D103" s="107">
        <f>ROUND(D78*C102,2)</f>
        <v>12.3</v>
      </c>
    </row>
    <row r="104" spans="1:7" ht="16.5" thickBot="1">
      <c r="A104" s="109" t="s">
        <v>286</v>
      </c>
      <c r="B104" s="134" t="s">
        <v>333</v>
      </c>
      <c r="C104" s="142">
        <f>(40%+10%)*C75*C102</f>
        <v>7.7777777777777784E-4</v>
      </c>
      <c r="D104" s="107">
        <f>ROUND($D$43*C104,2)</f>
        <v>1.33</v>
      </c>
    </row>
    <row r="105" spans="1:7" ht="16.5" thickBot="1">
      <c r="A105" s="525" t="s">
        <v>7</v>
      </c>
      <c r="B105" s="526"/>
      <c r="C105" s="127">
        <f>SUM(C99:C104)</f>
        <v>7.538836445003845E-2</v>
      </c>
      <c r="D105" s="143">
        <f>SUM(D99:D104)</f>
        <v>129.37000000000003</v>
      </c>
    </row>
    <row r="106" spans="1:7">
      <c r="A106" s="71"/>
    </row>
    <row r="107" spans="1:7" ht="16.5" thickBot="1">
      <c r="A107" s="523" t="s">
        <v>334</v>
      </c>
      <c r="B107" s="523"/>
      <c r="C107" s="523"/>
      <c r="D107" s="523"/>
      <c r="E107" s="523"/>
      <c r="F107" s="523"/>
      <c r="G107" s="523"/>
    </row>
    <row r="108" spans="1:7" ht="32.25" thickBot="1">
      <c r="A108" s="117" t="s">
        <v>335</v>
      </c>
      <c r="B108" s="118" t="s">
        <v>336</v>
      </c>
      <c r="C108" s="117" t="s">
        <v>4</v>
      </c>
      <c r="D108" s="117" t="s">
        <v>279</v>
      </c>
    </row>
    <row r="109" spans="1:7">
      <c r="A109" s="82" t="s">
        <v>257</v>
      </c>
      <c r="B109" s="133" t="s">
        <v>13</v>
      </c>
      <c r="C109" s="144">
        <f>(5/56)</f>
        <v>8.9285714285714288E-2</v>
      </c>
      <c r="D109" s="107">
        <f t="shared" ref="D109:D114" si="1">ROUND($D$43*C109,2)</f>
        <v>153.22999999999999</v>
      </c>
    </row>
    <row r="110" spans="1:7">
      <c r="A110" s="191" t="s">
        <v>259</v>
      </c>
      <c r="B110" s="138" t="s">
        <v>379</v>
      </c>
      <c r="C110" s="122">
        <f>(10.96/30)/12</f>
        <v>3.0444444444444444E-2</v>
      </c>
      <c r="D110" s="107">
        <f t="shared" si="1"/>
        <v>52.25</v>
      </c>
      <c r="E110" s="184"/>
    </row>
    <row r="111" spans="1:7">
      <c r="A111" s="191" t="s">
        <v>261</v>
      </c>
      <c r="B111" s="138" t="s">
        <v>337</v>
      </c>
      <c r="C111" s="122">
        <f>((5/30)/12)*0.015</f>
        <v>2.0833333333333332E-4</v>
      </c>
      <c r="D111" s="107">
        <f t="shared" si="1"/>
        <v>0.36</v>
      </c>
    </row>
    <row r="112" spans="1:7">
      <c r="A112" s="191" t="s">
        <v>263</v>
      </c>
      <c r="B112" s="138" t="s">
        <v>338</v>
      </c>
      <c r="C112" s="122">
        <f>((1/30)/12)</f>
        <v>2.7777777777777779E-3</v>
      </c>
      <c r="D112" s="107">
        <f t="shared" si="1"/>
        <v>4.7699999999999996</v>
      </c>
    </row>
    <row r="113" spans="1:7">
      <c r="A113" s="191" t="s">
        <v>284</v>
      </c>
      <c r="B113" s="138" t="s">
        <v>339</v>
      </c>
      <c r="C113" s="122">
        <f>((15/30)/12)*0.0078</f>
        <v>3.2499999999999999E-4</v>
      </c>
      <c r="D113" s="107">
        <f t="shared" si="1"/>
        <v>0.56000000000000005</v>
      </c>
    </row>
    <row r="114" spans="1:7">
      <c r="A114" s="191" t="s">
        <v>286</v>
      </c>
      <c r="B114" s="138" t="s">
        <v>291</v>
      </c>
      <c r="C114" s="145"/>
      <c r="D114" s="107">
        <f t="shared" si="1"/>
        <v>0</v>
      </c>
    </row>
    <row r="115" spans="1:7">
      <c r="A115" s="532" t="s">
        <v>318</v>
      </c>
      <c r="B115" s="533"/>
      <c r="C115" s="122">
        <f>SUM(C109:C114)</f>
        <v>0.12304126984126985</v>
      </c>
      <c r="D115" s="107">
        <f>SUM(D109:D114)</f>
        <v>211.17000000000002</v>
      </c>
    </row>
    <row r="116" spans="1:7" ht="32.25" thickBot="1">
      <c r="A116" s="109" t="s">
        <v>288</v>
      </c>
      <c r="B116" s="134" t="s">
        <v>340</v>
      </c>
      <c r="C116" s="142">
        <f>D116/$D$43</f>
        <v>4.5340652168846009E-2</v>
      </c>
      <c r="D116" s="107">
        <f>ROUND(D78*C115,2)</f>
        <v>77.81</v>
      </c>
    </row>
    <row r="117" spans="1:7" ht="16.5" thickBot="1">
      <c r="A117" s="525" t="s">
        <v>7</v>
      </c>
      <c r="B117" s="526"/>
      <c r="C117" s="127">
        <f>C116+C115</f>
        <v>0.16838192201011587</v>
      </c>
      <c r="D117" s="146">
        <f>D116+D115</f>
        <v>288.98</v>
      </c>
    </row>
    <row r="118" spans="1:7">
      <c r="A118" s="190" t="s">
        <v>341</v>
      </c>
    </row>
    <row r="119" spans="1:7" ht="16.5" thickBot="1">
      <c r="A119" s="522" t="s">
        <v>342</v>
      </c>
      <c r="B119" s="522"/>
      <c r="C119" s="522"/>
      <c r="D119" s="522"/>
      <c r="E119" s="522"/>
      <c r="F119" s="522"/>
      <c r="G119" s="522"/>
    </row>
    <row r="120" spans="1:7" ht="32.25" customHeight="1" thickBot="1">
      <c r="A120" s="147">
        <v>4</v>
      </c>
      <c r="B120" s="148" t="s">
        <v>343</v>
      </c>
      <c r="C120" s="149" t="s">
        <v>4</v>
      </c>
      <c r="D120" s="150" t="s">
        <v>279</v>
      </c>
    </row>
    <row r="121" spans="1:7">
      <c r="A121" s="82" t="s">
        <v>307</v>
      </c>
      <c r="B121" s="133" t="s">
        <v>344</v>
      </c>
      <c r="C121" s="142">
        <f t="shared" ref="C121:C126" si="2">D121/$D$43</f>
        <v>0.16291984243526098</v>
      </c>
      <c r="D121" s="107">
        <f>D88</f>
        <v>279.59000000000003</v>
      </c>
    </row>
    <row r="122" spans="1:7">
      <c r="A122" s="191" t="s">
        <v>314</v>
      </c>
      <c r="B122" s="138" t="s">
        <v>308</v>
      </c>
      <c r="C122" s="142">
        <f t="shared" si="2"/>
        <v>0.36849404470549846</v>
      </c>
      <c r="D122" s="107">
        <f>D78</f>
        <v>632.38</v>
      </c>
    </row>
    <row r="123" spans="1:7">
      <c r="A123" s="191" t="s">
        <v>321</v>
      </c>
      <c r="B123" s="138" t="s">
        <v>323</v>
      </c>
      <c r="C123" s="142">
        <f t="shared" si="2"/>
        <v>1.0139151108314105E-3</v>
      </c>
      <c r="D123" s="107">
        <f>D94</f>
        <v>1.74</v>
      </c>
    </row>
    <row r="124" spans="1:7">
      <c r="A124" s="151" t="s">
        <v>326</v>
      </c>
      <c r="B124" s="152" t="s">
        <v>345</v>
      </c>
      <c r="C124" s="142">
        <f t="shared" si="2"/>
        <v>7.5385171200149204E-2</v>
      </c>
      <c r="D124" s="107">
        <f>D105</f>
        <v>129.37000000000003</v>
      </c>
    </row>
    <row r="125" spans="1:7">
      <c r="A125" s="153" t="s">
        <v>335</v>
      </c>
      <c r="B125" s="154" t="s">
        <v>346</v>
      </c>
      <c r="C125" s="142">
        <f t="shared" si="2"/>
        <v>0.16839148777474772</v>
      </c>
      <c r="D125" s="107">
        <f>D117</f>
        <v>288.98</v>
      </c>
    </row>
    <row r="126" spans="1:7" ht="16.5" thickBot="1">
      <c r="A126" s="191" t="s">
        <v>347</v>
      </c>
      <c r="B126" s="138" t="s">
        <v>291</v>
      </c>
      <c r="C126" s="142">
        <f t="shared" si="2"/>
        <v>0</v>
      </c>
      <c r="D126" s="107">
        <v>0</v>
      </c>
    </row>
    <row r="127" spans="1:7" ht="37.5" customHeight="1" thickBot="1">
      <c r="A127" s="530" t="s">
        <v>348</v>
      </c>
      <c r="B127" s="531"/>
      <c r="C127" s="127">
        <f>SUM(C121:C126)</f>
        <v>0.77620446122648779</v>
      </c>
      <c r="D127" s="113">
        <f>SUM(D121:D126)</f>
        <v>1332.0600000000002</v>
      </c>
    </row>
    <row r="128" spans="1:7">
      <c r="A128" s="155"/>
      <c r="B128" s="155"/>
      <c r="C128" s="156"/>
      <c r="D128" s="157"/>
      <c r="E128" s="158"/>
      <c r="F128" s="159"/>
      <c r="G128" s="159"/>
    </row>
    <row r="129" spans="1:8" ht="16.5" thickBot="1">
      <c r="A129" s="522" t="s">
        <v>349</v>
      </c>
      <c r="B129" s="522"/>
      <c r="C129" s="522"/>
      <c r="D129" s="522"/>
      <c r="E129" s="522"/>
      <c r="F129" s="522"/>
      <c r="G129" s="522"/>
      <c r="H129" s="160"/>
    </row>
    <row r="130" spans="1:8" ht="16.5" thickBot="1">
      <c r="A130" s="147" t="s">
        <v>350</v>
      </c>
      <c r="B130" s="148" t="s">
        <v>351</v>
      </c>
      <c r="C130" s="149" t="s">
        <v>4</v>
      </c>
      <c r="D130" s="114" t="s">
        <v>279</v>
      </c>
      <c r="E130" s="161">
        <f>D43+D54+D64+D78+D88+D94+D105+D117</f>
        <v>3495.1794666666665</v>
      </c>
      <c r="G130" s="160"/>
    </row>
    <row r="131" spans="1:8">
      <c r="A131" s="82" t="s">
        <v>257</v>
      </c>
      <c r="B131" s="133" t="s">
        <v>352</v>
      </c>
      <c r="C131" s="162">
        <v>8.3134E-2</v>
      </c>
      <c r="D131" s="163">
        <f>E130*C131</f>
        <v>290.56824978186665</v>
      </c>
      <c r="G131" s="160"/>
    </row>
    <row r="132" spans="1:8">
      <c r="A132" s="191" t="s">
        <v>259</v>
      </c>
      <c r="B132" s="138" t="s">
        <v>353</v>
      </c>
      <c r="C132" s="142"/>
      <c r="D132" s="164"/>
      <c r="F132" s="165"/>
    </row>
    <row r="133" spans="1:8">
      <c r="A133" s="191"/>
      <c r="B133" s="138" t="s">
        <v>354</v>
      </c>
      <c r="C133" s="142"/>
      <c r="D133" s="129"/>
      <c r="F133" s="182"/>
      <c r="G133" s="160"/>
    </row>
    <row r="134" spans="1:8">
      <c r="A134" s="191"/>
      <c r="B134" s="138" t="s">
        <v>355</v>
      </c>
      <c r="C134" s="142">
        <v>7.5999999999999998E-2</v>
      </c>
      <c r="D134" s="107">
        <f>$D$152*C134</f>
        <v>332.54480051001531</v>
      </c>
      <c r="E134" s="165">
        <f>D152</f>
        <v>4375.5894803949386</v>
      </c>
      <c r="G134" s="160"/>
    </row>
    <row r="135" spans="1:8">
      <c r="A135" s="191"/>
      <c r="B135" s="138" t="s">
        <v>356</v>
      </c>
      <c r="C135" s="142">
        <v>1.6500000000000001E-2</v>
      </c>
      <c r="D135" s="107">
        <f>$D$152*C135</f>
        <v>72.197226426516494</v>
      </c>
      <c r="E135" s="246"/>
      <c r="G135" s="160"/>
    </row>
    <row r="136" spans="1:8">
      <c r="A136" s="191"/>
      <c r="B136" s="138" t="s">
        <v>357</v>
      </c>
      <c r="C136" s="142"/>
      <c r="D136" s="107"/>
    </row>
    <row r="137" spans="1:8">
      <c r="A137" s="191"/>
      <c r="B137" s="138" t="s">
        <v>358</v>
      </c>
      <c r="C137" s="142">
        <v>2.5000000000000001E-2</v>
      </c>
      <c r="D137" s="107">
        <f>$D$152*C137</f>
        <v>109.38973700987347</v>
      </c>
      <c r="G137" s="160"/>
    </row>
    <row r="138" spans="1:8">
      <c r="A138" s="191"/>
      <c r="B138" s="138" t="s">
        <v>359</v>
      </c>
      <c r="C138" s="142"/>
      <c r="D138" s="107"/>
    </row>
    <row r="139" spans="1:8" ht="16.5" thickBot="1">
      <c r="A139" s="191" t="s">
        <v>261</v>
      </c>
      <c r="B139" s="138" t="s">
        <v>360</v>
      </c>
      <c r="C139" s="142">
        <v>0.02</v>
      </c>
      <c r="D139" s="107">
        <f>ROUND(E139*C139,2)</f>
        <v>75.709999999999994</v>
      </c>
      <c r="E139" s="132">
        <f>E130+D131</f>
        <v>3785.7477164485331</v>
      </c>
    </row>
    <row r="140" spans="1:8" ht="33" customHeight="1" thickBot="1">
      <c r="A140" s="527" t="s">
        <v>361</v>
      </c>
      <c r="B140" s="528"/>
      <c r="C140" s="529"/>
      <c r="D140" s="166">
        <f>D131+D134+D135+D137+D139</f>
        <v>880.41001372827202</v>
      </c>
    </row>
    <row r="141" spans="1:8">
      <c r="A141" s="522" t="s">
        <v>362</v>
      </c>
      <c r="B141" s="522"/>
      <c r="C141" s="522"/>
      <c r="D141" s="522"/>
      <c r="E141" s="522"/>
      <c r="F141" s="522"/>
      <c r="G141" s="522"/>
    </row>
    <row r="142" spans="1:8">
      <c r="A142" s="522" t="s">
        <v>363</v>
      </c>
      <c r="B142" s="522"/>
      <c r="C142" s="522"/>
      <c r="D142" s="522"/>
      <c r="E142" s="522"/>
      <c r="F142" s="522"/>
      <c r="G142" s="522"/>
    </row>
    <row r="143" spans="1:8">
      <c r="A143" s="190"/>
    </row>
    <row r="144" spans="1:8" ht="16.5" thickBot="1">
      <c r="A144" s="523" t="s">
        <v>364</v>
      </c>
      <c r="B144" s="523"/>
      <c r="C144" s="523"/>
      <c r="D144" s="523"/>
      <c r="E144" s="523"/>
      <c r="F144" s="523"/>
      <c r="G144" s="523"/>
    </row>
    <row r="145" spans="1:8" ht="32.25" customHeight="1" thickBot="1">
      <c r="A145" s="147"/>
      <c r="B145" s="524" t="s">
        <v>365</v>
      </c>
      <c r="C145" s="524"/>
      <c r="D145" s="167" t="s">
        <v>366</v>
      </c>
    </row>
    <row r="146" spans="1:8">
      <c r="A146" s="191" t="s">
        <v>257</v>
      </c>
      <c r="B146" s="138" t="s">
        <v>367</v>
      </c>
      <c r="C146" s="122">
        <f t="shared" ref="C146:C151" si="3">D146/$D$152</f>
        <v>0.39220315518381393</v>
      </c>
      <c r="D146" s="129">
        <f>D43</f>
        <v>1716.12</v>
      </c>
    </row>
    <row r="147" spans="1:8">
      <c r="A147" s="191" t="s">
        <v>259</v>
      </c>
      <c r="B147" s="138" t="s">
        <v>368</v>
      </c>
      <c r="C147" s="122">
        <f t="shared" si="3"/>
        <v>9.2749285968977538E-2</v>
      </c>
      <c r="D147" s="129">
        <f>D54</f>
        <v>405.83280000000002</v>
      </c>
    </row>
    <row r="148" spans="1:8" ht="31.5">
      <c r="A148" s="191" t="s">
        <v>261</v>
      </c>
      <c r="B148" s="138" t="s">
        <v>369</v>
      </c>
      <c r="C148" s="122">
        <f t="shared" si="3"/>
        <v>9.4082561563684393E-3</v>
      </c>
      <c r="D148" s="129">
        <f>D64</f>
        <v>41.166666666666664</v>
      </c>
      <c r="E148" s="165">
        <f>D150+D131+D139</f>
        <v>3861.4577164485331</v>
      </c>
    </row>
    <row r="149" spans="1:8" ht="31.5">
      <c r="A149" s="191" t="s">
        <v>263</v>
      </c>
      <c r="B149" s="138" t="s">
        <v>370</v>
      </c>
      <c r="C149" s="122">
        <f t="shared" si="3"/>
        <v>0.30442983876078089</v>
      </c>
      <c r="D149" s="129">
        <f>D127</f>
        <v>1332.0600000000002</v>
      </c>
      <c r="E149" s="174">
        <f>C137+C135+C134</f>
        <v>0.11749999999999999</v>
      </c>
    </row>
    <row r="150" spans="1:8" ht="16.5" customHeight="1">
      <c r="A150" s="168" t="s">
        <v>371</v>
      </c>
      <c r="B150" s="169"/>
      <c r="C150" s="131">
        <f t="shared" si="3"/>
        <v>0.79879053606994077</v>
      </c>
      <c r="D150" s="170">
        <f>SUM(D146:D149)</f>
        <v>3495.1794666666665</v>
      </c>
      <c r="E150" s="174">
        <f>100%-E149</f>
        <v>0.88250000000000006</v>
      </c>
    </row>
    <row r="151" spans="1:8" ht="32.25" thickBot="1">
      <c r="A151" s="191" t="s">
        <v>284</v>
      </c>
      <c r="B151" s="138" t="s">
        <v>372</v>
      </c>
      <c r="C151" s="122">
        <f t="shared" si="3"/>
        <v>0.20120946393005923</v>
      </c>
      <c r="D151" s="129">
        <f>D140</f>
        <v>880.41001372827202</v>
      </c>
      <c r="G151" s="171"/>
    </row>
    <row r="152" spans="1:8" ht="16.5" customHeight="1" thickBot="1">
      <c r="A152" s="525" t="s">
        <v>373</v>
      </c>
      <c r="B152" s="526"/>
      <c r="C152" s="127">
        <f>C151+C150</f>
        <v>1</v>
      </c>
      <c r="D152" s="166">
        <f>(D150+D139+D131)/0.8825</f>
        <v>4375.5894803949386</v>
      </c>
      <c r="E152" s="171"/>
      <c r="F152" s="165">
        <f>D150+D151</f>
        <v>4375.5894803949386</v>
      </c>
      <c r="H152" s="172"/>
    </row>
    <row r="153" spans="1:8">
      <c r="E153" s="171"/>
    </row>
    <row r="154" spans="1:8">
      <c r="A154" s="186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1.299212598425197" right="0.51181102362204722" top="2.1653543307086616" bottom="0.98425196850393704" header="0.31496062992125984" footer="0.31496062992125984"/>
  <pageSetup paperSize="9" scale="79" fitToHeight="4" orientation="portrait" r:id="rId1"/>
  <headerFooter alignWithMargins="0"/>
  <rowBreaks count="3" manualBreakCount="3">
    <brk id="43" max="3" man="1"/>
    <brk id="88" max="3" man="1"/>
    <brk id="128" max="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154"/>
  <sheetViews>
    <sheetView showGridLines="0" view="pageBreakPreview" topLeftCell="A136" zoomScale="90" zoomScaleSheetLayoutView="90" workbookViewId="0">
      <selection activeCell="E135" sqref="E135"/>
    </sheetView>
  </sheetViews>
  <sheetFormatPr defaultRowHeight="15.75"/>
  <cols>
    <col min="1" max="1" width="9.28515625" style="53" customWidth="1"/>
    <col min="2" max="2" width="39.85546875" style="53" customWidth="1"/>
    <col min="3" max="3" width="18.28515625" style="53" customWidth="1"/>
    <col min="4" max="4" width="23.85546875" style="53" customWidth="1"/>
    <col min="5" max="5" width="16" style="53" bestFit="1" customWidth="1"/>
    <col min="6" max="6" width="13.7109375" style="53" bestFit="1" customWidth="1"/>
    <col min="7" max="7" width="15.7109375" style="53" bestFit="1" customWidth="1"/>
    <col min="8" max="8" width="13.140625" style="53" bestFit="1" customWidth="1"/>
    <col min="9" max="9" width="11.85546875" style="53" bestFit="1" customWidth="1"/>
    <col min="10" max="10" width="12.85546875" style="53" bestFit="1" customWidth="1"/>
    <col min="11" max="256" width="9.140625" style="53"/>
    <col min="257" max="257" width="9.28515625" style="53" customWidth="1"/>
    <col min="258" max="258" width="39.85546875" style="53" customWidth="1"/>
    <col min="259" max="259" width="18.28515625" style="53" customWidth="1"/>
    <col min="260" max="260" width="23.85546875" style="53" customWidth="1"/>
    <col min="261" max="261" width="16" style="53" bestFit="1" customWidth="1"/>
    <col min="262" max="262" width="13.7109375" style="53" bestFit="1" customWidth="1"/>
    <col min="263" max="263" width="15.7109375" style="53" bestFit="1" customWidth="1"/>
    <col min="264" max="264" width="13.140625" style="53" bestFit="1" customWidth="1"/>
    <col min="265" max="265" width="11.85546875" style="53" bestFit="1" customWidth="1"/>
    <col min="266" max="266" width="12.85546875" style="53" bestFit="1" customWidth="1"/>
    <col min="267" max="512" width="9.140625" style="53"/>
    <col min="513" max="513" width="9.28515625" style="53" customWidth="1"/>
    <col min="514" max="514" width="39.85546875" style="53" customWidth="1"/>
    <col min="515" max="515" width="18.28515625" style="53" customWidth="1"/>
    <col min="516" max="516" width="23.85546875" style="53" customWidth="1"/>
    <col min="517" max="517" width="16" style="53" bestFit="1" customWidth="1"/>
    <col min="518" max="518" width="13.7109375" style="53" bestFit="1" customWidth="1"/>
    <col min="519" max="519" width="15.7109375" style="53" bestFit="1" customWidth="1"/>
    <col min="520" max="520" width="13.140625" style="53" bestFit="1" customWidth="1"/>
    <col min="521" max="521" width="11.85546875" style="53" bestFit="1" customWidth="1"/>
    <col min="522" max="522" width="12.85546875" style="53" bestFit="1" customWidth="1"/>
    <col min="523" max="768" width="9.140625" style="53"/>
    <col min="769" max="769" width="9.28515625" style="53" customWidth="1"/>
    <col min="770" max="770" width="39.85546875" style="53" customWidth="1"/>
    <col min="771" max="771" width="18.28515625" style="53" customWidth="1"/>
    <col min="772" max="772" width="23.85546875" style="53" customWidth="1"/>
    <col min="773" max="773" width="16" style="53" bestFit="1" customWidth="1"/>
    <col min="774" max="774" width="13.7109375" style="53" bestFit="1" customWidth="1"/>
    <col min="775" max="775" width="15.7109375" style="53" bestFit="1" customWidth="1"/>
    <col min="776" max="776" width="13.140625" style="53" bestFit="1" customWidth="1"/>
    <col min="777" max="777" width="11.85546875" style="53" bestFit="1" customWidth="1"/>
    <col min="778" max="778" width="12.85546875" style="53" bestFit="1" customWidth="1"/>
    <col min="779" max="1024" width="9.140625" style="53"/>
    <col min="1025" max="1025" width="9.28515625" style="53" customWidth="1"/>
    <col min="1026" max="1026" width="39.85546875" style="53" customWidth="1"/>
    <col min="1027" max="1027" width="18.28515625" style="53" customWidth="1"/>
    <col min="1028" max="1028" width="23.85546875" style="53" customWidth="1"/>
    <col min="1029" max="1029" width="16" style="53" bestFit="1" customWidth="1"/>
    <col min="1030" max="1030" width="13.7109375" style="53" bestFit="1" customWidth="1"/>
    <col min="1031" max="1031" width="15.7109375" style="53" bestFit="1" customWidth="1"/>
    <col min="1032" max="1032" width="13.140625" style="53" bestFit="1" customWidth="1"/>
    <col min="1033" max="1033" width="11.85546875" style="53" bestFit="1" customWidth="1"/>
    <col min="1034" max="1034" width="12.85546875" style="53" bestFit="1" customWidth="1"/>
    <col min="1035" max="1280" width="9.140625" style="53"/>
    <col min="1281" max="1281" width="9.28515625" style="53" customWidth="1"/>
    <col min="1282" max="1282" width="39.85546875" style="53" customWidth="1"/>
    <col min="1283" max="1283" width="18.28515625" style="53" customWidth="1"/>
    <col min="1284" max="1284" width="23.85546875" style="53" customWidth="1"/>
    <col min="1285" max="1285" width="16" style="53" bestFit="1" customWidth="1"/>
    <col min="1286" max="1286" width="13.7109375" style="53" bestFit="1" customWidth="1"/>
    <col min="1287" max="1287" width="15.7109375" style="53" bestFit="1" customWidth="1"/>
    <col min="1288" max="1288" width="13.140625" style="53" bestFit="1" customWidth="1"/>
    <col min="1289" max="1289" width="11.85546875" style="53" bestFit="1" customWidth="1"/>
    <col min="1290" max="1290" width="12.85546875" style="53" bestFit="1" customWidth="1"/>
    <col min="1291" max="1536" width="9.140625" style="53"/>
    <col min="1537" max="1537" width="9.28515625" style="53" customWidth="1"/>
    <col min="1538" max="1538" width="39.85546875" style="53" customWidth="1"/>
    <col min="1539" max="1539" width="18.28515625" style="53" customWidth="1"/>
    <col min="1540" max="1540" width="23.85546875" style="53" customWidth="1"/>
    <col min="1541" max="1541" width="16" style="53" bestFit="1" customWidth="1"/>
    <col min="1542" max="1542" width="13.7109375" style="53" bestFit="1" customWidth="1"/>
    <col min="1543" max="1543" width="15.7109375" style="53" bestFit="1" customWidth="1"/>
    <col min="1544" max="1544" width="13.140625" style="53" bestFit="1" customWidth="1"/>
    <col min="1545" max="1545" width="11.85546875" style="53" bestFit="1" customWidth="1"/>
    <col min="1546" max="1546" width="12.85546875" style="53" bestFit="1" customWidth="1"/>
    <col min="1547" max="1792" width="9.140625" style="53"/>
    <col min="1793" max="1793" width="9.28515625" style="53" customWidth="1"/>
    <col min="1794" max="1794" width="39.85546875" style="53" customWidth="1"/>
    <col min="1795" max="1795" width="18.28515625" style="53" customWidth="1"/>
    <col min="1796" max="1796" width="23.85546875" style="53" customWidth="1"/>
    <col min="1797" max="1797" width="16" style="53" bestFit="1" customWidth="1"/>
    <col min="1798" max="1798" width="13.7109375" style="53" bestFit="1" customWidth="1"/>
    <col min="1799" max="1799" width="15.7109375" style="53" bestFit="1" customWidth="1"/>
    <col min="1800" max="1800" width="13.140625" style="53" bestFit="1" customWidth="1"/>
    <col min="1801" max="1801" width="11.85546875" style="53" bestFit="1" customWidth="1"/>
    <col min="1802" max="1802" width="12.85546875" style="53" bestFit="1" customWidth="1"/>
    <col min="1803" max="2048" width="9.140625" style="53"/>
    <col min="2049" max="2049" width="9.28515625" style="53" customWidth="1"/>
    <col min="2050" max="2050" width="39.85546875" style="53" customWidth="1"/>
    <col min="2051" max="2051" width="18.28515625" style="53" customWidth="1"/>
    <col min="2052" max="2052" width="23.85546875" style="53" customWidth="1"/>
    <col min="2053" max="2053" width="16" style="53" bestFit="1" customWidth="1"/>
    <col min="2054" max="2054" width="13.7109375" style="53" bestFit="1" customWidth="1"/>
    <col min="2055" max="2055" width="15.7109375" style="53" bestFit="1" customWidth="1"/>
    <col min="2056" max="2056" width="13.140625" style="53" bestFit="1" customWidth="1"/>
    <col min="2057" max="2057" width="11.85546875" style="53" bestFit="1" customWidth="1"/>
    <col min="2058" max="2058" width="12.85546875" style="53" bestFit="1" customWidth="1"/>
    <col min="2059" max="2304" width="9.140625" style="53"/>
    <col min="2305" max="2305" width="9.28515625" style="53" customWidth="1"/>
    <col min="2306" max="2306" width="39.85546875" style="53" customWidth="1"/>
    <col min="2307" max="2307" width="18.28515625" style="53" customWidth="1"/>
    <col min="2308" max="2308" width="23.85546875" style="53" customWidth="1"/>
    <col min="2309" max="2309" width="16" style="53" bestFit="1" customWidth="1"/>
    <col min="2310" max="2310" width="13.7109375" style="53" bestFit="1" customWidth="1"/>
    <col min="2311" max="2311" width="15.7109375" style="53" bestFit="1" customWidth="1"/>
    <col min="2312" max="2312" width="13.140625" style="53" bestFit="1" customWidth="1"/>
    <col min="2313" max="2313" width="11.85546875" style="53" bestFit="1" customWidth="1"/>
    <col min="2314" max="2314" width="12.85546875" style="53" bestFit="1" customWidth="1"/>
    <col min="2315" max="2560" width="9.140625" style="53"/>
    <col min="2561" max="2561" width="9.28515625" style="53" customWidth="1"/>
    <col min="2562" max="2562" width="39.85546875" style="53" customWidth="1"/>
    <col min="2563" max="2563" width="18.28515625" style="53" customWidth="1"/>
    <col min="2564" max="2564" width="23.85546875" style="53" customWidth="1"/>
    <col min="2565" max="2565" width="16" style="53" bestFit="1" customWidth="1"/>
    <col min="2566" max="2566" width="13.7109375" style="53" bestFit="1" customWidth="1"/>
    <col min="2567" max="2567" width="15.7109375" style="53" bestFit="1" customWidth="1"/>
    <col min="2568" max="2568" width="13.140625" style="53" bestFit="1" customWidth="1"/>
    <col min="2569" max="2569" width="11.85546875" style="53" bestFit="1" customWidth="1"/>
    <col min="2570" max="2570" width="12.85546875" style="53" bestFit="1" customWidth="1"/>
    <col min="2571" max="2816" width="9.140625" style="53"/>
    <col min="2817" max="2817" width="9.28515625" style="53" customWidth="1"/>
    <col min="2818" max="2818" width="39.85546875" style="53" customWidth="1"/>
    <col min="2819" max="2819" width="18.28515625" style="53" customWidth="1"/>
    <col min="2820" max="2820" width="23.85546875" style="53" customWidth="1"/>
    <col min="2821" max="2821" width="16" style="53" bestFit="1" customWidth="1"/>
    <col min="2822" max="2822" width="13.7109375" style="53" bestFit="1" customWidth="1"/>
    <col min="2823" max="2823" width="15.7109375" style="53" bestFit="1" customWidth="1"/>
    <col min="2824" max="2824" width="13.140625" style="53" bestFit="1" customWidth="1"/>
    <col min="2825" max="2825" width="11.85546875" style="53" bestFit="1" customWidth="1"/>
    <col min="2826" max="2826" width="12.85546875" style="53" bestFit="1" customWidth="1"/>
    <col min="2827" max="3072" width="9.140625" style="53"/>
    <col min="3073" max="3073" width="9.28515625" style="53" customWidth="1"/>
    <col min="3074" max="3074" width="39.85546875" style="53" customWidth="1"/>
    <col min="3075" max="3075" width="18.28515625" style="53" customWidth="1"/>
    <col min="3076" max="3076" width="23.85546875" style="53" customWidth="1"/>
    <col min="3077" max="3077" width="16" style="53" bestFit="1" customWidth="1"/>
    <col min="3078" max="3078" width="13.7109375" style="53" bestFit="1" customWidth="1"/>
    <col min="3079" max="3079" width="15.7109375" style="53" bestFit="1" customWidth="1"/>
    <col min="3080" max="3080" width="13.140625" style="53" bestFit="1" customWidth="1"/>
    <col min="3081" max="3081" width="11.85546875" style="53" bestFit="1" customWidth="1"/>
    <col min="3082" max="3082" width="12.85546875" style="53" bestFit="1" customWidth="1"/>
    <col min="3083" max="3328" width="9.140625" style="53"/>
    <col min="3329" max="3329" width="9.28515625" style="53" customWidth="1"/>
    <col min="3330" max="3330" width="39.85546875" style="53" customWidth="1"/>
    <col min="3331" max="3331" width="18.28515625" style="53" customWidth="1"/>
    <col min="3332" max="3332" width="23.85546875" style="53" customWidth="1"/>
    <col min="3333" max="3333" width="16" style="53" bestFit="1" customWidth="1"/>
    <col min="3334" max="3334" width="13.7109375" style="53" bestFit="1" customWidth="1"/>
    <col min="3335" max="3335" width="15.7109375" style="53" bestFit="1" customWidth="1"/>
    <col min="3336" max="3336" width="13.140625" style="53" bestFit="1" customWidth="1"/>
    <col min="3337" max="3337" width="11.85546875" style="53" bestFit="1" customWidth="1"/>
    <col min="3338" max="3338" width="12.85546875" style="53" bestFit="1" customWidth="1"/>
    <col min="3339" max="3584" width="9.140625" style="53"/>
    <col min="3585" max="3585" width="9.28515625" style="53" customWidth="1"/>
    <col min="3586" max="3586" width="39.85546875" style="53" customWidth="1"/>
    <col min="3587" max="3587" width="18.28515625" style="53" customWidth="1"/>
    <col min="3588" max="3588" width="23.85546875" style="53" customWidth="1"/>
    <col min="3589" max="3589" width="16" style="53" bestFit="1" customWidth="1"/>
    <col min="3590" max="3590" width="13.7109375" style="53" bestFit="1" customWidth="1"/>
    <col min="3591" max="3591" width="15.7109375" style="53" bestFit="1" customWidth="1"/>
    <col min="3592" max="3592" width="13.140625" style="53" bestFit="1" customWidth="1"/>
    <col min="3593" max="3593" width="11.85546875" style="53" bestFit="1" customWidth="1"/>
    <col min="3594" max="3594" width="12.85546875" style="53" bestFit="1" customWidth="1"/>
    <col min="3595" max="3840" width="9.140625" style="53"/>
    <col min="3841" max="3841" width="9.28515625" style="53" customWidth="1"/>
    <col min="3842" max="3842" width="39.85546875" style="53" customWidth="1"/>
    <col min="3843" max="3843" width="18.28515625" style="53" customWidth="1"/>
    <col min="3844" max="3844" width="23.85546875" style="53" customWidth="1"/>
    <col min="3845" max="3845" width="16" style="53" bestFit="1" customWidth="1"/>
    <col min="3846" max="3846" width="13.7109375" style="53" bestFit="1" customWidth="1"/>
    <col min="3847" max="3847" width="15.7109375" style="53" bestFit="1" customWidth="1"/>
    <col min="3848" max="3848" width="13.140625" style="53" bestFit="1" customWidth="1"/>
    <col min="3849" max="3849" width="11.85546875" style="53" bestFit="1" customWidth="1"/>
    <col min="3850" max="3850" width="12.85546875" style="53" bestFit="1" customWidth="1"/>
    <col min="3851" max="4096" width="9.140625" style="53"/>
    <col min="4097" max="4097" width="9.28515625" style="53" customWidth="1"/>
    <col min="4098" max="4098" width="39.85546875" style="53" customWidth="1"/>
    <col min="4099" max="4099" width="18.28515625" style="53" customWidth="1"/>
    <col min="4100" max="4100" width="23.85546875" style="53" customWidth="1"/>
    <col min="4101" max="4101" width="16" style="53" bestFit="1" customWidth="1"/>
    <col min="4102" max="4102" width="13.7109375" style="53" bestFit="1" customWidth="1"/>
    <col min="4103" max="4103" width="15.7109375" style="53" bestFit="1" customWidth="1"/>
    <col min="4104" max="4104" width="13.140625" style="53" bestFit="1" customWidth="1"/>
    <col min="4105" max="4105" width="11.85546875" style="53" bestFit="1" customWidth="1"/>
    <col min="4106" max="4106" width="12.85546875" style="53" bestFit="1" customWidth="1"/>
    <col min="4107" max="4352" width="9.140625" style="53"/>
    <col min="4353" max="4353" width="9.28515625" style="53" customWidth="1"/>
    <col min="4354" max="4354" width="39.85546875" style="53" customWidth="1"/>
    <col min="4355" max="4355" width="18.28515625" style="53" customWidth="1"/>
    <col min="4356" max="4356" width="23.85546875" style="53" customWidth="1"/>
    <col min="4357" max="4357" width="16" style="53" bestFit="1" customWidth="1"/>
    <col min="4358" max="4358" width="13.7109375" style="53" bestFit="1" customWidth="1"/>
    <col min="4359" max="4359" width="15.7109375" style="53" bestFit="1" customWidth="1"/>
    <col min="4360" max="4360" width="13.140625" style="53" bestFit="1" customWidth="1"/>
    <col min="4361" max="4361" width="11.85546875" style="53" bestFit="1" customWidth="1"/>
    <col min="4362" max="4362" width="12.85546875" style="53" bestFit="1" customWidth="1"/>
    <col min="4363" max="4608" width="9.140625" style="53"/>
    <col min="4609" max="4609" width="9.28515625" style="53" customWidth="1"/>
    <col min="4610" max="4610" width="39.85546875" style="53" customWidth="1"/>
    <col min="4611" max="4611" width="18.28515625" style="53" customWidth="1"/>
    <col min="4612" max="4612" width="23.85546875" style="53" customWidth="1"/>
    <col min="4613" max="4613" width="16" style="53" bestFit="1" customWidth="1"/>
    <col min="4614" max="4614" width="13.7109375" style="53" bestFit="1" customWidth="1"/>
    <col min="4615" max="4615" width="15.7109375" style="53" bestFit="1" customWidth="1"/>
    <col min="4616" max="4616" width="13.140625" style="53" bestFit="1" customWidth="1"/>
    <col min="4617" max="4617" width="11.85546875" style="53" bestFit="1" customWidth="1"/>
    <col min="4618" max="4618" width="12.85546875" style="53" bestFit="1" customWidth="1"/>
    <col min="4619" max="4864" width="9.140625" style="53"/>
    <col min="4865" max="4865" width="9.28515625" style="53" customWidth="1"/>
    <col min="4866" max="4866" width="39.85546875" style="53" customWidth="1"/>
    <col min="4867" max="4867" width="18.28515625" style="53" customWidth="1"/>
    <col min="4868" max="4868" width="23.85546875" style="53" customWidth="1"/>
    <col min="4869" max="4869" width="16" style="53" bestFit="1" customWidth="1"/>
    <col min="4870" max="4870" width="13.7109375" style="53" bestFit="1" customWidth="1"/>
    <col min="4871" max="4871" width="15.7109375" style="53" bestFit="1" customWidth="1"/>
    <col min="4872" max="4872" width="13.140625" style="53" bestFit="1" customWidth="1"/>
    <col min="4873" max="4873" width="11.85546875" style="53" bestFit="1" customWidth="1"/>
    <col min="4874" max="4874" width="12.85546875" style="53" bestFit="1" customWidth="1"/>
    <col min="4875" max="5120" width="9.140625" style="53"/>
    <col min="5121" max="5121" width="9.28515625" style="53" customWidth="1"/>
    <col min="5122" max="5122" width="39.85546875" style="53" customWidth="1"/>
    <col min="5123" max="5123" width="18.28515625" style="53" customWidth="1"/>
    <col min="5124" max="5124" width="23.85546875" style="53" customWidth="1"/>
    <col min="5125" max="5125" width="16" style="53" bestFit="1" customWidth="1"/>
    <col min="5126" max="5126" width="13.7109375" style="53" bestFit="1" customWidth="1"/>
    <col min="5127" max="5127" width="15.7109375" style="53" bestFit="1" customWidth="1"/>
    <col min="5128" max="5128" width="13.140625" style="53" bestFit="1" customWidth="1"/>
    <col min="5129" max="5129" width="11.85546875" style="53" bestFit="1" customWidth="1"/>
    <col min="5130" max="5130" width="12.85546875" style="53" bestFit="1" customWidth="1"/>
    <col min="5131" max="5376" width="9.140625" style="53"/>
    <col min="5377" max="5377" width="9.28515625" style="53" customWidth="1"/>
    <col min="5378" max="5378" width="39.85546875" style="53" customWidth="1"/>
    <col min="5379" max="5379" width="18.28515625" style="53" customWidth="1"/>
    <col min="5380" max="5380" width="23.85546875" style="53" customWidth="1"/>
    <col min="5381" max="5381" width="16" style="53" bestFit="1" customWidth="1"/>
    <col min="5382" max="5382" width="13.7109375" style="53" bestFit="1" customWidth="1"/>
    <col min="5383" max="5383" width="15.7109375" style="53" bestFit="1" customWidth="1"/>
    <col min="5384" max="5384" width="13.140625" style="53" bestFit="1" customWidth="1"/>
    <col min="5385" max="5385" width="11.85546875" style="53" bestFit="1" customWidth="1"/>
    <col min="5386" max="5386" width="12.85546875" style="53" bestFit="1" customWidth="1"/>
    <col min="5387" max="5632" width="9.140625" style="53"/>
    <col min="5633" max="5633" width="9.28515625" style="53" customWidth="1"/>
    <col min="5634" max="5634" width="39.85546875" style="53" customWidth="1"/>
    <col min="5635" max="5635" width="18.28515625" style="53" customWidth="1"/>
    <col min="5636" max="5636" width="23.85546875" style="53" customWidth="1"/>
    <col min="5637" max="5637" width="16" style="53" bestFit="1" customWidth="1"/>
    <col min="5638" max="5638" width="13.7109375" style="53" bestFit="1" customWidth="1"/>
    <col min="5639" max="5639" width="15.7109375" style="53" bestFit="1" customWidth="1"/>
    <col min="5640" max="5640" width="13.140625" style="53" bestFit="1" customWidth="1"/>
    <col min="5641" max="5641" width="11.85546875" style="53" bestFit="1" customWidth="1"/>
    <col min="5642" max="5642" width="12.85546875" style="53" bestFit="1" customWidth="1"/>
    <col min="5643" max="5888" width="9.140625" style="53"/>
    <col min="5889" max="5889" width="9.28515625" style="53" customWidth="1"/>
    <col min="5890" max="5890" width="39.85546875" style="53" customWidth="1"/>
    <col min="5891" max="5891" width="18.28515625" style="53" customWidth="1"/>
    <col min="5892" max="5892" width="23.85546875" style="53" customWidth="1"/>
    <col min="5893" max="5893" width="16" style="53" bestFit="1" customWidth="1"/>
    <col min="5894" max="5894" width="13.7109375" style="53" bestFit="1" customWidth="1"/>
    <col min="5895" max="5895" width="15.7109375" style="53" bestFit="1" customWidth="1"/>
    <col min="5896" max="5896" width="13.140625" style="53" bestFit="1" customWidth="1"/>
    <col min="5897" max="5897" width="11.85546875" style="53" bestFit="1" customWidth="1"/>
    <col min="5898" max="5898" width="12.85546875" style="53" bestFit="1" customWidth="1"/>
    <col min="5899" max="6144" width="9.140625" style="53"/>
    <col min="6145" max="6145" width="9.28515625" style="53" customWidth="1"/>
    <col min="6146" max="6146" width="39.85546875" style="53" customWidth="1"/>
    <col min="6147" max="6147" width="18.28515625" style="53" customWidth="1"/>
    <col min="6148" max="6148" width="23.85546875" style="53" customWidth="1"/>
    <col min="6149" max="6149" width="16" style="53" bestFit="1" customWidth="1"/>
    <col min="6150" max="6150" width="13.7109375" style="53" bestFit="1" customWidth="1"/>
    <col min="6151" max="6151" width="15.7109375" style="53" bestFit="1" customWidth="1"/>
    <col min="6152" max="6152" width="13.140625" style="53" bestFit="1" customWidth="1"/>
    <col min="6153" max="6153" width="11.85546875" style="53" bestFit="1" customWidth="1"/>
    <col min="6154" max="6154" width="12.85546875" style="53" bestFit="1" customWidth="1"/>
    <col min="6155" max="6400" width="9.140625" style="53"/>
    <col min="6401" max="6401" width="9.28515625" style="53" customWidth="1"/>
    <col min="6402" max="6402" width="39.85546875" style="53" customWidth="1"/>
    <col min="6403" max="6403" width="18.28515625" style="53" customWidth="1"/>
    <col min="6404" max="6404" width="23.85546875" style="53" customWidth="1"/>
    <col min="6405" max="6405" width="16" style="53" bestFit="1" customWidth="1"/>
    <col min="6406" max="6406" width="13.7109375" style="53" bestFit="1" customWidth="1"/>
    <col min="6407" max="6407" width="15.7109375" style="53" bestFit="1" customWidth="1"/>
    <col min="6408" max="6408" width="13.140625" style="53" bestFit="1" customWidth="1"/>
    <col min="6409" max="6409" width="11.85546875" style="53" bestFit="1" customWidth="1"/>
    <col min="6410" max="6410" width="12.85546875" style="53" bestFit="1" customWidth="1"/>
    <col min="6411" max="6656" width="9.140625" style="53"/>
    <col min="6657" max="6657" width="9.28515625" style="53" customWidth="1"/>
    <col min="6658" max="6658" width="39.85546875" style="53" customWidth="1"/>
    <col min="6659" max="6659" width="18.28515625" style="53" customWidth="1"/>
    <col min="6660" max="6660" width="23.85546875" style="53" customWidth="1"/>
    <col min="6661" max="6661" width="16" style="53" bestFit="1" customWidth="1"/>
    <col min="6662" max="6662" width="13.7109375" style="53" bestFit="1" customWidth="1"/>
    <col min="6663" max="6663" width="15.7109375" style="53" bestFit="1" customWidth="1"/>
    <col min="6664" max="6664" width="13.140625" style="53" bestFit="1" customWidth="1"/>
    <col min="6665" max="6665" width="11.85546875" style="53" bestFit="1" customWidth="1"/>
    <col min="6666" max="6666" width="12.85546875" style="53" bestFit="1" customWidth="1"/>
    <col min="6667" max="6912" width="9.140625" style="53"/>
    <col min="6913" max="6913" width="9.28515625" style="53" customWidth="1"/>
    <col min="6914" max="6914" width="39.85546875" style="53" customWidth="1"/>
    <col min="6915" max="6915" width="18.28515625" style="53" customWidth="1"/>
    <col min="6916" max="6916" width="23.85546875" style="53" customWidth="1"/>
    <col min="6917" max="6917" width="16" style="53" bestFit="1" customWidth="1"/>
    <col min="6918" max="6918" width="13.7109375" style="53" bestFit="1" customWidth="1"/>
    <col min="6919" max="6919" width="15.7109375" style="53" bestFit="1" customWidth="1"/>
    <col min="6920" max="6920" width="13.140625" style="53" bestFit="1" customWidth="1"/>
    <col min="6921" max="6921" width="11.85546875" style="53" bestFit="1" customWidth="1"/>
    <col min="6922" max="6922" width="12.85546875" style="53" bestFit="1" customWidth="1"/>
    <col min="6923" max="7168" width="9.140625" style="53"/>
    <col min="7169" max="7169" width="9.28515625" style="53" customWidth="1"/>
    <col min="7170" max="7170" width="39.85546875" style="53" customWidth="1"/>
    <col min="7171" max="7171" width="18.28515625" style="53" customWidth="1"/>
    <col min="7172" max="7172" width="23.85546875" style="53" customWidth="1"/>
    <col min="7173" max="7173" width="16" style="53" bestFit="1" customWidth="1"/>
    <col min="7174" max="7174" width="13.7109375" style="53" bestFit="1" customWidth="1"/>
    <col min="7175" max="7175" width="15.7109375" style="53" bestFit="1" customWidth="1"/>
    <col min="7176" max="7176" width="13.140625" style="53" bestFit="1" customWidth="1"/>
    <col min="7177" max="7177" width="11.85546875" style="53" bestFit="1" customWidth="1"/>
    <col min="7178" max="7178" width="12.85546875" style="53" bestFit="1" customWidth="1"/>
    <col min="7179" max="7424" width="9.140625" style="53"/>
    <col min="7425" max="7425" width="9.28515625" style="53" customWidth="1"/>
    <col min="7426" max="7426" width="39.85546875" style="53" customWidth="1"/>
    <col min="7427" max="7427" width="18.28515625" style="53" customWidth="1"/>
    <col min="7428" max="7428" width="23.85546875" style="53" customWidth="1"/>
    <col min="7429" max="7429" width="16" style="53" bestFit="1" customWidth="1"/>
    <col min="7430" max="7430" width="13.7109375" style="53" bestFit="1" customWidth="1"/>
    <col min="7431" max="7431" width="15.7109375" style="53" bestFit="1" customWidth="1"/>
    <col min="7432" max="7432" width="13.140625" style="53" bestFit="1" customWidth="1"/>
    <col min="7433" max="7433" width="11.85546875" style="53" bestFit="1" customWidth="1"/>
    <col min="7434" max="7434" width="12.85546875" style="53" bestFit="1" customWidth="1"/>
    <col min="7435" max="7680" width="9.140625" style="53"/>
    <col min="7681" max="7681" width="9.28515625" style="53" customWidth="1"/>
    <col min="7682" max="7682" width="39.85546875" style="53" customWidth="1"/>
    <col min="7683" max="7683" width="18.28515625" style="53" customWidth="1"/>
    <col min="7684" max="7684" width="23.85546875" style="53" customWidth="1"/>
    <col min="7685" max="7685" width="16" style="53" bestFit="1" customWidth="1"/>
    <col min="7686" max="7686" width="13.7109375" style="53" bestFit="1" customWidth="1"/>
    <col min="7687" max="7687" width="15.7109375" style="53" bestFit="1" customWidth="1"/>
    <col min="7688" max="7688" width="13.140625" style="53" bestFit="1" customWidth="1"/>
    <col min="7689" max="7689" width="11.85546875" style="53" bestFit="1" customWidth="1"/>
    <col min="7690" max="7690" width="12.85546875" style="53" bestFit="1" customWidth="1"/>
    <col min="7691" max="7936" width="9.140625" style="53"/>
    <col min="7937" max="7937" width="9.28515625" style="53" customWidth="1"/>
    <col min="7938" max="7938" width="39.85546875" style="53" customWidth="1"/>
    <col min="7939" max="7939" width="18.28515625" style="53" customWidth="1"/>
    <col min="7940" max="7940" width="23.85546875" style="53" customWidth="1"/>
    <col min="7941" max="7941" width="16" style="53" bestFit="1" customWidth="1"/>
    <col min="7942" max="7942" width="13.7109375" style="53" bestFit="1" customWidth="1"/>
    <col min="7943" max="7943" width="15.7109375" style="53" bestFit="1" customWidth="1"/>
    <col min="7944" max="7944" width="13.140625" style="53" bestFit="1" customWidth="1"/>
    <col min="7945" max="7945" width="11.85546875" style="53" bestFit="1" customWidth="1"/>
    <col min="7946" max="7946" width="12.85546875" style="53" bestFit="1" customWidth="1"/>
    <col min="7947" max="8192" width="9.140625" style="53"/>
    <col min="8193" max="8193" width="9.28515625" style="53" customWidth="1"/>
    <col min="8194" max="8194" width="39.85546875" style="53" customWidth="1"/>
    <col min="8195" max="8195" width="18.28515625" style="53" customWidth="1"/>
    <col min="8196" max="8196" width="23.85546875" style="53" customWidth="1"/>
    <col min="8197" max="8197" width="16" style="53" bestFit="1" customWidth="1"/>
    <col min="8198" max="8198" width="13.7109375" style="53" bestFit="1" customWidth="1"/>
    <col min="8199" max="8199" width="15.7109375" style="53" bestFit="1" customWidth="1"/>
    <col min="8200" max="8200" width="13.140625" style="53" bestFit="1" customWidth="1"/>
    <col min="8201" max="8201" width="11.85546875" style="53" bestFit="1" customWidth="1"/>
    <col min="8202" max="8202" width="12.85546875" style="53" bestFit="1" customWidth="1"/>
    <col min="8203" max="8448" width="9.140625" style="53"/>
    <col min="8449" max="8449" width="9.28515625" style="53" customWidth="1"/>
    <col min="8450" max="8450" width="39.85546875" style="53" customWidth="1"/>
    <col min="8451" max="8451" width="18.28515625" style="53" customWidth="1"/>
    <col min="8452" max="8452" width="23.85546875" style="53" customWidth="1"/>
    <col min="8453" max="8453" width="16" style="53" bestFit="1" customWidth="1"/>
    <col min="8454" max="8454" width="13.7109375" style="53" bestFit="1" customWidth="1"/>
    <col min="8455" max="8455" width="15.7109375" style="53" bestFit="1" customWidth="1"/>
    <col min="8456" max="8456" width="13.140625" style="53" bestFit="1" customWidth="1"/>
    <col min="8457" max="8457" width="11.85546875" style="53" bestFit="1" customWidth="1"/>
    <col min="8458" max="8458" width="12.85546875" style="53" bestFit="1" customWidth="1"/>
    <col min="8459" max="8704" width="9.140625" style="53"/>
    <col min="8705" max="8705" width="9.28515625" style="53" customWidth="1"/>
    <col min="8706" max="8706" width="39.85546875" style="53" customWidth="1"/>
    <col min="8707" max="8707" width="18.28515625" style="53" customWidth="1"/>
    <col min="8708" max="8708" width="23.85546875" style="53" customWidth="1"/>
    <col min="8709" max="8709" width="16" style="53" bestFit="1" customWidth="1"/>
    <col min="8710" max="8710" width="13.7109375" style="53" bestFit="1" customWidth="1"/>
    <col min="8711" max="8711" width="15.7109375" style="53" bestFit="1" customWidth="1"/>
    <col min="8712" max="8712" width="13.140625" style="53" bestFit="1" customWidth="1"/>
    <col min="8713" max="8713" width="11.85546875" style="53" bestFit="1" customWidth="1"/>
    <col min="8714" max="8714" width="12.85546875" style="53" bestFit="1" customWidth="1"/>
    <col min="8715" max="8960" width="9.140625" style="53"/>
    <col min="8961" max="8961" width="9.28515625" style="53" customWidth="1"/>
    <col min="8962" max="8962" width="39.85546875" style="53" customWidth="1"/>
    <col min="8963" max="8963" width="18.28515625" style="53" customWidth="1"/>
    <col min="8964" max="8964" width="23.85546875" style="53" customWidth="1"/>
    <col min="8965" max="8965" width="16" style="53" bestFit="1" customWidth="1"/>
    <col min="8966" max="8966" width="13.7109375" style="53" bestFit="1" customWidth="1"/>
    <col min="8967" max="8967" width="15.7109375" style="53" bestFit="1" customWidth="1"/>
    <col min="8968" max="8968" width="13.140625" style="53" bestFit="1" customWidth="1"/>
    <col min="8969" max="8969" width="11.85546875" style="53" bestFit="1" customWidth="1"/>
    <col min="8970" max="8970" width="12.85546875" style="53" bestFit="1" customWidth="1"/>
    <col min="8971" max="9216" width="9.140625" style="53"/>
    <col min="9217" max="9217" width="9.28515625" style="53" customWidth="1"/>
    <col min="9218" max="9218" width="39.85546875" style="53" customWidth="1"/>
    <col min="9219" max="9219" width="18.28515625" style="53" customWidth="1"/>
    <col min="9220" max="9220" width="23.85546875" style="53" customWidth="1"/>
    <col min="9221" max="9221" width="16" style="53" bestFit="1" customWidth="1"/>
    <col min="9222" max="9222" width="13.7109375" style="53" bestFit="1" customWidth="1"/>
    <col min="9223" max="9223" width="15.7109375" style="53" bestFit="1" customWidth="1"/>
    <col min="9224" max="9224" width="13.140625" style="53" bestFit="1" customWidth="1"/>
    <col min="9225" max="9225" width="11.85546875" style="53" bestFit="1" customWidth="1"/>
    <col min="9226" max="9226" width="12.85546875" style="53" bestFit="1" customWidth="1"/>
    <col min="9227" max="9472" width="9.140625" style="53"/>
    <col min="9473" max="9473" width="9.28515625" style="53" customWidth="1"/>
    <col min="9474" max="9474" width="39.85546875" style="53" customWidth="1"/>
    <col min="9475" max="9475" width="18.28515625" style="53" customWidth="1"/>
    <col min="9476" max="9476" width="23.85546875" style="53" customWidth="1"/>
    <col min="9477" max="9477" width="16" style="53" bestFit="1" customWidth="1"/>
    <col min="9478" max="9478" width="13.7109375" style="53" bestFit="1" customWidth="1"/>
    <col min="9479" max="9479" width="15.7109375" style="53" bestFit="1" customWidth="1"/>
    <col min="9480" max="9480" width="13.140625" style="53" bestFit="1" customWidth="1"/>
    <col min="9481" max="9481" width="11.85546875" style="53" bestFit="1" customWidth="1"/>
    <col min="9482" max="9482" width="12.85546875" style="53" bestFit="1" customWidth="1"/>
    <col min="9483" max="9728" width="9.140625" style="53"/>
    <col min="9729" max="9729" width="9.28515625" style="53" customWidth="1"/>
    <col min="9730" max="9730" width="39.85546875" style="53" customWidth="1"/>
    <col min="9731" max="9731" width="18.28515625" style="53" customWidth="1"/>
    <col min="9732" max="9732" width="23.85546875" style="53" customWidth="1"/>
    <col min="9733" max="9733" width="16" style="53" bestFit="1" customWidth="1"/>
    <col min="9734" max="9734" width="13.7109375" style="53" bestFit="1" customWidth="1"/>
    <col min="9735" max="9735" width="15.7109375" style="53" bestFit="1" customWidth="1"/>
    <col min="9736" max="9736" width="13.140625" style="53" bestFit="1" customWidth="1"/>
    <col min="9737" max="9737" width="11.85546875" style="53" bestFit="1" customWidth="1"/>
    <col min="9738" max="9738" width="12.85546875" style="53" bestFit="1" customWidth="1"/>
    <col min="9739" max="9984" width="9.140625" style="53"/>
    <col min="9985" max="9985" width="9.28515625" style="53" customWidth="1"/>
    <col min="9986" max="9986" width="39.85546875" style="53" customWidth="1"/>
    <col min="9987" max="9987" width="18.28515625" style="53" customWidth="1"/>
    <col min="9988" max="9988" width="23.85546875" style="53" customWidth="1"/>
    <col min="9989" max="9989" width="16" style="53" bestFit="1" customWidth="1"/>
    <col min="9990" max="9990" width="13.7109375" style="53" bestFit="1" customWidth="1"/>
    <col min="9991" max="9991" width="15.7109375" style="53" bestFit="1" customWidth="1"/>
    <col min="9992" max="9992" width="13.140625" style="53" bestFit="1" customWidth="1"/>
    <col min="9993" max="9993" width="11.85546875" style="53" bestFit="1" customWidth="1"/>
    <col min="9994" max="9994" width="12.85546875" style="53" bestFit="1" customWidth="1"/>
    <col min="9995" max="10240" width="9.140625" style="53"/>
    <col min="10241" max="10241" width="9.28515625" style="53" customWidth="1"/>
    <col min="10242" max="10242" width="39.85546875" style="53" customWidth="1"/>
    <col min="10243" max="10243" width="18.28515625" style="53" customWidth="1"/>
    <col min="10244" max="10244" width="23.85546875" style="53" customWidth="1"/>
    <col min="10245" max="10245" width="16" style="53" bestFit="1" customWidth="1"/>
    <col min="10246" max="10246" width="13.7109375" style="53" bestFit="1" customWidth="1"/>
    <col min="10247" max="10247" width="15.7109375" style="53" bestFit="1" customWidth="1"/>
    <col min="10248" max="10248" width="13.140625" style="53" bestFit="1" customWidth="1"/>
    <col min="10249" max="10249" width="11.85546875" style="53" bestFit="1" customWidth="1"/>
    <col min="10250" max="10250" width="12.85546875" style="53" bestFit="1" customWidth="1"/>
    <col min="10251" max="10496" width="9.140625" style="53"/>
    <col min="10497" max="10497" width="9.28515625" style="53" customWidth="1"/>
    <col min="10498" max="10498" width="39.85546875" style="53" customWidth="1"/>
    <col min="10499" max="10499" width="18.28515625" style="53" customWidth="1"/>
    <col min="10500" max="10500" width="23.85546875" style="53" customWidth="1"/>
    <col min="10501" max="10501" width="16" style="53" bestFit="1" customWidth="1"/>
    <col min="10502" max="10502" width="13.7109375" style="53" bestFit="1" customWidth="1"/>
    <col min="10503" max="10503" width="15.7109375" style="53" bestFit="1" customWidth="1"/>
    <col min="10504" max="10504" width="13.140625" style="53" bestFit="1" customWidth="1"/>
    <col min="10505" max="10505" width="11.85546875" style="53" bestFit="1" customWidth="1"/>
    <col min="10506" max="10506" width="12.85546875" style="53" bestFit="1" customWidth="1"/>
    <col min="10507" max="10752" width="9.140625" style="53"/>
    <col min="10753" max="10753" width="9.28515625" style="53" customWidth="1"/>
    <col min="10754" max="10754" width="39.85546875" style="53" customWidth="1"/>
    <col min="10755" max="10755" width="18.28515625" style="53" customWidth="1"/>
    <col min="10756" max="10756" width="23.85546875" style="53" customWidth="1"/>
    <col min="10757" max="10757" width="16" style="53" bestFit="1" customWidth="1"/>
    <col min="10758" max="10758" width="13.7109375" style="53" bestFit="1" customWidth="1"/>
    <col min="10759" max="10759" width="15.7109375" style="53" bestFit="1" customWidth="1"/>
    <col min="10760" max="10760" width="13.140625" style="53" bestFit="1" customWidth="1"/>
    <col min="10761" max="10761" width="11.85546875" style="53" bestFit="1" customWidth="1"/>
    <col min="10762" max="10762" width="12.85546875" style="53" bestFit="1" customWidth="1"/>
    <col min="10763" max="11008" width="9.140625" style="53"/>
    <col min="11009" max="11009" width="9.28515625" style="53" customWidth="1"/>
    <col min="11010" max="11010" width="39.85546875" style="53" customWidth="1"/>
    <col min="11011" max="11011" width="18.28515625" style="53" customWidth="1"/>
    <col min="11012" max="11012" width="23.85546875" style="53" customWidth="1"/>
    <col min="11013" max="11013" width="16" style="53" bestFit="1" customWidth="1"/>
    <col min="11014" max="11014" width="13.7109375" style="53" bestFit="1" customWidth="1"/>
    <col min="11015" max="11015" width="15.7109375" style="53" bestFit="1" customWidth="1"/>
    <col min="11016" max="11016" width="13.140625" style="53" bestFit="1" customWidth="1"/>
    <col min="11017" max="11017" width="11.85546875" style="53" bestFit="1" customWidth="1"/>
    <col min="11018" max="11018" width="12.85546875" style="53" bestFit="1" customWidth="1"/>
    <col min="11019" max="11264" width="9.140625" style="53"/>
    <col min="11265" max="11265" width="9.28515625" style="53" customWidth="1"/>
    <col min="11266" max="11266" width="39.85546875" style="53" customWidth="1"/>
    <col min="11267" max="11267" width="18.28515625" style="53" customWidth="1"/>
    <col min="11268" max="11268" width="23.85546875" style="53" customWidth="1"/>
    <col min="11269" max="11269" width="16" style="53" bestFit="1" customWidth="1"/>
    <col min="11270" max="11270" width="13.7109375" style="53" bestFit="1" customWidth="1"/>
    <col min="11271" max="11271" width="15.7109375" style="53" bestFit="1" customWidth="1"/>
    <col min="11272" max="11272" width="13.140625" style="53" bestFit="1" customWidth="1"/>
    <col min="11273" max="11273" width="11.85546875" style="53" bestFit="1" customWidth="1"/>
    <col min="11274" max="11274" width="12.85546875" style="53" bestFit="1" customWidth="1"/>
    <col min="11275" max="11520" width="9.140625" style="53"/>
    <col min="11521" max="11521" width="9.28515625" style="53" customWidth="1"/>
    <col min="11522" max="11522" width="39.85546875" style="53" customWidth="1"/>
    <col min="11523" max="11523" width="18.28515625" style="53" customWidth="1"/>
    <col min="11524" max="11524" width="23.85546875" style="53" customWidth="1"/>
    <col min="11525" max="11525" width="16" style="53" bestFit="1" customWidth="1"/>
    <col min="11526" max="11526" width="13.7109375" style="53" bestFit="1" customWidth="1"/>
    <col min="11527" max="11527" width="15.7109375" style="53" bestFit="1" customWidth="1"/>
    <col min="11528" max="11528" width="13.140625" style="53" bestFit="1" customWidth="1"/>
    <col min="11529" max="11529" width="11.85546875" style="53" bestFit="1" customWidth="1"/>
    <col min="11530" max="11530" width="12.85546875" style="53" bestFit="1" customWidth="1"/>
    <col min="11531" max="11776" width="9.140625" style="53"/>
    <col min="11777" max="11777" width="9.28515625" style="53" customWidth="1"/>
    <col min="11778" max="11778" width="39.85546875" style="53" customWidth="1"/>
    <col min="11779" max="11779" width="18.28515625" style="53" customWidth="1"/>
    <col min="11780" max="11780" width="23.85546875" style="53" customWidth="1"/>
    <col min="11781" max="11781" width="16" style="53" bestFit="1" customWidth="1"/>
    <col min="11782" max="11782" width="13.7109375" style="53" bestFit="1" customWidth="1"/>
    <col min="11783" max="11783" width="15.7109375" style="53" bestFit="1" customWidth="1"/>
    <col min="11784" max="11784" width="13.140625" style="53" bestFit="1" customWidth="1"/>
    <col min="11785" max="11785" width="11.85546875" style="53" bestFit="1" customWidth="1"/>
    <col min="11786" max="11786" width="12.85546875" style="53" bestFit="1" customWidth="1"/>
    <col min="11787" max="12032" width="9.140625" style="53"/>
    <col min="12033" max="12033" width="9.28515625" style="53" customWidth="1"/>
    <col min="12034" max="12034" width="39.85546875" style="53" customWidth="1"/>
    <col min="12035" max="12035" width="18.28515625" style="53" customWidth="1"/>
    <col min="12036" max="12036" width="23.85546875" style="53" customWidth="1"/>
    <col min="12037" max="12037" width="16" style="53" bestFit="1" customWidth="1"/>
    <col min="12038" max="12038" width="13.7109375" style="53" bestFit="1" customWidth="1"/>
    <col min="12039" max="12039" width="15.7109375" style="53" bestFit="1" customWidth="1"/>
    <col min="12040" max="12040" width="13.140625" style="53" bestFit="1" customWidth="1"/>
    <col min="12041" max="12041" width="11.85546875" style="53" bestFit="1" customWidth="1"/>
    <col min="12042" max="12042" width="12.85546875" style="53" bestFit="1" customWidth="1"/>
    <col min="12043" max="12288" width="9.140625" style="53"/>
    <col min="12289" max="12289" width="9.28515625" style="53" customWidth="1"/>
    <col min="12290" max="12290" width="39.85546875" style="53" customWidth="1"/>
    <col min="12291" max="12291" width="18.28515625" style="53" customWidth="1"/>
    <col min="12292" max="12292" width="23.85546875" style="53" customWidth="1"/>
    <col min="12293" max="12293" width="16" style="53" bestFit="1" customWidth="1"/>
    <col min="12294" max="12294" width="13.7109375" style="53" bestFit="1" customWidth="1"/>
    <col min="12295" max="12295" width="15.7109375" style="53" bestFit="1" customWidth="1"/>
    <col min="12296" max="12296" width="13.140625" style="53" bestFit="1" customWidth="1"/>
    <col min="12297" max="12297" width="11.85546875" style="53" bestFit="1" customWidth="1"/>
    <col min="12298" max="12298" width="12.85546875" style="53" bestFit="1" customWidth="1"/>
    <col min="12299" max="12544" width="9.140625" style="53"/>
    <col min="12545" max="12545" width="9.28515625" style="53" customWidth="1"/>
    <col min="12546" max="12546" width="39.85546875" style="53" customWidth="1"/>
    <col min="12547" max="12547" width="18.28515625" style="53" customWidth="1"/>
    <col min="12548" max="12548" width="23.85546875" style="53" customWidth="1"/>
    <col min="12549" max="12549" width="16" style="53" bestFit="1" customWidth="1"/>
    <col min="12550" max="12550" width="13.7109375" style="53" bestFit="1" customWidth="1"/>
    <col min="12551" max="12551" width="15.7109375" style="53" bestFit="1" customWidth="1"/>
    <col min="12552" max="12552" width="13.140625" style="53" bestFit="1" customWidth="1"/>
    <col min="12553" max="12553" width="11.85546875" style="53" bestFit="1" customWidth="1"/>
    <col min="12554" max="12554" width="12.85546875" style="53" bestFit="1" customWidth="1"/>
    <col min="12555" max="12800" width="9.140625" style="53"/>
    <col min="12801" max="12801" width="9.28515625" style="53" customWidth="1"/>
    <col min="12802" max="12802" width="39.85546875" style="53" customWidth="1"/>
    <col min="12803" max="12803" width="18.28515625" style="53" customWidth="1"/>
    <col min="12804" max="12804" width="23.85546875" style="53" customWidth="1"/>
    <col min="12805" max="12805" width="16" style="53" bestFit="1" customWidth="1"/>
    <col min="12806" max="12806" width="13.7109375" style="53" bestFit="1" customWidth="1"/>
    <col min="12807" max="12807" width="15.7109375" style="53" bestFit="1" customWidth="1"/>
    <col min="12808" max="12808" width="13.140625" style="53" bestFit="1" customWidth="1"/>
    <col min="12809" max="12809" width="11.85546875" style="53" bestFit="1" customWidth="1"/>
    <col min="12810" max="12810" width="12.85546875" style="53" bestFit="1" customWidth="1"/>
    <col min="12811" max="13056" width="9.140625" style="53"/>
    <col min="13057" max="13057" width="9.28515625" style="53" customWidth="1"/>
    <col min="13058" max="13058" width="39.85546875" style="53" customWidth="1"/>
    <col min="13059" max="13059" width="18.28515625" style="53" customWidth="1"/>
    <col min="13060" max="13060" width="23.85546875" style="53" customWidth="1"/>
    <col min="13061" max="13061" width="16" style="53" bestFit="1" customWidth="1"/>
    <col min="13062" max="13062" width="13.7109375" style="53" bestFit="1" customWidth="1"/>
    <col min="13063" max="13063" width="15.7109375" style="53" bestFit="1" customWidth="1"/>
    <col min="13064" max="13064" width="13.140625" style="53" bestFit="1" customWidth="1"/>
    <col min="13065" max="13065" width="11.85546875" style="53" bestFit="1" customWidth="1"/>
    <col min="13066" max="13066" width="12.85546875" style="53" bestFit="1" customWidth="1"/>
    <col min="13067" max="13312" width="9.140625" style="53"/>
    <col min="13313" max="13313" width="9.28515625" style="53" customWidth="1"/>
    <col min="13314" max="13314" width="39.85546875" style="53" customWidth="1"/>
    <col min="13315" max="13315" width="18.28515625" style="53" customWidth="1"/>
    <col min="13316" max="13316" width="23.85546875" style="53" customWidth="1"/>
    <col min="13317" max="13317" width="16" style="53" bestFit="1" customWidth="1"/>
    <col min="13318" max="13318" width="13.7109375" style="53" bestFit="1" customWidth="1"/>
    <col min="13319" max="13319" width="15.7109375" style="53" bestFit="1" customWidth="1"/>
    <col min="13320" max="13320" width="13.140625" style="53" bestFit="1" customWidth="1"/>
    <col min="13321" max="13321" width="11.85546875" style="53" bestFit="1" customWidth="1"/>
    <col min="13322" max="13322" width="12.85546875" style="53" bestFit="1" customWidth="1"/>
    <col min="13323" max="13568" width="9.140625" style="53"/>
    <col min="13569" max="13569" width="9.28515625" style="53" customWidth="1"/>
    <col min="13570" max="13570" width="39.85546875" style="53" customWidth="1"/>
    <col min="13571" max="13571" width="18.28515625" style="53" customWidth="1"/>
    <col min="13572" max="13572" width="23.85546875" style="53" customWidth="1"/>
    <col min="13573" max="13573" width="16" style="53" bestFit="1" customWidth="1"/>
    <col min="13574" max="13574" width="13.7109375" style="53" bestFit="1" customWidth="1"/>
    <col min="13575" max="13575" width="15.7109375" style="53" bestFit="1" customWidth="1"/>
    <col min="13576" max="13576" width="13.140625" style="53" bestFit="1" customWidth="1"/>
    <col min="13577" max="13577" width="11.85546875" style="53" bestFit="1" customWidth="1"/>
    <col min="13578" max="13578" width="12.85546875" style="53" bestFit="1" customWidth="1"/>
    <col min="13579" max="13824" width="9.140625" style="53"/>
    <col min="13825" max="13825" width="9.28515625" style="53" customWidth="1"/>
    <col min="13826" max="13826" width="39.85546875" style="53" customWidth="1"/>
    <col min="13827" max="13827" width="18.28515625" style="53" customWidth="1"/>
    <col min="13828" max="13828" width="23.85546875" style="53" customWidth="1"/>
    <col min="13829" max="13829" width="16" style="53" bestFit="1" customWidth="1"/>
    <col min="13830" max="13830" width="13.7109375" style="53" bestFit="1" customWidth="1"/>
    <col min="13831" max="13831" width="15.7109375" style="53" bestFit="1" customWidth="1"/>
    <col min="13832" max="13832" width="13.140625" style="53" bestFit="1" customWidth="1"/>
    <col min="13833" max="13833" width="11.85546875" style="53" bestFit="1" customWidth="1"/>
    <col min="13834" max="13834" width="12.85546875" style="53" bestFit="1" customWidth="1"/>
    <col min="13835" max="14080" width="9.140625" style="53"/>
    <col min="14081" max="14081" width="9.28515625" style="53" customWidth="1"/>
    <col min="14082" max="14082" width="39.85546875" style="53" customWidth="1"/>
    <col min="14083" max="14083" width="18.28515625" style="53" customWidth="1"/>
    <col min="14084" max="14084" width="23.85546875" style="53" customWidth="1"/>
    <col min="14085" max="14085" width="16" style="53" bestFit="1" customWidth="1"/>
    <col min="14086" max="14086" width="13.7109375" style="53" bestFit="1" customWidth="1"/>
    <col min="14087" max="14087" width="15.7109375" style="53" bestFit="1" customWidth="1"/>
    <col min="14088" max="14088" width="13.140625" style="53" bestFit="1" customWidth="1"/>
    <col min="14089" max="14089" width="11.85546875" style="53" bestFit="1" customWidth="1"/>
    <col min="14090" max="14090" width="12.85546875" style="53" bestFit="1" customWidth="1"/>
    <col min="14091" max="14336" width="9.140625" style="53"/>
    <col min="14337" max="14337" width="9.28515625" style="53" customWidth="1"/>
    <col min="14338" max="14338" width="39.85546875" style="53" customWidth="1"/>
    <col min="14339" max="14339" width="18.28515625" style="53" customWidth="1"/>
    <col min="14340" max="14340" width="23.85546875" style="53" customWidth="1"/>
    <col min="14341" max="14341" width="16" style="53" bestFit="1" customWidth="1"/>
    <col min="14342" max="14342" width="13.7109375" style="53" bestFit="1" customWidth="1"/>
    <col min="14343" max="14343" width="15.7109375" style="53" bestFit="1" customWidth="1"/>
    <col min="14344" max="14344" width="13.140625" style="53" bestFit="1" customWidth="1"/>
    <col min="14345" max="14345" width="11.85546875" style="53" bestFit="1" customWidth="1"/>
    <col min="14346" max="14346" width="12.85546875" style="53" bestFit="1" customWidth="1"/>
    <col min="14347" max="14592" width="9.140625" style="53"/>
    <col min="14593" max="14593" width="9.28515625" style="53" customWidth="1"/>
    <col min="14594" max="14594" width="39.85546875" style="53" customWidth="1"/>
    <col min="14595" max="14595" width="18.28515625" style="53" customWidth="1"/>
    <col min="14596" max="14596" width="23.85546875" style="53" customWidth="1"/>
    <col min="14597" max="14597" width="16" style="53" bestFit="1" customWidth="1"/>
    <col min="14598" max="14598" width="13.7109375" style="53" bestFit="1" customWidth="1"/>
    <col min="14599" max="14599" width="15.7109375" style="53" bestFit="1" customWidth="1"/>
    <col min="14600" max="14600" width="13.140625" style="53" bestFit="1" customWidth="1"/>
    <col min="14601" max="14601" width="11.85546875" style="53" bestFit="1" customWidth="1"/>
    <col min="14602" max="14602" width="12.85546875" style="53" bestFit="1" customWidth="1"/>
    <col min="14603" max="14848" width="9.140625" style="53"/>
    <col min="14849" max="14849" width="9.28515625" style="53" customWidth="1"/>
    <col min="14850" max="14850" width="39.85546875" style="53" customWidth="1"/>
    <col min="14851" max="14851" width="18.28515625" style="53" customWidth="1"/>
    <col min="14852" max="14852" width="23.85546875" style="53" customWidth="1"/>
    <col min="14853" max="14853" width="16" style="53" bestFit="1" customWidth="1"/>
    <col min="14854" max="14854" width="13.7109375" style="53" bestFit="1" customWidth="1"/>
    <col min="14855" max="14855" width="15.7109375" style="53" bestFit="1" customWidth="1"/>
    <col min="14856" max="14856" width="13.140625" style="53" bestFit="1" customWidth="1"/>
    <col min="14857" max="14857" width="11.85546875" style="53" bestFit="1" customWidth="1"/>
    <col min="14858" max="14858" width="12.85546875" style="53" bestFit="1" customWidth="1"/>
    <col min="14859" max="15104" width="9.140625" style="53"/>
    <col min="15105" max="15105" width="9.28515625" style="53" customWidth="1"/>
    <col min="15106" max="15106" width="39.85546875" style="53" customWidth="1"/>
    <col min="15107" max="15107" width="18.28515625" style="53" customWidth="1"/>
    <col min="15108" max="15108" width="23.85546875" style="53" customWidth="1"/>
    <col min="15109" max="15109" width="16" style="53" bestFit="1" customWidth="1"/>
    <col min="15110" max="15110" width="13.7109375" style="53" bestFit="1" customWidth="1"/>
    <col min="15111" max="15111" width="15.7109375" style="53" bestFit="1" customWidth="1"/>
    <col min="15112" max="15112" width="13.140625" style="53" bestFit="1" customWidth="1"/>
    <col min="15113" max="15113" width="11.85546875" style="53" bestFit="1" customWidth="1"/>
    <col min="15114" max="15114" width="12.85546875" style="53" bestFit="1" customWidth="1"/>
    <col min="15115" max="15360" width="9.140625" style="53"/>
    <col min="15361" max="15361" width="9.28515625" style="53" customWidth="1"/>
    <col min="15362" max="15362" width="39.85546875" style="53" customWidth="1"/>
    <col min="15363" max="15363" width="18.28515625" style="53" customWidth="1"/>
    <col min="15364" max="15364" width="23.85546875" style="53" customWidth="1"/>
    <col min="15365" max="15365" width="16" style="53" bestFit="1" customWidth="1"/>
    <col min="15366" max="15366" width="13.7109375" style="53" bestFit="1" customWidth="1"/>
    <col min="15367" max="15367" width="15.7109375" style="53" bestFit="1" customWidth="1"/>
    <col min="15368" max="15368" width="13.140625" style="53" bestFit="1" customWidth="1"/>
    <col min="15369" max="15369" width="11.85546875" style="53" bestFit="1" customWidth="1"/>
    <col min="15370" max="15370" width="12.85546875" style="53" bestFit="1" customWidth="1"/>
    <col min="15371" max="15616" width="9.140625" style="53"/>
    <col min="15617" max="15617" width="9.28515625" style="53" customWidth="1"/>
    <col min="15618" max="15618" width="39.85546875" style="53" customWidth="1"/>
    <col min="15619" max="15619" width="18.28515625" style="53" customWidth="1"/>
    <col min="15620" max="15620" width="23.85546875" style="53" customWidth="1"/>
    <col min="15621" max="15621" width="16" style="53" bestFit="1" customWidth="1"/>
    <col min="15622" max="15622" width="13.7109375" style="53" bestFit="1" customWidth="1"/>
    <col min="15623" max="15623" width="15.7109375" style="53" bestFit="1" customWidth="1"/>
    <col min="15624" max="15624" width="13.140625" style="53" bestFit="1" customWidth="1"/>
    <col min="15625" max="15625" width="11.85546875" style="53" bestFit="1" customWidth="1"/>
    <col min="15626" max="15626" width="12.85546875" style="53" bestFit="1" customWidth="1"/>
    <col min="15627" max="15872" width="9.140625" style="53"/>
    <col min="15873" max="15873" width="9.28515625" style="53" customWidth="1"/>
    <col min="15874" max="15874" width="39.85546875" style="53" customWidth="1"/>
    <col min="15875" max="15875" width="18.28515625" style="53" customWidth="1"/>
    <col min="15876" max="15876" width="23.85546875" style="53" customWidth="1"/>
    <col min="15877" max="15877" width="16" style="53" bestFit="1" customWidth="1"/>
    <col min="15878" max="15878" width="13.7109375" style="53" bestFit="1" customWidth="1"/>
    <col min="15879" max="15879" width="15.7109375" style="53" bestFit="1" customWidth="1"/>
    <col min="15880" max="15880" width="13.140625" style="53" bestFit="1" customWidth="1"/>
    <col min="15881" max="15881" width="11.85546875" style="53" bestFit="1" customWidth="1"/>
    <col min="15882" max="15882" width="12.85546875" style="53" bestFit="1" customWidth="1"/>
    <col min="15883" max="16128" width="9.140625" style="53"/>
    <col min="16129" max="16129" width="9.28515625" style="53" customWidth="1"/>
    <col min="16130" max="16130" width="39.85546875" style="53" customWidth="1"/>
    <col min="16131" max="16131" width="18.28515625" style="53" customWidth="1"/>
    <col min="16132" max="16132" width="23.85546875" style="53" customWidth="1"/>
    <col min="16133" max="16133" width="16" style="53" bestFit="1" customWidth="1"/>
    <col min="16134" max="16134" width="13.7109375" style="53" bestFit="1" customWidth="1"/>
    <col min="16135" max="16135" width="15.7109375" style="53" bestFit="1" customWidth="1"/>
    <col min="16136" max="16136" width="13.140625" style="53" bestFit="1" customWidth="1"/>
    <col min="16137" max="16137" width="11.85546875" style="53" bestFit="1" customWidth="1"/>
    <col min="16138" max="16138" width="12.85546875" style="53" bestFit="1" customWidth="1"/>
    <col min="16139" max="16384" width="9.140625" style="53"/>
  </cols>
  <sheetData>
    <row r="3" spans="1:7" ht="15.75" customHeight="1">
      <c r="A3" s="543" t="s">
        <v>255</v>
      </c>
      <c r="B3" s="543"/>
      <c r="C3" s="543"/>
      <c r="D3" s="543"/>
      <c r="E3" s="52"/>
      <c r="F3" s="52"/>
      <c r="G3" s="52"/>
    </row>
    <row r="4" spans="1:7">
      <c r="A4" s="543"/>
      <c r="B4" s="543"/>
      <c r="C4" s="543"/>
      <c r="D4" s="543"/>
      <c r="E4" s="52"/>
      <c r="F4" s="52"/>
      <c r="G4" s="52"/>
    </row>
    <row r="5" spans="1:7">
      <c r="A5" s="54"/>
      <c r="B5" s="52"/>
      <c r="C5" s="52"/>
      <c r="D5" s="52"/>
      <c r="E5" s="52"/>
      <c r="F5" s="52"/>
      <c r="G5" s="52"/>
    </row>
    <row r="6" spans="1:7" ht="15.75" customHeight="1">
      <c r="A6" s="544" t="s">
        <v>550</v>
      </c>
      <c r="B6" s="544"/>
      <c r="C6" s="544"/>
      <c r="D6" s="544"/>
      <c r="E6" s="52"/>
      <c r="F6" s="52"/>
      <c r="G6" s="52"/>
    </row>
    <row r="7" spans="1:7">
      <c r="A7" s="522"/>
      <c r="B7" s="522"/>
      <c r="C7" s="522"/>
      <c r="D7" s="522"/>
    </row>
    <row r="8" spans="1:7">
      <c r="A8" s="237" t="s">
        <v>551</v>
      </c>
      <c r="B8" s="238"/>
      <c r="C8" s="187"/>
      <c r="D8" s="187"/>
    </row>
    <row r="9" spans="1:7">
      <c r="A9" s="522"/>
      <c r="B9" s="522"/>
      <c r="C9" s="522"/>
      <c r="D9" s="522"/>
    </row>
    <row r="10" spans="1:7">
      <c r="A10" s="57" t="s">
        <v>256</v>
      </c>
      <c r="B10" s="188"/>
      <c r="C10" s="187"/>
      <c r="D10" s="187"/>
    </row>
    <row r="11" spans="1:7">
      <c r="A11" s="59" t="s">
        <v>257</v>
      </c>
      <c r="B11" s="541" t="s">
        <v>258</v>
      </c>
      <c r="C11" s="542"/>
      <c r="D11" s="239">
        <v>42550</v>
      </c>
    </row>
    <row r="12" spans="1:7">
      <c r="A12" s="59" t="s">
        <v>259</v>
      </c>
      <c r="B12" s="62" t="s">
        <v>260</v>
      </c>
      <c r="C12" s="63"/>
      <c r="D12" s="240" t="s">
        <v>374</v>
      </c>
    </row>
    <row r="13" spans="1:7">
      <c r="A13" s="59" t="s">
        <v>261</v>
      </c>
      <c r="B13" s="541" t="s">
        <v>262</v>
      </c>
      <c r="C13" s="542"/>
      <c r="D13" s="240">
        <v>2016</v>
      </c>
    </row>
    <row r="14" spans="1:7">
      <c r="A14" s="64" t="s">
        <v>263</v>
      </c>
      <c r="B14" s="65" t="s">
        <v>555</v>
      </c>
      <c r="C14" s="66"/>
      <c r="D14" s="239">
        <v>42625</v>
      </c>
    </row>
    <row r="16" spans="1:7">
      <c r="A16" s="190"/>
    </row>
    <row r="17" spans="1:7">
      <c r="A17" s="523"/>
      <c r="B17" s="523"/>
      <c r="C17" s="523"/>
      <c r="D17" s="523"/>
      <c r="E17" s="523"/>
      <c r="F17" s="523"/>
      <c r="G17" s="523"/>
    </row>
    <row r="18" spans="1:7" ht="35.25" customHeight="1">
      <c r="A18" s="545" t="s">
        <v>264</v>
      </c>
      <c r="B18" s="545"/>
      <c r="C18" s="67" t="s">
        <v>265</v>
      </c>
      <c r="D18" s="67" t="s">
        <v>266</v>
      </c>
    </row>
    <row r="19" spans="1:7">
      <c r="A19" s="241">
        <v>1</v>
      </c>
      <c r="B19" s="242" t="s">
        <v>399</v>
      </c>
      <c r="C19" s="241" t="s">
        <v>267</v>
      </c>
      <c r="D19" s="243">
        <v>2</v>
      </c>
    </row>
    <row r="20" spans="1:7">
      <c r="A20" s="68"/>
      <c r="B20" s="69"/>
      <c r="C20" s="68"/>
      <c r="D20" s="70"/>
    </row>
    <row r="21" spans="1:7">
      <c r="A21" s="522" t="s">
        <v>268</v>
      </c>
      <c r="B21" s="522"/>
      <c r="C21" s="522"/>
      <c r="D21" s="522"/>
      <c r="E21" s="522"/>
      <c r="F21" s="522"/>
      <c r="G21" s="522"/>
    </row>
    <row r="22" spans="1:7">
      <c r="A22" s="71"/>
    </row>
    <row r="23" spans="1:7">
      <c r="A23" s="57" t="s">
        <v>269</v>
      </c>
    </row>
    <row r="24" spans="1:7">
      <c r="A24" s="57" t="s">
        <v>270</v>
      </c>
    </row>
    <row r="25" spans="1:7">
      <c r="A25" s="72" t="s">
        <v>271</v>
      </c>
      <c r="B25" s="60"/>
      <c r="C25" s="60"/>
      <c r="D25" s="61"/>
    </row>
    <row r="26" spans="1:7">
      <c r="A26" s="73">
        <v>1</v>
      </c>
      <c r="B26" s="74" t="s">
        <v>272</v>
      </c>
      <c r="C26" s="74"/>
      <c r="D26" s="244" t="str">
        <f>B19</f>
        <v>CERIMONIALISTA</v>
      </c>
    </row>
    <row r="27" spans="1:7" ht="30.75" customHeight="1">
      <c r="A27" s="73">
        <v>2</v>
      </c>
      <c r="B27" s="539" t="s">
        <v>273</v>
      </c>
      <c r="C27" s="540"/>
      <c r="D27" s="175">
        <v>2029.75</v>
      </c>
    </row>
    <row r="28" spans="1:7" ht="31.5" customHeight="1">
      <c r="A28" s="73">
        <v>3</v>
      </c>
      <c r="B28" s="539" t="s">
        <v>274</v>
      </c>
      <c r="C28" s="540"/>
      <c r="D28" s="176" t="s">
        <v>375</v>
      </c>
    </row>
    <row r="29" spans="1:7">
      <c r="A29" s="75">
        <v>4</v>
      </c>
      <c r="B29" s="76" t="s">
        <v>275</v>
      </c>
      <c r="C29" s="76"/>
      <c r="D29" s="77">
        <v>42401</v>
      </c>
    </row>
    <row r="30" spans="1:7">
      <c r="A30" s="71"/>
    </row>
    <row r="31" spans="1:7">
      <c r="A31" s="71"/>
    </row>
    <row r="32" spans="1:7">
      <c r="A32" s="71"/>
    </row>
    <row r="33" spans="1:7" ht="16.5" customHeight="1" thickBot="1">
      <c r="A33" s="523" t="s">
        <v>276</v>
      </c>
      <c r="B33" s="523"/>
      <c r="C33" s="523"/>
      <c r="D33" s="523"/>
      <c r="E33" s="523"/>
      <c r="F33" s="52"/>
      <c r="G33" s="52"/>
    </row>
    <row r="34" spans="1:7" ht="16.5" thickBot="1">
      <c r="A34" s="78" t="s">
        <v>277</v>
      </c>
      <c r="B34" s="79" t="s">
        <v>278</v>
      </c>
      <c r="C34" s="80"/>
      <c r="D34" s="81" t="s">
        <v>279</v>
      </c>
    </row>
    <row r="35" spans="1:7">
      <c r="A35" s="82" t="s">
        <v>257</v>
      </c>
      <c r="B35" s="83" t="s">
        <v>280</v>
      </c>
      <c r="C35" s="84"/>
      <c r="D35" s="85">
        <f>ROUND(((D27/220)*(365.25/12)*(40/6)),2)</f>
        <v>1872.14</v>
      </c>
    </row>
    <row r="36" spans="1:7">
      <c r="A36" s="191" t="s">
        <v>259</v>
      </c>
      <c r="B36" s="87" t="s">
        <v>281</v>
      </c>
      <c r="C36" s="88"/>
      <c r="D36" s="89">
        <v>0</v>
      </c>
    </row>
    <row r="37" spans="1:7">
      <c r="A37" s="191" t="s">
        <v>261</v>
      </c>
      <c r="B37" s="87" t="s">
        <v>282</v>
      </c>
      <c r="C37" s="90"/>
      <c r="D37" s="89">
        <v>0</v>
      </c>
    </row>
    <row r="38" spans="1:7">
      <c r="A38" s="191" t="s">
        <v>263</v>
      </c>
      <c r="B38" s="91" t="s">
        <v>552</v>
      </c>
      <c r="C38" s="88"/>
      <c r="D38" s="89">
        <v>0</v>
      </c>
    </row>
    <row r="39" spans="1:7">
      <c r="A39" s="191" t="s">
        <v>284</v>
      </c>
      <c r="B39" s="91" t="s">
        <v>285</v>
      </c>
      <c r="C39" s="92"/>
      <c r="D39" s="89">
        <v>0</v>
      </c>
    </row>
    <row r="40" spans="1:7">
      <c r="A40" s="191" t="s">
        <v>286</v>
      </c>
      <c r="B40" s="93" t="s">
        <v>287</v>
      </c>
      <c r="C40" s="92"/>
      <c r="D40" s="89">
        <v>0</v>
      </c>
    </row>
    <row r="41" spans="1:7">
      <c r="A41" s="191" t="s">
        <v>288</v>
      </c>
      <c r="B41" s="93" t="s">
        <v>289</v>
      </c>
      <c r="C41" s="92"/>
      <c r="D41" s="89">
        <v>0</v>
      </c>
    </row>
    <row r="42" spans="1:7" ht="16.5" thickBot="1">
      <c r="A42" s="191" t="s">
        <v>290</v>
      </c>
      <c r="B42" s="94" t="s">
        <v>376</v>
      </c>
      <c r="C42" s="95"/>
      <c r="D42" s="89">
        <v>0</v>
      </c>
    </row>
    <row r="43" spans="1:7" ht="16.5" thickBot="1">
      <c r="A43" s="96"/>
      <c r="B43" s="97" t="s">
        <v>292</v>
      </c>
      <c r="C43" s="98"/>
      <c r="D43" s="99">
        <f>SUM(D35:D42)</f>
        <v>1872.14</v>
      </c>
    </row>
    <row r="44" spans="1:7">
      <c r="A44" s="190"/>
    </row>
    <row r="45" spans="1:7" ht="16.5" thickBot="1">
      <c r="A45" s="523" t="s">
        <v>293</v>
      </c>
      <c r="B45" s="523"/>
      <c r="C45" s="523"/>
      <c r="D45" s="523"/>
      <c r="E45" s="523"/>
      <c r="F45" s="523"/>
      <c r="G45" s="523"/>
    </row>
    <row r="46" spans="1:7" ht="16.5" thickBot="1">
      <c r="A46" s="100">
        <v>2</v>
      </c>
      <c r="B46" s="189" t="s">
        <v>294</v>
      </c>
      <c r="C46" s="102"/>
      <c r="D46" s="100" t="s">
        <v>279</v>
      </c>
    </row>
    <row r="47" spans="1:7">
      <c r="A47" s="82" t="s">
        <v>257</v>
      </c>
      <c r="B47" s="83" t="s">
        <v>295</v>
      </c>
      <c r="C47" s="103"/>
      <c r="D47" s="104">
        <f>(3.7*44)-(D35*6%)</f>
        <v>50.471600000000009</v>
      </c>
    </row>
    <row r="48" spans="1:7" ht="31.5">
      <c r="A48" s="105" t="s">
        <v>259</v>
      </c>
      <c r="B48" s="106" t="s">
        <v>296</v>
      </c>
      <c r="C48" s="90"/>
      <c r="D48" s="107">
        <f>330*(1-20%)</f>
        <v>264</v>
      </c>
    </row>
    <row r="49" spans="1:7">
      <c r="A49" s="191" t="s">
        <v>261</v>
      </c>
      <c r="B49" s="87" t="s">
        <v>389</v>
      </c>
      <c r="C49" s="90"/>
      <c r="D49" s="107">
        <v>50</v>
      </c>
    </row>
    <row r="50" spans="1:7">
      <c r="A50" s="191" t="s">
        <v>263</v>
      </c>
      <c r="B50" s="87" t="s">
        <v>297</v>
      </c>
      <c r="C50" s="88"/>
      <c r="D50" s="107">
        <v>0</v>
      </c>
    </row>
    <row r="51" spans="1:7">
      <c r="A51" s="191" t="s">
        <v>284</v>
      </c>
      <c r="B51" s="87" t="s">
        <v>390</v>
      </c>
      <c r="C51" s="92"/>
      <c r="D51" s="108">
        <v>16</v>
      </c>
    </row>
    <row r="52" spans="1:7" ht="16.5" customHeight="1">
      <c r="A52" s="191" t="s">
        <v>286</v>
      </c>
      <c r="B52" s="535" t="s">
        <v>377</v>
      </c>
      <c r="C52" s="536"/>
      <c r="D52" s="108">
        <v>16</v>
      </c>
    </row>
    <row r="53" spans="1:7" ht="16.5" thickBot="1">
      <c r="A53" s="109" t="s">
        <v>288</v>
      </c>
      <c r="B53" s="537" t="s">
        <v>291</v>
      </c>
      <c r="C53" s="538"/>
      <c r="D53" s="110">
        <v>0</v>
      </c>
    </row>
    <row r="54" spans="1:7" ht="16.5" thickBot="1">
      <c r="A54" s="111"/>
      <c r="B54" s="189" t="s">
        <v>298</v>
      </c>
      <c r="C54" s="112"/>
      <c r="D54" s="113">
        <f>SUM(D47:D53)</f>
        <v>396.47160000000002</v>
      </c>
    </row>
    <row r="55" spans="1:7" ht="33" customHeight="1">
      <c r="A55" s="522" t="s">
        <v>299</v>
      </c>
      <c r="B55" s="522"/>
      <c r="C55" s="522"/>
      <c r="D55" s="522"/>
    </row>
    <row r="56" spans="1:7">
      <c r="A56" s="190"/>
    </row>
    <row r="57" spans="1:7" ht="16.5" thickBot="1">
      <c r="A57" s="523" t="s">
        <v>300</v>
      </c>
      <c r="B57" s="523"/>
      <c r="C57" s="523"/>
      <c r="D57" s="523"/>
      <c r="E57" s="523"/>
      <c r="F57" s="523"/>
      <c r="G57" s="523"/>
    </row>
    <row r="58" spans="1:7" ht="16.5" thickBot="1">
      <c r="A58" s="114">
        <v>3</v>
      </c>
      <c r="B58" s="189" t="s">
        <v>301</v>
      </c>
      <c r="C58" s="102"/>
      <c r="D58" s="100" t="s">
        <v>279</v>
      </c>
    </row>
    <row r="59" spans="1:7">
      <c r="A59" s="82" t="s">
        <v>257</v>
      </c>
      <c r="B59" s="83" t="s">
        <v>302</v>
      </c>
      <c r="C59" s="115"/>
      <c r="D59" s="116">
        <f>'ANEXO IV'!D19</f>
        <v>41.166666666666664</v>
      </c>
    </row>
    <row r="60" spans="1:7">
      <c r="A60" s="105" t="s">
        <v>259</v>
      </c>
      <c r="B60" s="106" t="s">
        <v>15</v>
      </c>
      <c r="C60" s="90"/>
      <c r="D60" s="107">
        <v>0</v>
      </c>
    </row>
    <row r="61" spans="1:7">
      <c r="A61" s="191" t="s">
        <v>261</v>
      </c>
      <c r="B61" s="87" t="s">
        <v>21</v>
      </c>
      <c r="C61" s="90"/>
      <c r="D61" s="107">
        <v>0</v>
      </c>
    </row>
    <row r="62" spans="1:7">
      <c r="A62" s="191" t="s">
        <v>263</v>
      </c>
      <c r="B62" s="535" t="s">
        <v>18</v>
      </c>
      <c r="C62" s="536"/>
      <c r="D62" s="108">
        <v>0</v>
      </c>
    </row>
    <row r="63" spans="1:7" ht="16.5" thickBot="1">
      <c r="A63" s="109" t="s">
        <v>284</v>
      </c>
      <c r="B63" s="537" t="s">
        <v>291</v>
      </c>
      <c r="C63" s="538"/>
      <c r="D63" s="110">
        <v>0</v>
      </c>
    </row>
    <row r="64" spans="1:7" ht="16.5" thickBot="1">
      <c r="A64" s="111"/>
      <c r="B64" s="189" t="s">
        <v>303</v>
      </c>
      <c r="C64" s="112"/>
      <c r="D64" s="113">
        <f>SUM(D59:D63)</f>
        <v>41.166666666666664</v>
      </c>
    </row>
    <row r="65" spans="1:7">
      <c r="A65" s="522" t="s">
        <v>304</v>
      </c>
      <c r="B65" s="522"/>
      <c r="C65" s="522"/>
      <c r="D65" s="522"/>
      <c r="E65" s="522"/>
      <c r="F65" s="522"/>
      <c r="G65" s="522"/>
    </row>
    <row r="66" spans="1:7">
      <c r="A66" s="190"/>
    </row>
    <row r="67" spans="1:7">
      <c r="A67" s="523" t="s">
        <v>305</v>
      </c>
      <c r="B67" s="523"/>
      <c r="C67" s="523"/>
      <c r="D67" s="523"/>
      <c r="E67" s="523"/>
      <c r="F67" s="523"/>
      <c r="G67" s="523"/>
    </row>
    <row r="68" spans="1:7" ht="16.5" thickBot="1">
      <c r="A68" s="523" t="s">
        <v>306</v>
      </c>
      <c r="B68" s="523"/>
      <c r="C68" s="523"/>
      <c r="D68" s="523"/>
      <c r="E68" s="523"/>
      <c r="F68" s="523"/>
      <c r="G68" s="523"/>
    </row>
    <row r="69" spans="1:7" ht="16.5" thickBot="1">
      <c r="A69" s="117" t="s">
        <v>307</v>
      </c>
      <c r="B69" s="118" t="s">
        <v>308</v>
      </c>
      <c r="C69" s="117" t="s">
        <v>4</v>
      </c>
      <c r="D69" s="117" t="s">
        <v>279</v>
      </c>
    </row>
    <row r="70" spans="1:7">
      <c r="A70" s="82" t="s">
        <v>257</v>
      </c>
      <c r="B70" s="119" t="s">
        <v>8</v>
      </c>
      <c r="C70" s="120">
        <v>0.2</v>
      </c>
      <c r="D70" s="104">
        <f t="shared" ref="D70:D77" si="0">ROUND($D$43*C70,2)</f>
        <v>374.43</v>
      </c>
    </row>
    <row r="71" spans="1:7">
      <c r="A71" s="105" t="s">
        <v>259</v>
      </c>
      <c r="B71" s="121" t="s">
        <v>309</v>
      </c>
      <c r="C71" s="122">
        <v>1.4999999999999999E-2</v>
      </c>
      <c r="D71" s="107">
        <f t="shared" si="0"/>
        <v>28.08</v>
      </c>
    </row>
    <row r="72" spans="1:7">
      <c r="A72" s="191" t="s">
        <v>261</v>
      </c>
      <c r="B72" s="123" t="s">
        <v>310</v>
      </c>
      <c r="C72" s="122">
        <v>0.01</v>
      </c>
      <c r="D72" s="107">
        <f t="shared" si="0"/>
        <v>18.72</v>
      </c>
    </row>
    <row r="73" spans="1:7">
      <c r="A73" s="105" t="s">
        <v>263</v>
      </c>
      <c r="B73" s="121" t="s">
        <v>9</v>
      </c>
      <c r="C73" s="122">
        <v>2E-3</v>
      </c>
      <c r="D73" s="107">
        <f t="shared" si="0"/>
        <v>3.74</v>
      </c>
    </row>
    <row r="74" spans="1:7">
      <c r="A74" s="191" t="s">
        <v>284</v>
      </c>
      <c r="B74" s="123" t="s">
        <v>10</v>
      </c>
      <c r="C74" s="122">
        <v>2.5000000000000001E-2</v>
      </c>
      <c r="D74" s="107">
        <f t="shared" si="0"/>
        <v>46.8</v>
      </c>
    </row>
    <row r="75" spans="1:7">
      <c r="A75" s="105" t="s">
        <v>286</v>
      </c>
      <c r="B75" s="121" t="s">
        <v>11</v>
      </c>
      <c r="C75" s="122">
        <v>0.08</v>
      </c>
      <c r="D75" s="107">
        <f t="shared" si="0"/>
        <v>149.77000000000001</v>
      </c>
    </row>
    <row r="76" spans="1:7" ht="31.5">
      <c r="A76" s="191" t="s">
        <v>288</v>
      </c>
      <c r="B76" s="123" t="s">
        <v>378</v>
      </c>
      <c r="C76" s="141">
        <v>3.0499999999999999E-2</v>
      </c>
      <c r="D76" s="245">
        <f t="shared" si="0"/>
        <v>57.1</v>
      </c>
    </row>
    <row r="77" spans="1:7" ht="16.5" thickBot="1">
      <c r="A77" s="124" t="s">
        <v>290</v>
      </c>
      <c r="B77" s="125" t="s">
        <v>12</v>
      </c>
      <c r="C77" s="126">
        <v>6.0000000000000001E-3</v>
      </c>
      <c r="D77" s="110">
        <f t="shared" si="0"/>
        <v>11.23</v>
      </c>
    </row>
    <row r="78" spans="1:7" ht="16.5" thickBot="1">
      <c r="A78" s="530" t="s">
        <v>7</v>
      </c>
      <c r="B78" s="531"/>
      <c r="C78" s="127">
        <f>SUM(C70:C77)</f>
        <v>0.36850000000000005</v>
      </c>
      <c r="D78" s="113">
        <f>SUM(D70:D77)</f>
        <v>689.87000000000012</v>
      </c>
    </row>
    <row r="79" spans="1:7">
      <c r="A79" s="534" t="s">
        <v>311</v>
      </c>
      <c r="B79" s="534"/>
      <c r="C79" s="534"/>
      <c r="D79" s="534"/>
    </row>
    <row r="80" spans="1:7" ht="16.5" customHeight="1">
      <c r="A80" s="534" t="s">
        <v>312</v>
      </c>
      <c r="B80" s="534"/>
      <c r="C80" s="534"/>
      <c r="D80" s="534"/>
    </row>
    <row r="81" spans="1:7">
      <c r="A81" s="190"/>
    </row>
    <row r="82" spans="1:7" ht="16.5" thickBot="1">
      <c r="A82" s="523" t="s">
        <v>313</v>
      </c>
      <c r="B82" s="523"/>
      <c r="C82" s="523"/>
      <c r="D82" s="523"/>
      <c r="E82" s="523"/>
      <c r="F82" s="523"/>
      <c r="G82" s="523"/>
    </row>
    <row r="83" spans="1:7" ht="16.5" thickBot="1">
      <c r="A83" s="117" t="s">
        <v>314</v>
      </c>
      <c r="B83" s="118" t="s">
        <v>315</v>
      </c>
      <c r="C83" s="117" t="s">
        <v>4</v>
      </c>
      <c r="D83" s="117" t="s">
        <v>279</v>
      </c>
    </row>
    <row r="84" spans="1:7">
      <c r="A84" s="82" t="s">
        <v>257</v>
      </c>
      <c r="B84" s="119" t="s">
        <v>316</v>
      </c>
      <c r="C84" s="120">
        <f>((5/56)*100)/100</f>
        <v>8.9285714285714288E-2</v>
      </c>
      <c r="D84" s="104">
        <f>ROUND($D$43*C84,2)</f>
        <v>167.16</v>
      </c>
    </row>
    <row r="85" spans="1:7">
      <c r="A85" s="105" t="s">
        <v>259</v>
      </c>
      <c r="B85" s="121" t="s">
        <v>317</v>
      </c>
      <c r="C85" s="128">
        <f>(1/3)*(5/56)</f>
        <v>2.976190476190476E-2</v>
      </c>
      <c r="D85" s="129">
        <f>ROUND($D$43*C85,2)</f>
        <v>55.72</v>
      </c>
    </row>
    <row r="86" spans="1:7">
      <c r="A86" s="130" t="s">
        <v>318</v>
      </c>
      <c r="B86" s="121"/>
      <c r="C86" s="131">
        <f>SUM(C84:C85)</f>
        <v>0.11904761904761904</v>
      </c>
      <c r="D86" s="132">
        <f>SUM(D84:D85)</f>
        <v>222.88</v>
      </c>
    </row>
    <row r="87" spans="1:7" ht="32.25" thickBot="1">
      <c r="A87" s="105" t="s">
        <v>261</v>
      </c>
      <c r="B87" s="121" t="s">
        <v>319</v>
      </c>
      <c r="C87" s="122">
        <f>D87/D43</f>
        <v>4.3869582403025409E-2</v>
      </c>
      <c r="D87" s="107">
        <f>ROUND(D78*C86,2)</f>
        <v>82.13</v>
      </c>
    </row>
    <row r="88" spans="1:7" ht="16.5" thickBot="1">
      <c r="A88" s="530" t="s">
        <v>7</v>
      </c>
      <c r="B88" s="531"/>
      <c r="C88" s="127">
        <f>C87+C86</f>
        <v>0.16291720145064445</v>
      </c>
      <c r="D88" s="113">
        <f>D86+D87</f>
        <v>305.01</v>
      </c>
    </row>
    <row r="89" spans="1:7">
      <c r="A89" s="190"/>
    </row>
    <row r="90" spans="1:7" ht="16.5" thickBot="1">
      <c r="A90" s="523" t="s">
        <v>320</v>
      </c>
      <c r="B90" s="523"/>
      <c r="C90" s="523"/>
      <c r="D90" s="523"/>
      <c r="E90" s="523"/>
      <c r="F90" s="523"/>
      <c r="G90" s="523"/>
    </row>
    <row r="91" spans="1:7" ht="16.5" thickBot="1">
      <c r="A91" s="117" t="s">
        <v>321</v>
      </c>
      <c r="B91" s="118" t="s">
        <v>322</v>
      </c>
      <c r="C91" s="117" t="s">
        <v>4</v>
      </c>
      <c r="D91" s="117" t="s">
        <v>279</v>
      </c>
    </row>
    <row r="92" spans="1:7">
      <c r="A92" s="82" t="s">
        <v>257</v>
      </c>
      <c r="B92" s="133" t="s">
        <v>323</v>
      </c>
      <c r="C92" s="120">
        <f>0.1111*0.02*0.3333</f>
        <v>7.4059259999999997E-4</v>
      </c>
      <c r="D92" s="104">
        <f>ROUND($D$43*C92,2)</f>
        <v>1.39</v>
      </c>
    </row>
    <row r="93" spans="1:7" ht="32.25" thickBot="1">
      <c r="A93" s="109" t="s">
        <v>259</v>
      </c>
      <c r="B93" s="134" t="s">
        <v>324</v>
      </c>
      <c r="C93" s="126">
        <f>D93/D43</f>
        <v>2.7241552448000682E-4</v>
      </c>
      <c r="D93" s="110">
        <f>ROUND(D78*C92,2)</f>
        <v>0.51</v>
      </c>
    </row>
    <row r="94" spans="1:7" ht="16.5" thickBot="1">
      <c r="A94" s="530" t="s">
        <v>7</v>
      </c>
      <c r="B94" s="531"/>
      <c r="C94" s="127">
        <f>SUM(C92:C93)</f>
        <v>1.0130081244800067E-3</v>
      </c>
      <c r="D94" s="113">
        <f>SUM(D92:D93)</f>
        <v>1.9</v>
      </c>
    </row>
    <row r="95" spans="1:7">
      <c r="A95" s="190"/>
    </row>
    <row r="96" spans="1:7">
      <c r="A96" s="190"/>
    </row>
    <row r="97" spans="1:7" ht="16.5" thickBot="1">
      <c r="A97" s="523" t="s">
        <v>325</v>
      </c>
      <c r="B97" s="523"/>
      <c r="C97" s="523"/>
      <c r="D97" s="523"/>
      <c r="E97" s="523"/>
      <c r="F97" s="523"/>
      <c r="G97" s="523"/>
    </row>
    <row r="98" spans="1:7" ht="16.5" thickBot="1">
      <c r="A98" s="117" t="s">
        <v>326</v>
      </c>
      <c r="B98" s="118" t="s">
        <v>327</v>
      </c>
      <c r="C98" s="117" t="s">
        <v>4</v>
      </c>
      <c r="D98" s="117" t="s">
        <v>279</v>
      </c>
    </row>
    <row r="99" spans="1:7">
      <c r="A99" s="82" t="s">
        <v>257</v>
      </c>
      <c r="B99" s="133" t="s">
        <v>328</v>
      </c>
      <c r="C99" s="135">
        <f>((1/12)*0.05)</f>
        <v>4.1666666666666666E-3</v>
      </c>
      <c r="D99" s="104">
        <f>ROUND($D$43*C99,2)</f>
        <v>7.8</v>
      </c>
    </row>
    <row r="100" spans="1:7" ht="31.5">
      <c r="A100" s="191" t="s">
        <v>259</v>
      </c>
      <c r="B100" s="91" t="s">
        <v>329</v>
      </c>
      <c r="C100" s="136">
        <f>D100/D43</f>
        <v>3.3117181407373378E-4</v>
      </c>
      <c r="D100" s="137">
        <f>ROUND(D75*C99,2)</f>
        <v>0.62</v>
      </c>
    </row>
    <row r="101" spans="1:7">
      <c r="A101" s="191" t="s">
        <v>261</v>
      </c>
      <c r="B101" s="138" t="s">
        <v>330</v>
      </c>
      <c r="C101" s="139">
        <f>0.08*0.5*0.9*(1+(5/56)+(5/56)+(1/3)*(5/56))</f>
        <v>4.3499999999999997E-2</v>
      </c>
      <c r="D101" s="107">
        <f>ROUND($D$43*C101,2)</f>
        <v>81.44</v>
      </c>
    </row>
    <row r="102" spans="1:7">
      <c r="A102" s="191" t="s">
        <v>263</v>
      </c>
      <c r="B102" s="138" t="s">
        <v>331</v>
      </c>
      <c r="C102" s="140">
        <f>(((7/30)/12))</f>
        <v>1.9444444444444445E-2</v>
      </c>
      <c r="D102" s="107">
        <f>ROUND($D$43*C102,2)</f>
        <v>36.4</v>
      </c>
    </row>
    <row r="103" spans="1:7" ht="31.5">
      <c r="A103" s="191" t="s">
        <v>284</v>
      </c>
      <c r="B103" s="138" t="s">
        <v>332</v>
      </c>
      <c r="C103" s="141">
        <f>D103/D43</f>
        <v>7.162925849562532E-3</v>
      </c>
      <c r="D103" s="107">
        <f>ROUND(D78*C102,2)</f>
        <v>13.41</v>
      </c>
    </row>
    <row r="104" spans="1:7" ht="16.5" thickBot="1">
      <c r="A104" s="109" t="s">
        <v>286</v>
      </c>
      <c r="B104" s="134" t="s">
        <v>333</v>
      </c>
      <c r="C104" s="142">
        <f>(40%+10%)*C75*C102</f>
        <v>7.7777777777777784E-4</v>
      </c>
      <c r="D104" s="107">
        <f>ROUND($D$43*C104,2)</f>
        <v>1.46</v>
      </c>
    </row>
    <row r="105" spans="1:7" ht="16.5" thickBot="1">
      <c r="A105" s="525" t="s">
        <v>7</v>
      </c>
      <c r="B105" s="526"/>
      <c r="C105" s="127">
        <f>SUM(C99:C104)</f>
        <v>7.538298655252515E-2</v>
      </c>
      <c r="D105" s="143">
        <f>SUM(D99:D104)</f>
        <v>141.13</v>
      </c>
    </row>
    <row r="106" spans="1:7">
      <c r="A106" s="71"/>
    </row>
    <row r="107" spans="1:7" ht="16.5" thickBot="1">
      <c r="A107" s="523" t="s">
        <v>334</v>
      </c>
      <c r="B107" s="523"/>
      <c r="C107" s="523"/>
      <c r="D107" s="523"/>
      <c r="E107" s="523"/>
      <c r="F107" s="523"/>
      <c r="G107" s="523"/>
    </row>
    <row r="108" spans="1:7" ht="32.25" thickBot="1">
      <c r="A108" s="117" t="s">
        <v>335</v>
      </c>
      <c r="B108" s="118" t="s">
        <v>336</v>
      </c>
      <c r="C108" s="117" t="s">
        <v>4</v>
      </c>
      <c r="D108" s="117" t="s">
        <v>279</v>
      </c>
    </row>
    <row r="109" spans="1:7">
      <c r="A109" s="82" t="s">
        <v>257</v>
      </c>
      <c r="B109" s="133" t="s">
        <v>13</v>
      </c>
      <c r="C109" s="144">
        <f>(5/56)</f>
        <v>8.9285714285714288E-2</v>
      </c>
      <c r="D109" s="107">
        <f t="shared" ref="D109:D114" si="1">ROUND($D$43*C109,2)</f>
        <v>167.16</v>
      </c>
    </row>
    <row r="110" spans="1:7">
      <c r="A110" s="191" t="s">
        <v>259</v>
      </c>
      <c r="B110" s="138" t="s">
        <v>379</v>
      </c>
      <c r="C110" s="122">
        <f>(10.96/30)/12</f>
        <v>3.0444444444444444E-2</v>
      </c>
      <c r="D110" s="107">
        <f t="shared" si="1"/>
        <v>57</v>
      </c>
      <c r="E110" s="184"/>
    </row>
    <row r="111" spans="1:7">
      <c r="A111" s="191" t="s">
        <v>261</v>
      </c>
      <c r="B111" s="138" t="s">
        <v>337</v>
      </c>
      <c r="C111" s="122">
        <f>((5/30)/12)*0.015</f>
        <v>2.0833333333333332E-4</v>
      </c>
      <c r="D111" s="107">
        <f t="shared" si="1"/>
        <v>0.39</v>
      </c>
    </row>
    <row r="112" spans="1:7">
      <c r="A112" s="191" t="s">
        <v>263</v>
      </c>
      <c r="B112" s="138" t="s">
        <v>338</v>
      </c>
      <c r="C112" s="122">
        <f>((1/30)/12)</f>
        <v>2.7777777777777779E-3</v>
      </c>
      <c r="D112" s="107">
        <f t="shared" si="1"/>
        <v>5.2</v>
      </c>
    </row>
    <row r="113" spans="1:7">
      <c r="A113" s="191" t="s">
        <v>284</v>
      </c>
      <c r="B113" s="138" t="s">
        <v>339</v>
      </c>
      <c r="C113" s="122">
        <f>((15/30)/12)*0.0078</f>
        <v>3.2499999999999999E-4</v>
      </c>
      <c r="D113" s="107">
        <f t="shared" si="1"/>
        <v>0.61</v>
      </c>
    </row>
    <row r="114" spans="1:7">
      <c r="A114" s="191" t="s">
        <v>286</v>
      </c>
      <c r="B114" s="138" t="s">
        <v>291</v>
      </c>
      <c r="C114" s="145"/>
      <c r="D114" s="107">
        <f t="shared" si="1"/>
        <v>0</v>
      </c>
    </row>
    <row r="115" spans="1:7">
      <c r="A115" s="532" t="s">
        <v>318</v>
      </c>
      <c r="B115" s="533"/>
      <c r="C115" s="122">
        <f>SUM(C109:C114)</f>
        <v>0.12304126984126985</v>
      </c>
      <c r="D115" s="107">
        <f>SUM(D109:D114)</f>
        <v>230.35999999999999</v>
      </c>
    </row>
    <row r="116" spans="1:7" ht="32.25" thickBot="1">
      <c r="A116" s="109" t="s">
        <v>288</v>
      </c>
      <c r="B116" s="134" t="s">
        <v>340</v>
      </c>
      <c r="C116" s="142">
        <f>D116/$D$43</f>
        <v>4.5338489642868587E-2</v>
      </c>
      <c r="D116" s="107">
        <f>ROUND(D78*C115,2)</f>
        <v>84.88</v>
      </c>
    </row>
    <row r="117" spans="1:7" ht="16.5" thickBot="1">
      <c r="A117" s="525" t="s">
        <v>7</v>
      </c>
      <c r="B117" s="526"/>
      <c r="C117" s="127">
        <f>C116+C115</f>
        <v>0.16837975948413844</v>
      </c>
      <c r="D117" s="146">
        <f>D116+D115</f>
        <v>315.24</v>
      </c>
    </row>
    <row r="118" spans="1:7">
      <c r="A118" s="190" t="s">
        <v>341</v>
      </c>
    </row>
    <row r="119" spans="1:7" ht="16.5" thickBot="1">
      <c r="A119" s="522" t="s">
        <v>342</v>
      </c>
      <c r="B119" s="522"/>
      <c r="C119" s="522"/>
      <c r="D119" s="522"/>
      <c r="E119" s="522"/>
      <c r="F119" s="522"/>
      <c r="G119" s="522"/>
    </row>
    <row r="120" spans="1:7" ht="32.25" customHeight="1" thickBot="1">
      <c r="A120" s="147">
        <v>4</v>
      </c>
      <c r="B120" s="148" t="s">
        <v>343</v>
      </c>
      <c r="C120" s="149" t="s">
        <v>4</v>
      </c>
      <c r="D120" s="150" t="s">
        <v>279</v>
      </c>
    </row>
    <row r="121" spans="1:7">
      <c r="A121" s="82" t="s">
        <v>307</v>
      </c>
      <c r="B121" s="133" t="s">
        <v>344</v>
      </c>
      <c r="C121" s="142">
        <f t="shared" ref="C121:C126" si="2">D121/$D$43</f>
        <v>0.16292050808166056</v>
      </c>
      <c r="D121" s="107">
        <f>D88</f>
        <v>305.01</v>
      </c>
    </row>
    <row r="122" spans="1:7">
      <c r="A122" s="191" t="s">
        <v>314</v>
      </c>
      <c r="B122" s="138" t="s">
        <v>308</v>
      </c>
      <c r="C122" s="142">
        <f t="shared" si="2"/>
        <v>0.36849274092749479</v>
      </c>
      <c r="D122" s="107">
        <f>D78</f>
        <v>689.87000000000012</v>
      </c>
    </row>
    <row r="123" spans="1:7">
      <c r="A123" s="191" t="s">
        <v>321</v>
      </c>
      <c r="B123" s="138" t="s">
        <v>323</v>
      </c>
      <c r="C123" s="142">
        <f t="shared" si="2"/>
        <v>1.0148813657098292E-3</v>
      </c>
      <c r="D123" s="107">
        <f>D94</f>
        <v>1.9</v>
      </c>
    </row>
    <row r="124" spans="1:7">
      <c r="A124" s="151" t="s">
        <v>326</v>
      </c>
      <c r="B124" s="152" t="s">
        <v>345</v>
      </c>
      <c r="C124" s="142">
        <f t="shared" si="2"/>
        <v>7.5384319548751688E-2</v>
      </c>
      <c r="D124" s="107">
        <f>D105</f>
        <v>141.13</v>
      </c>
    </row>
    <row r="125" spans="1:7">
      <c r="A125" s="153" t="s">
        <v>335</v>
      </c>
      <c r="B125" s="154" t="s">
        <v>346</v>
      </c>
      <c r="C125" s="142">
        <f t="shared" si="2"/>
        <v>0.16838484301387716</v>
      </c>
      <c r="D125" s="107">
        <f>D117</f>
        <v>315.24</v>
      </c>
    </row>
    <row r="126" spans="1:7" ht="16.5" thickBot="1">
      <c r="A126" s="191" t="s">
        <v>347</v>
      </c>
      <c r="B126" s="138" t="s">
        <v>291</v>
      </c>
      <c r="C126" s="142">
        <f t="shared" si="2"/>
        <v>0</v>
      </c>
      <c r="D126" s="107">
        <v>0</v>
      </c>
    </row>
    <row r="127" spans="1:7" ht="37.5" customHeight="1" thickBot="1">
      <c r="A127" s="530" t="s">
        <v>348</v>
      </c>
      <c r="B127" s="531"/>
      <c r="C127" s="127">
        <f>SUM(C121:C126)</f>
        <v>0.77619729293749395</v>
      </c>
      <c r="D127" s="113">
        <f>SUM(D121:D126)</f>
        <v>1453.15</v>
      </c>
    </row>
    <row r="128" spans="1:7">
      <c r="A128" s="155"/>
      <c r="B128" s="155"/>
      <c r="C128" s="156"/>
      <c r="D128" s="157"/>
      <c r="E128" s="158"/>
      <c r="F128" s="159"/>
      <c r="G128" s="159"/>
    </row>
    <row r="129" spans="1:8" ht="16.5" thickBot="1">
      <c r="A129" s="522" t="s">
        <v>349</v>
      </c>
      <c r="B129" s="522"/>
      <c r="C129" s="522"/>
      <c r="D129" s="522"/>
      <c r="E129" s="522"/>
      <c r="F129" s="522"/>
      <c r="G129" s="522"/>
      <c r="H129" s="160"/>
    </row>
    <row r="130" spans="1:8" ht="16.5" thickBot="1">
      <c r="A130" s="147" t="s">
        <v>350</v>
      </c>
      <c r="B130" s="148" t="s">
        <v>351</v>
      </c>
      <c r="C130" s="149" t="s">
        <v>4</v>
      </c>
      <c r="D130" s="114" t="s">
        <v>279</v>
      </c>
      <c r="E130" s="161">
        <f>D43+D54+D64+D78+D88+D94+D105+D117</f>
        <v>3762.9282666666677</v>
      </c>
      <c r="G130" s="160"/>
    </row>
    <row r="131" spans="1:8">
      <c r="A131" s="82" t="s">
        <v>257</v>
      </c>
      <c r="B131" s="133" t="s">
        <v>352</v>
      </c>
      <c r="C131" s="162">
        <v>8.2262000000000002E-2</v>
      </c>
      <c r="D131" s="163">
        <f>E130*C131</f>
        <v>309.54600507253343</v>
      </c>
      <c r="G131" s="160"/>
    </row>
    <row r="132" spans="1:8">
      <c r="A132" s="191" t="s">
        <v>259</v>
      </c>
      <c r="B132" s="138" t="s">
        <v>353</v>
      </c>
      <c r="C132" s="142"/>
      <c r="D132" s="164"/>
      <c r="F132" s="165"/>
    </row>
    <row r="133" spans="1:8">
      <c r="A133" s="191"/>
      <c r="B133" s="138" t="s">
        <v>354</v>
      </c>
      <c r="C133" s="142"/>
      <c r="D133" s="129"/>
      <c r="F133" s="182"/>
      <c r="G133" s="160"/>
    </row>
    <row r="134" spans="1:8">
      <c r="A134" s="191"/>
      <c r="B134" s="138" t="s">
        <v>355</v>
      </c>
      <c r="C134" s="142">
        <v>7.5999999999999998E-2</v>
      </c>
      <c r="D134" s="107">
        <f>$D$152*C134</f>
        <v>357.73172198547218</v>
      </c>
      <c r="E134" s="165">
        <f>D152</f>
        <v>4706.9963419141077</v>
      </c>
      <c r="G134" s="160"/>
    </row>
    <row r="135" spans="1:8">
      <c r="A135" s="191"/>
      <c r="B135" s="138" t="s">
        <v>356</v>
      </c>
      <c r="C135" s="142">
        <v>1.6500000000000001E-2</v>
      </c>
      <c r="D135" s="107">
        <f>$D$152*C135</f>
        <v>77.665439641582779</v>
      </c>
      <c r="E135" s="246"/>
      <c r="G135" s="160"/>
    </row>
    <row r="136" spans="1:8">
      <c r="A136" s="191"/>
      <c r="B136" s="138" t="s">
        <v>357</v>
      </c>
      <c r="C136" s="142"/>
      <c r="D136" s="107"/>
    </row>
    <row r="137" spans="1:8">
      <c r="A137" s="191"/>
      <c r="B137" s="138" t="s">
        <v>358</v>
      </c>
      <c r="C137" s="142">
        <v>2.5000000000000001E-2</v>
      </c>
      <c r="D137" s="107">
        <f>$D$152*C137</f>
        <v>117.6749085478527</v>
      </c>
      <c r="G137" s="160"/>
    </row>
    <row r="138" spans="1:8">
      <c r="A138" s="191"/>
      <c r="B138" s="138" t="s">
        <v>359</v>
      </c>
      <c r="C138" s="142"/>
      <c r="D138" s="107"/>
    </row>
    <row r="139" spans="1:8" ht="16.5" thickBot="1">
      <c r="A139" s="191" t="s">
        <v>261</v>
      </c>
      <c r="B139" s="138" t="s">
        <v>360</v>
      </c>
      <c r="C139" s="142">
        <v>0.02</v>
      </c>
      <c r="D139" s="107">
        <f>ROUND(E139*C139,2)</f>
        <v>81.45</v>
      </c>
      <c r="E139" s="132">
        <f>E130+D131</f>
        <v>4072.474271739201</v>
      </c>
    </row>
    <row r="140" spans="1:8" ht="33" customHeight="1" thickBot="1">
      <c r="A140" s="527" t="s">
        <v>361</v>
      </c>
      <c r="B140" s="528"/>
      <c r="C140" s="529"/>
      <c r="D140" s="166">
        <f>D131+D134+D135+D137+D139</f>
        <v>944.06807524744124</v>
      </c>
    </row>
    <row r="141" spans="1:8">
      <c r="A141" s="522" t="s">
        <v>362</v>
      </c>
      <c r="B141" s="522"/>
      <c r="C141" s="522"/>
      <c r="D141" s="522"/>
      <c r="E141" s="522"/>
      <c r="F141" s="522"/>
      <c r="G141" s="522"/>
    </row>
    <row r="142" spans="1:8">
      <c r="A142" s="522" t="s">
        <v>363</v>
      </c>
      <c r="B142" s="522"/>
      <c r="C142" s="522"/>
      <c r="D142" s="522"/>
      <c r="E142" s="522"/>
      <c r="F142" s="522"/>
      <c r="G142" s="522"/>
    </row>
    <row r="143" spans="1:8">
      <c r="A143" s="190"/>
    </row>
    <row r="144" spans="1:8" ht="16.5" thickBot="1">
      <c r="A144" s="523" t="s">
        <v>364</v>
      </c>
      <c r="B144" s="523"/>
      <c r="C144" s="523"/>
      <c r="D144" s="523"/>
      <c r="E144" s="523"/>
      <c r="F144" s="523"/>
      <c r="G144" s="523"/>
    </row>
    <row r="145" spans="1:8" ht="32.25" customHeight="1" thickBot="1">
      <c r="A145" s="147"/>
      <c r="B145" s="524" t="s">
        <v>365</v>
      </c>
      <c r="C145" s="524"/>
      <c r="D145" s="167" t="s">
        <v>366</v>
      </c>
    </row>
    <row r="146" spans="1:8">
      <c r="A146" s="191" t="s">
        <v>257</v>
      </c>
      <c r="B146" s="138" t="s">
        <v>367</v>
      </c>
      <c r="C146" s="122">
        <f t="shared" ref="C146:C151" si="3">D146/$D$152</f>
        <v>0.39773559697280142</v>
      </c>
      <c r="D146" s="129">
        <f>D43</f>
        <v>1872.14</v>
      </c>
    </row>
    <row r="147" spans="1:8">
      <c r="A147" s="191" t="s">
        <v>259</v>
      </c>
      <c r="B147" s="138" t="s">
        <v>368</v>
      </c>
      <c r="C147" s="122">
        <f t="shared" si="3"/>
        <v>8.4230275785337497E-2</v>
      </c>
      <c r="D147" s="129">
        <f>D54</f>
        <v>396.47160000000002</v>
      </c>
    </row>
    <row r="148" spans="1:8" ht="31.5">
      <c r="A148" s="191" t="s">
        <v>261</v>
      </c>
      <c r="B148" s="138" t="s">
        <v>369</v>
      </c>
      <c r="C148" s="122">
        <f t="shared" si="3"/>
        <v>8.7458463266887037E-3</v>
      </c>
      <c r="D148" s="129">
        <f>D64</f>
        <v>41.166666666666664</v>
      </c>
      <c r="E148" s="165">
        <f>D150+D131+D139</f>
        <v>4153.9242717391999</v>
      </c>
    </row>
    <row r="149" spans="1:8" ht="31.5">
      <c r="A149" s="191" t="s">
        <v>263</v>
      </c>
      <c r="B149" s="138" t="s">
        <v>370</v>
      </c>
      <c r="C149" s="122">
        <f t="shared" si="3"/>
        <v>0.3087212936751666</v>
      </c>
      <c r="D149" s="129">
        <f>D127</f>
        <v>1453.15</v>
      </c>
      <c r="E149" s="174">
        <f>C137+C135+C134</f>
        <v>0.11749999999999999</v>
      </c>
    </row>
    <row r="150" spans="1:8" ht="16.5" customHeight="1">
      <c r="A150" s="168" t="s">
        <v>371</v>
      </c>
      <c r="B150" s="169"/>
      <c r="C150" s="131">
        <f t="shared" si="3"/>
        <v>0.79943301275999423</v>
      </c>
      <c r="D150" s="170">
        <f>SUM(D146:D149)</f>
        <v>3762.9282666666668</v>
      </c>
      <c r="E150" s="174">
        <f>100%-E149</f>
        <v>0.88250000000000006</v>
      </c>
    </row>
    <row r="151" spans="1:8" ht="32.25" thickBot="1">
      <c r="A151" s="191" t="s">
        <v>284</v>
      </c>
      <c r="B151" s="138" t="s">
        <v>372</v>
      </c>
      <c r="C151" s="122">
        <f t="shared" si="3"/>
        <v>0.20056698724000588</v>
      </c>
      <c r="D151" s="129">
        <f>D140</f>
        <v>944.06807524744124</v>
      </c>
      <c r="G151" s="171"/>
    </row>
    <row r="152" spans="1:8" ht="16.5" customHeight="1" thickBot="1">
      <c r="A152" s="525" t="s">
        <v>373</v>
      </c>
      <c r="B152" s="526"/>
      <c r="C152" s="127">
        <f>C151+C150</f>
        <v>1</v>
      </c>
      <c r="D152" s="166">
        <f>(D150+D139+D131)/0.8825</f>
        <v>4706.9963419141077</v>
      </c>
      <c r="E152" s="171"/>
      <c r="F152" s="165">
        <f>D150+D151</f>
        <v>4706.9963419141077</v>
      </c>
      <c r="H152" s="172"/>
    </row>
    <row r="153" spans="1:8">
      <c r="E153" s="171"/>
    </row>
    <row r="154" spans="1:8">
      <c r="A154" s="186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1.299212598425197" right="0.51181102362204722" top="2.1653543307086616" bottom="0.98425196850393704" header="0.31496062992125984" footer="0.31496062992125984"/>
  <pageSetup paperSize="9" scale="79" fitToHeight="4" orientation="portrait" r:id="rId1"/>
  <headerFooter alignWithMargins="0"/>
  <rowBreaks count="3" manualBreakCount="3">
    <brk id="43" max="3" man="1"/>
    <brk id="88" max="3" man="1"/>
    <brk id="128" max="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E229"/>
  <sheetViews>
    <sheetView view="pageBreakPreview" topLeftCell="A118" zoomScaleNormal="100" zoomScaleSheetLayoutView="100" workbookViewId="0">
      <selection activeCell="D144" sqref="D144"/>
    </sheetView>
  </sheetViews>
  <sheetFormatPr defaultRowHeight="15"/>
  <cols>
    <col min="1" max="1" width="26.7109375" style="192" customWidth="1"/>
    <col min="2" max="3" width="10.85546875" style="192" customWidth="1"/>
    <col min="4" max="4" width="15.28515625" style="192" customWidth="1"/>
    <col min="5" max="5" width="14.140625" style="192" customWidth="1"/>
    <col min="6" max="256" width="9.140625" style="192"/>
    <col min="257" max="257" width="26.7109375" style="192" customWidth="1"/>
    <col min="258" max="259" width="10.85546875" style="192" customWidth="1"/>
    <col min="260" max="260" width="15.28515625" style="192" customWidth="1"/>
    <col min="261" max="261" width="14.140625" style="192" customWidth="1"/>
    <col min="262" max="512" width="9.140625" style="192"/>
    <col min="513" max="513" width="26.7109375" style="192" customWidth="1"/>
    <col min="514" max="515" width="10.85546875" style="192" customWidth="1"/>
    <col min="516" max="516" width="15.28515625" style="192" customWidth="1"/>
    <col min="517" max="517" width="14.140625" style="192" customWidth="1"/>
    <col min="518" max="768" width="9.140625" style="192"/>
    <col min="769" max="769" width="26.7109375" style="192" customWidth="1"/>
    <col min="770" max="771" width="10.85546875" style="192" customWidth="1"/>
    <col min="772" max="772" width="15.28515625" style="192" customWidth="1"/>
    <col min="773" max="773" width="14.140625" style="192" customWidth="1"/>
    <col min="774" max="1024" width="9.140625" style="192"/>
    <col min="1025" max="1025" width="26.7109375" style="192" customWidth="1"/>
    <col min="1026" max="1027" width="10.85546875" style="192" customWidth="1"/>
    <col min="1028" max="1028" width="15.28515625" style="192" customWidth="1"/>
    <col min="1029" max="1029" width="14.140625" style="192" customWidth="1"/>
    <col min="1030" max="1280" width="9.140625" style="192"/>
    <col min="1281" max="1281" width="26.7109375" style="192" customWidth="1"/>
    <col min="1282" max="1283" width="10.85546875" style="192" customWidth="1"/>
    <col min="1284" max="1284" width="15.28515625" style="192" customWidth="1"/>
    <col min="1285" max="1285" width="14.140625" style="192" customWidth="1"/>
    <col min="1286" max="1536" width="9.140625" style="192"/>
    <col min="1537" max="1537" width="26.7109375" style="192" customWidth="1"/>
    <col min="1538" max="1539" width="10.85546875" style="192" customWidth="1"/>
    <col min="1540" max="1540" width="15.28515625" style="192" customWidth="1"/>
    <col min="1541" max="1541" width="14.140625" style="192" customWidth="1"/>
    <col min="1542" max="1792" width="9.140625" style="192"/>
    <col min="1793" max="1793" width="26.7109375" style="192" customWidth="1"/>
    <col min="1794" max="1795" width="10.85546875" style="192" customWidth="1"/>
    <col min="1796" max="1796" width="15.28515625" style="192" customWidth="1"/>
    <col min="1797" max="1797" width="14.140625" style="192" customWidth="1"/>
    <col min="1798" max="2048" width="9.140625" style="192"/>
    <col min="2049" max="2049" width="26.7109375" style="192" customWidth="1"/>
    <col min="2050" max="2051" width="10.85546875" style="192" customWidth="1"/>
    <col min="2052" max="2052" width="15.28515625" style="192" customWidth="1"/>
    <col min="2053" max="2053" width="14.140625" style="192" customWidth="1"/>
    <col min="2054" max="2304" width="9.140625" style="192"/>
    <col min="2305" max="2305" width="26.7109375" style="192" customWidth="1"/>
    <col min="2306" max="2307" width="10.85546875" style="192" customWidth="1"/>
    <col min="2308" max="2308" width="15.28515625" style="192" customWidth="1"/>
    <col min="2309" max="2309" width="14.140625" style="192" customWidth="1"/>
    <col min="2310" max="2560" width="9.140625" style="192"/>
    <col min="2561" max="2561" width="26.7109375" style="192" customWidth="1"/>
    <col min="2562" max="2563" width="10.85546875" style="192" customWidth="1"/>
    <col min="2564" max="2564" width="15.28515625" style="192" customWidth="1"/>
    <col min="2565" max="2565" width="14.140625" style="192" customWidth="1"/>
    <col min="2566" max="2816" width="9.140625" style="192"/>
    <col min="2817" max="2817" width="26.7109375" style="192" customWidth="1"/>
    <col min="2818" max="2819" width="10.85546875" style="192" customWidth="1"/>
    <col min="2820" max="2820" width="15.28515625" style="192" customWidth="1"/>
    <col min="2821" max="2821" width="14.140625" style="192" customWidth="1"/>
    <col min="2822" max="3072" width="9.140625" style="192"/>
    <col min="3073" max="3073" width="26.7109375" style="192" customWidth="1"/>
    <col min="3074" max="3075" width="10.85546875" style="192" customWidth="1"/>
    <col min="3076" max="3076" width="15.28515625" style="192" customWidth="1"/>
    <col min="3077" max="3077" width="14.140625" style="192" customWidth="1"/>
    <col min="3078" max="3328" width="9.140625" style="192"/>
    <col min="3329" max="3329" width="26.7109375" style="192" customWidth="1"/>
    <col min="3330" max="3331" width="10.85546875" style="192" customWidth="1"/>
    <col min="3332" max="3332" width="15.28515625" style="192" customWidth="1"/>
    <col min="3333" max="3333" width="14.140625" style="192" customWidth="1"/>
    <col min="3334" max="3584" width="9.140625" style="192"/>
    <col min="3585" max="3585" width="26.7109375" style="192" customWidth="1"/>
    <col min="3586" max="3587" width="10.85546875" style="192" customWidth="1"/>
    <col min="3588" max="3588" width="15.28515625" style="192" customWidth="1"/>
    <col min="3589" max="3589" width="14.140625" style="192" customWidth="1"/>
    <col min="3590" max="3840" width="9.140625" style="192"/>
    <col min="3841" max="3841" width="26.7109375" style="192" customWidth="1"/>
    <col min="3842" max="3843" width="10.85546875" style="192" customWidth="1"/>
    <col min="3844" max="3844" width="15.28515625" style="192" customWidth="1"/>
    <col min="3845" max="3845" width="14.140625" style="192" customWidth="1"/>
    <col min="3846" max="4096" width="9.140625" style="192"/>
    <col min="4097" max="4097" width="26.7109375" style="192" customWidth="1"/>
    <col min="4098" max="4099" width="10.85546875" style="192" customWidth="1"/>
    <col min="4100" max="4100" width="15.28515625" style="192" customWidth="1"/>
    <col min="4101" max="4101" width="14.140625" style="192" customWidth="1"/>
    <col min="4102" max="4352" width="9.140625" style="192"/>
    <col min="4353" max="4353" width="26.7109375" style="192" customWidth="1"/>
    <col min="4354" max="4355" width="10.85546875" style="192" customWidth="1"/>
    <col min="4356" max="4356" width="15.28515625" style="192" customWidth="1"/>
    <col min="4357" max="4357" width="14.140625" style="192" customWidth="1"/>
    <col min="4358" max="4608" width="9.140625" style="192"/>
    <col min="4609" max="4609" width="26.7109375" style="192" customWidth="1"/>
    <col min="4610" max="4611" width="10.85546875" style="192" customWidth="1"/>
    <col min="4612" max="4612" width="15.28515625" style="192" customWidth="1"/>
    <col min="4613" max="4613" width="14.140625" style="192" customWidth="1"/>
    <col min="4614" max="4864" width="9.140625" style="192"/>
    <col min="4865" max="4865" width="26.7109375" style="192" customWidth="1"/>
    <col min="4866" max="4867" width="10.85546875" style="192" customWidth="1"/>
    <col min="4868" max="4868" width="15.28515625" style="192" customWidth="1"/>
    <col min="4869" max="4869" width="14.140625" style="192" customWidth="1"/>
    <col min="4870" max="5120" width="9.140625" style="192"/>
    <col min="5121" max="5121" width="26.7109375" style="192" customWidth="1"/>
    <col min="5122" max="5123" width="10.85546875" style="192" customWidth="1"/>
    <col min="5124" max="5124" width="15.28515625" style="192" customWidth="1"/>
    <col min="5125" max="5125" width="14.140625" style="192" customWidth="1"/>
    <col min="5126" max="5376" width="9.140625" style="192"/>
    <col min="5377" max="5377" width="26.7109375" style="192" customWidth="1"/>
    <col min="5378" max="5379" width="10.85546875" style="192" customWidth="1"/>
    <col min="5380" max="5380" width="15.28515625" style="192" customWidth="1"/>
    <col min="5381" max="5381" width="14.140625" style="192" customWidth="1"/>
    <col min="5382" max="5632" width="9.140625" style="192"/>
    <col min="5633" max="5633" width="26.7109375" style="192" customWidth="1"/>
    <col min="5634" max="5635" width="10.85546875" style="192" customWidth="1"/>
    <col min="5636" max="5636" width="15.28515625" style="192" customWidth="1"/>
    <col min="5637" max="5637" width="14.140625" style="192" customWidth="1"/>
    <col min="5638" max="5888" width="9.140625" style="192"/>
    <col min="5889" max="5889" width="26.7109375" style="192" customWidth="1"/>
    <col min="5890" max="5891" width="10.85546875" style="192" customWidth="1"/>
    <col min="5892" max="5892" width="15.28515625" style="192" customWidth="1"/>
    <col min="5893" max="5893" width="14.140625" style="192" customWidth="1"/>
    <col min="5894" max="6144" width="9.140625" style="192"/>
    <col min="6145" max="6145" width="26.7109375" style="192" customWidth="1"/>
    <col min="6146" max="6147" width="10.85546875" style="192" customWidth="1"/>
    <col min="6148" max="6148" width="15.28515625" style="192" customWidth="1"/>
    <col min="6149" max="6149" width="14.140625" style="192" customWidth="1"/>
    <col min="6150" max="6400" width="9.140625" style="192"/>
    <col min="6401" max="6401" width="26.7109375" style="192" customWidth="1"/>
    <col min="6402" max="6403" width="10.85546875" style="192" customWidth="1"/>
    <col min="6404" max="6404" width="15.28515625" style="192" customWidth="1"/>
    <col min="6405" max="6405" width="14.140625" style="192" customWidth="1"/>
    <col min="6406" max="6656" width="9.140625" style="192"/>
    <col min="6657" max="6657" width="26.7109375" style="192" customWidth="1"/>
    <col min="6658" max="6659" width="10.85546875" style="192" customWidth="1"/>
    <col min="6660" max="6660" width="15.28515625" style="192" customWidth="1"/>
    <col min="6661" max="6661" width="14.140625" style="192" customWidth="1"/>
    <col min="6662" max="6912" width="9.140625" style="192"/>
    <col min="6913" max="6913" width="26.7109375" style="192" customWidth="1"/>
    <col min="6914" max="6915" width="10.85546875" style="192" customWidth="1"/>
    <col min="6916" max="6916" width="15.28515625" style="192" customWidth="1"/>
    <col min="6917" max="6917" width="14.140625" style="192" customWidth="1"/>
    <col min="6918" max="7168" width="9.140625" style="192"/>
    <col min="7169" max="7169" width="26.7109375" style="192" customWidth="1"/>
    <col min="7170" max="7171" width="10.85546875" style="192" customWidth="1"/>
    <col min="7172" max="7172" width="15.28515625" style="192" customWidth="1"/>
    <col min="7173" max="7173" width="14.140625" style="192" customWidth="1"/>
    <col min="7174" max="7424" width="9.140625" style="192"/>
    <col min="7425" max="7425" width="26.7109375" style="192" customWidth="1"/>
    <col min="7426" max="7427" width="10.85546875" style="192" customWidth="1"/>
    <col min="7428" max="7428" width="15.28515625" style="192" customWidth="1"/>
    <col min="7429" max="7429" width="14.140625" style="192" customWidth="1"/>
    <col min="7430" max="7680" width="9.140625" style="192"/>
    <col min="7681" max="7681" width="26.7109375" style="192" customWidth="1"/>
    <col min="7682" max="7683" width="10.85546875" style="192" customWidth="1"/>
    <col min="7684" max="7684" width="15.28515625" style="192" customWidth="1"/>
    <col min="7685" max="7685" width="14.140625" style="192" customWidth="1"/>
    <col min="7686" max="7936" width="9.140625" style="192"/>
    <col min="7937" max="7937" width="26.7109375" style="192" customWidth="1"/>
    <col min="7938" max="7939" width="10.85546875" style="192" customWidth="1"/>
    <col min="7940" max="7940" width="15.28515625" style="192" customWidth="1"/>
    <col min="7941" max="7941" width="14.140625" style="192" customWidth="1"/>
    <col min="7942" max="8192" width="9.140625" style="192"/>
    <col min="8193" max="8193" width="26.7109375" style="192" customWidth="1"/>
    <col min="8194" max="8195" width="10.85546875" style="192" customWidth="1"/>
    <col min="8196" max="8196" width="15.28515625" style="192" customWidth="1"/>
    <col min="8197" max="8197" width="14.140625" style="192" customWidth="1"/>
    <col min="8198" max="8448" width="9.140625" style="192"/>
    <col min="8449" max="8449" width="26.7109375" style="192" customWidth="1"/>
    <col min="8450" max="8451" width="10.85546875" style="192" customWidth="1"/>
    <col min="8452" max="8452" width="15.28515625" style="192" customWidth="1"/>
    <col min="8453" max="8453" width="14.140625" style="192" customWidth="1"/>
    <col min="8454" max="8704" width="9.140625" style="192"/>
    <col min="8705" max="8705" width="26.7109375" style="192" customWidth="1"/>
    <col min="8706" max="8707" width="10.85546875" style="192" customWidth="1"/>
    <col min="8708" max="8708" width="15.28515625" style="192" customWidth="1"/>
    <col min="8709" max="8709" width="14.140625" style="192" customWidth="1"/>
    <col min="8710" max="8960" width="9.140625" style="192"/>
    <col min="8961" max="8961" width="26.7109375" style="192" customWidth="1"/>
    <col min="8962" max="8963" width="10.85546875" style="192" customWidth="1"/>
    <col min="8964" max="8964" width="15.28515625" style="192" customWidth="1"/>
    <col min="8965" max="8965" width="14.140625" style="192" customWidth="1"/>
    <col min="8966" max="9216" width="9.140625" style="192"/>
    <col min="9217" max="9217" width="26.7109375" style="192" customWidth="1"/>
    <col min="9218" max="9219" width="10.85546875" style="192" customWidth="1"/>
    <col min="9220" max="9220" width="15.28515625" style="192" customWidth="1"/>
    <col min="9221" max="9221" width="14.140625" style="192" customWidth="1"/>
    <col min="9222" max="9472" width="9.140625" style="192"/>
    <col min="9473" max="9473" width="26.7109375" style="192" customWidth="1"/>
    <col min="9474" max="9475" width="10.85546875" style="192" customWidth="1"/>
    <col min="9476" max="9476" width="15.28515625" style="192" customWidth="1"/>
    <col min="9477" max="9477" width="14.140625" style="192" customWidth="1"/>
    <col min="9478" max="9728" width="9.140625" style="192"/>
    <col min="9729" max="9729" width="26.7109375" style="192" customWidth="1"/>
    <col min="9730" max="9731" width="10.85546875" style="192" customWidth="1"/>
    <col min="9732" max="9732" width="15.28515625" style="192" customWidth="1"/>
    <col min="9733" max="9733" width="14.140625" style="192" customWidth="1"/>
    <col min="9734" max="9984" width="9.140625" style="192"/>
    <col min="9985" max="9985" width="26.7109375" style="192" customWidth="1"/>
    <col min="9986" max="9987" width="10.85546875" style="192" customWidth="1"/>
    <col min="9988" max="9988" width="15.28515625" style="192" customWidth="1"/>
    <col min="9989" max="9989" width="14.140625" style="192" customWidth="1"/>
    <col min="9990" max="10240" width="9.140625" style="192"/>
    <col min="10241" max="10241" width="26.7109375" style="192" customWidth="1"/>
    <col min="10242" max="10243" width="10.85546875" style="192" customWidth="1"/>
    <col min="10244" max="10244" width="15.28515625" style="192" customWidth="1"/>
    <col min="10245" max="10245" width="14.140625" style="192" customWidth="1"/>
    <col min="10246" max="10496" width="9.140625" style="192"/>
    <col min="10497" max="10497" width="26.7109375" style="192" customWidth="1"/>
    <col min="10498" max="10499" width="10.85546875" style="192" customWidth="1"/>
    <col min="10500" max="10500" width="15.28515625" style="192" customWidth="1"/>
    <col min="10501" max="10501" width="14.140625" style="192" customWidth="1"/>
    <col min="10502" max="10752" width="9.140625" style="192"/>
    <col min="10753" max="10753" width="26.7109375" style="192" customWidth="1"/>
    <col min="10754" max="10755" width="10.85546875" style="192" customWidth="1"/>
    <col min="10756" max="10756" width="15.28515625" style="192" customWidth="1"/>
    <col min="10757" max="10757" width="14.140625" style="192" customWidth="1"/>
    <col min="10758" max="11008" width="9.140625" style="192"/>
    <col min="11009" max="11009" width="26.7109375" style="192" customWidth="1"/>
    <col min="11010" max="11011" width="10.85546875" style="192" customWidth="1"/>
    <col min="11012" max="11012" width="15.28515625" style="192" customWidth="1"/>
    <col min="11013" max="11013" width="14.140625" style="192" customWidth="1"/>
    <col min="11014" max="11264" width="9.140625" style="192"/>
    <col min="11265" max="11265" width="26.7109375" style="192" customWidth="1"/>
    <col min="11266" max="11267" width="10.85546875" style="192" customWidth="1"/>
    <col min="11268" max="11268" width="15.28515625" style="192" customWidth="1"/>
    <col min="11269" max="11269" width="14.140625" style="192" customWidth="1"/>
    <col min="11270" max="11520" width="9.140625" style="192"/>
    <col min="11521" max="11521" width="26.7109375" style="192" customWidth="1"/>
    <col min="11522" max="11523" width="10.85546875" style="192" customWidth="1"/>
    <col min="11524" max="11524" width="15.28515625" style="192" customWidth="1"/>
    <col min="11525" max="11525" width="14.140625" style="192" customWidth="1"/>
    <col min="11526" max="11776" width="9.140625" style="192"/>
    <col min="11777" max="11777" width="26.7109375" style="192" customWidth="1"/>
    <col min="11778" max="11779" width="10.85546875" style="192" customWidth="1"/>
    <col min="11780" max="11780" width="15.28515625" style="192" customWidth="1"/>
    <col min="11781" max="11781" width="14.140625" style="192" customWidth="1"/>
    <col min="11782" max="12032" width="9.140625" style="192"/>
    <col min="12033" max="12033" width="26.7109375" style="192" customWidth="1"/>
    <col min="12034" max="12035" width="10.85546875" style="192" customWidth="1"/>
    <col min="12036" max="12036" width="15.28515625" style="192" customWidth="1"/>
    <col min="12037" max="12037" width="14.140625" style="192" customWidth="1"/>
    <col min="12038" max="12288" width="9.140625" style="192"/>
    <col min="12289" max="12289" width="26.7109375" style="192" customWidth="1"/>
    <col min="12290" max="12291" width="10.85546875" style="192" customWidth="1"/>
    <col min="12292" max="12292" width="15.28515625" style="192" customWidth="1"/>
    <col min="12293" max="12293" width="14.140625" style="192" customWidth="1"/>
    <col min="12294" max="12544" width="9.140625" style="192"/>
    <col min="12545" max="12545" width="26.7109375" style="192" customWidth="1"/>
    <col min="12546" max="12547" width="10.85546875" style="192" customWidth="1"/>
    <col min="12548" max="12548" width="15.28515625" style="192" customWidth="1"/>
    <col min="12549" max="12549" width="14.140625" style="192" customWidth="1"/>
    <col min="12550" max="12800" width="9.140625" style="192"/>
    <col min="12801" max="12801" width="26.7109375" style="192" customWidth="1"/>
    <col min="12802" max="12803" width="10.85546875" style="192" customWidth="1"/>
    <col min="12804" max="12804" width="15.28515625" style="192" customWidth="1"/>
    <col min="12805" max="12805" width="14.140625" style="192" customWidth="1"/>
    <col min="12806" max="13056" width="9.140625" style="192"/>
    <col min="13057" max="13057" width="26.7109375" style="192" customWidth="1"/>
    <col min="13058" max="13059" width="10.85546875" style="192" customWidth="1"/>
    <col min="13060" max="13060" width="15.28515625" style="192" customWidth="1"/>
    <col min="13061" max="13061" width="14.140625" style="192" customWidth="1"/>
    <col min="13062" max="13312" width="9.140625" style="192"/>
    <col min="13313" max="13313" width="26.7109375" style="192" customWidth="1"/>
    <col min="13314" max="13315" width="10.85546875" style="192" customWidth="1"/>
    <col min="13316" max="13316" width="15.28515625" style="192" customWidth="1"/>
    <col min="13317" max="13317" width="14.140625" style="192" customWidth="1"/>
    <col min="13318" max="13568" width="9.140625" style="192"/>
    <col min="13569" max="13569" width="26.7109375" style="192" customWidth="1"/>
    <col min="13570" max="13571" width="10.85546875" style="192" customWidth="1"/>
    <col min="13572" max="13572" width="15.28515625" style="192" customWidth="1"/>
    <col min="13573" max="13573" width="14.140625" style="192" customWidth="1"/>
    <col min="13574" max="13824" width="9.140625" style="192"/>
    <col min="13825" max="13825" width="26.7109375" style="192" customWidth="1"/>
    <col min="13826" max="13827" width="10.85546875" style="192" customWidth="1"/>
    <col min="13828" max="13828" width="15.28515625" style="192" customWidth="1"/>
    <col min="13829" max="13829" width="14.140625" style="192" customWidth="1"/>
    <col min="13830" max="14080" width="9.140625" style="192"/>
    <col min="14081" max="14081" width="26.7109375" style="192" customWidth="1"/>
    <col min="14082" max="14083" width="10.85546875" style="192" customWidth="1"/>
    <col min="14084" max="14084" width="15.28515625" style="192" customWidth="1"/>
    <col min="14085" max="14085" width="14.140625" style="192" customWidth="1"/>
    <col min="14086" max="14336" width="9.140625" style="192"/>
    <col min="14337" max="14337" width="26.7109375" style="192" customWidth="1"/>
    <col min="14338" max="14339" width="10.85546875" style="192" customWidth="1"/>
    <col min="14340" max="14340" width="15.28515625" style="192" customWidth="1"/>
    <col min="14341" max="14341" width="14.140625" style="192" customWidth="1"/>
    <col min="14342" max="14592" width="9.140625" style="192"/>
    <col min="14593" max="14593" width="26.7109375" style="192" customWidth="1"/>
    <col min="14594" max="14595" width="10.85546875" style="192" customWidth="1"/>
    <col min="14596" max="14596" width="15.28515625" style="192" customWidth="1"/>
    <col min="14597" max="14597" width="14.140625" style="192" customWidth="1"/>
    <col min="14598" max="14848" width="9.140625" style="192"/>
    <col min="14849" max="14849" width="26.7109375" style="192" customWidth="1"/>
    <col min="14850" max="14851" width="10.85546875" style="192" customWidth="1"/>
    <col min="14852" max="14852" width="15.28515625" style="192" customWidth="1"/>
    <col min="14853" max="14853" width="14.140625" style="192" customWidth="1"/>
    <col min="14854" max="15104" width="9.140625" style="192"/>
    <col min="15105" max="15105" width="26.7109375" style="192" customWidth="1"/>
    <col min="15106" max="15107" width="10.85546875" style="192" customWidth="1"/>
    <col min="15108" max="15108" width="15.28515625" style="192" customWidth="1"/>
    <col min="15109" max="15109" width="14.140625" style="192" customWidth="1"/>
    <col min="15110" max="15360" width="9.140625" style="192"/>
    <col min="15361" max="15361" width="26.7109375" style="192" customWidth="1"/>
    <col min="15362" max="15363" width="10.85546875" style="192" customWidth="1"/>
    <col min="15364" max="15364" width="15.28515625" style="192" customWidth="1"/>
    <col min="15365" max="15365" width="14.140625" style="192" customWidth="1"/>
    <col min="15366" max="15616" width="9.140625" style="192"/>
    <col min="15617" max="15617" width="26.7109375" style="192" customWidth="1"/>
    <col min="15618" max="15619" width="10.85546875" style="192" customWidth="1"/>
    <col min="15620" max="15620" width="15.28515625" style="192" customWidth="1"/>
    <col min="15621" max="15621" width="14.140625" style="192" customWidth="1"/>
    <col min="15622" max="15872" width="9.140625" style="192"/>
    <col min="15873" max="15873" width="26.7109375" style="192" customWidth="1"/>
    <col min="15874" max="15875" width="10.85546875" style="192" customWidth="1"/>
    <col min="15876" max="15876" width="15.28515625" style="192" customWidth="1"/>
    <col min="15877" max="15877" width="14.140625" style="192" customWidth="1"/>
    <col min="15878" max="16128" width="9.140625" style="192"/>
    <col min="16129" max="16129" width="26.7109375" style="192" customWidth="1"/>
    <col min="16130" max="16131" width="10.85546875" style="192" customWidth="1"/>
    <col min="16132" max="16132" width="15.28515625" style="192" customWidth="1"/>
    <col min="16133" max="16133" width="14.140625" style="192" customWidth="1"/>
    <col min="16134" max="16384" width="9.140625" style="192"/>
  </cols>
  <sheetData>
    <row r="2" spans="1:5">
      <c r="A2" s="553" t="s">
        <v>400</v>
      </c>
      <c r="B2" s="553"/>
      <c r="C2" s="553"/>
      <c r="D2" s="553"/>
      <c r="E2" s="553"/>
    </row>
    <row r="3" spans="1:5" ht="15.75" thickBot="1"/>
    <row r="4" spans="1:5">
      <c r="A4" s="554" t="s">
        <v>401</v>
      </c>
      <c r="B4" s="555"/>
      <c r="C4" s="555"/>
      <c r="D4" s="555"/>
      <c r="E4" s="556"/>
    </row>
    <row r="5" spans="1:5">
      <c r="A5" s="193" t="s">
        <v>402</v>
      </c>
      <c r="B5" s="194" t="s">
        <v>403</v>
      </c>
      <c r="C5" s="194" t="s">
        <v>404</v>
      </c>
      <c r="D5" s="194" t="s">
        <v>405</v>
      </c>
      <c r="E5" s="195" t="s">
        <v>406</v>
      </c>
    </row>
    <row r="6" spans="1:5">
      <c r="A6" s="196" t="s">
        <v>407</v>
      </c>
      <c r="B6" s="197" t="s">
        <v>408</v>
      </c>
      <c r="C6" s="197">
        <v>30</v>
      </c>
      <c r="D6" s="198">
        <v>2.9</v>
      </c>
      <c r="E6" s="199">
        <f>D6*C6</f>
        <v>87</v>
      </c>
    </row>
    <row r="7" spans="1:5" ht="15.75" thickBot="1">
      <c r="A7" s="557" t="s">
        <v>7</v>
      </c>
      <c r="B7" s="558"/>
      <c r="C7" s="558"/>
      <c r="D7" s="558"/>
      <c r="E7" s="200">
        <f>SUM(E6)</f>
        <v>87</v>
      </c>
    </row>
    <row r="8" spans="1:5" ht="15.75" thickBot="1">
      <c r="A8" s="201"/>
      <c r="B8" s="201"/>
      <c r="C8" s="201"/>
      <c r="D8" s="201"/>
      <c r="E8" s="202"/>
    </row>
    <row r="9" spans="1:5">
      <c r="A9" s="203" t="s">
        <v>402</v>
      </c>
      <c r="B9" s="204" t="s">
        <v>403</v>
      </c>
      <c r="C9" s="204" t="s">
        <v>404</v>
      </c>
      <c r="D9" s="204" t="s">
        <v>405</v>
      </c>
      <c r="E9" s="205" t="s">
        <v>406</v>
      </c>
    </row>
    <row r="10" spans="1:5">
      <c r="A10" s="206" t="s">
        <v>409</v>
      </c>
      <c r="B10" s="197" t="str">
        <f>B9</f>
        <v>Unidade</v>
      </c>
      <c r="C10" s="197">
        <v>1</v>
      </c>
      <c r="D10" s="198">
        <v>1322.75</v>
      </c>
      <c r="E10" s="207">
        <f t="shared" ref="E10:E29" si="0">D10*C10</f>
        <v>1322.75</v>
      </c>
    </row>
    <row r="11" spans="1:5">
      <c r="A11" s="206" t="s">
        <v>410</v>
      </c>
      <c r="B11" s="197" t="str">
        <f t="shared" ref="B11:B25" si="1">B10</f>
        <v>Unidade</v>
      </c>
      <c r="C11" s="197">
        <v>1</v>
      </c>
      <c r="D11" s="198">
        <v>373.92</v>
      </c>
      <c r="E11" s="207">
        <f t="shared" si="0"/>
        <v>373.92</v>
      </c>
    </row>
    <row r="12" spans="1:5">
      <c r="A12" s="206" t="s">
        <v>411</v>
      </c>
      <c r="B12" s="197" t="str">
        <f t="shared" si="1"/>
        <v>Unidade</v>
      </c>
      <c r="C12" s="197">
        <v>5</v>
      </c>
      <c r="D12" s="198">
        <v>4</v>
      </c>
      <c r="E12" s="207">
        <f t="shared" si="0"/>
        <v>20</v>
      </c>
    </row>
    <row r="13" spans="1:5">
      <c r="A13" s="206" t="s">
        <v>412</v>
      </c>
      <c r="B13" s="197" t="str">
        <f t="shared" si="1"/>
        <v>Unidade</v>
      </c>
      <c r="C13" s="197">
        <v>5</v>
      </c>
      <c r="D13" s="198">
        <v>14.96</v>
      </c>
      <c r="E13" s="207">
        <f t="shared" si="0"/>
        <v>74.800000000000011</v>
      </c>
    </row>
    <row r="14" spans="1:5">
      <c r="A14" s="206" t="s">
        <v>413</v>
      </c>
      <c r="B14" s="197" t="str">
        <f t="shared" si="1"/>
        <v>Unidade</v>
      </c>
      <c r="C14" s="197">
        <v>1</v>
      </c>
      <c r="D14" s="198">
        <v>107.35</v>
      </c>
      <c r="E14" s="207">
        <f t="shared" si="0"/>
        <v>107.35</v>
      </c>
    </row>
    <row r="15" spans="1:5">
      <c r="A15" s="206" t="s">
        <v>414</v>
      </c>
      <c r="B15" s="197" t="str">
        <f t="shared" si="1"/>
        <v>Unidade</v>
      </c>
      <c r="C15" s="197">
        <v>1</v>
      </c>
      <c r="D15" s="198">
        <v>31.13</v>
      </c>
      <c r="E15" s="207">
        <f t="shared" si="0"/>
        <v>31.13</v>
      </c>
    </row>
    <row r="16" spans="1:5">
      <c r="A16" s="206" t="s">
        <v>415</v>
      </c>
      <c r="B16" s="197" t="str">
        <f t="shared" si="1"/>
        <v>Unidade</v>
      </c>
      <c r="C16" s="197">
        <v>1</v>
      </c>
      <c r="D16" s="198">
        <v>36.799999999999997</v>
      </c>
      <c r="E16" s="207">
        <f t="shared" si="0"/>
        <v>36.799999999999997</v>
      </c>
    </row>
    <row r="17" spans="1:5">
      <c r="A17" s="206" t="s">
        <v>416</v>
      </c>
      <c r="B17" s="197" t="str">
        <f t="shared" si="1"/>
        <v>Unidade</v>
      </c>
      <c r="C17" s="197">
        <v>1</v>
      </c>
      <c r="D17" s="198">
        <v>11.94</v>
      </c>
      <c r="E17" s="207">
        <f t="shared" si="0"/>
        <v>11.94</v>
      </c>
    </row>
    <row r="18" spans="1:5">
      <c r="A18" s="206" t="s">
        <v>417</v>
      </c>
      <c r="B18" s="197" t="str">
        <f t="shared" si="1"/>
        <v>Unidade</v>
      </c>
      <c r="C18" s="197">
        <v>1</v>
      </c>
      <c r="D18" s="198">
        <v>12.24</v>
      </c>
      <c r="E18" s="207">
        <f t="shared" si="0"/>
        <v>12.24</v>
      </c>
    </row>
    <row r="19" spans="1:5">
      <c r="A19" s="206" t="s">
        <v>418</v>
      </c>
      <c r="B19" s="197" t="str">
        <f t="shared" si="1"/>
        <v>Unidade</v>
      </c>
      <c r="C19" s="197">
        <v>1</v>
      </c>
      <c r="D19" s="198">
        <v>14</v>
      </c>
      <c r="E19" s="207">
        <f t="shared" si="0"/>
        <v>14</v>
      </c>
    </row>
    <row r="20" spans="1:5">
      <c r="A20" s="206" t="s">
        <v>419</v>
      </c>
      <c r="B20" s="197" t="str">
        <f t="shared" si="1"/>
        <v>Unidade</v>
      </c>
      <c r="C20" s="197">
        <v>1</v>
      </c>
      <c r="D20" s="198">
        <v>10.75</v>
      </c>
      <c r="E20" s="207">
        <f t="shared" si="0"/>
        <v>10.75</v>
      </c>
    </row>
    <row r="21" spans="1:5">
      <c r="A21" s="206" t="s">
        <v>420</v>
      </c>
      <c r="B21" s="197" t="str">
        <f t="shared" si="1"/>
        <v>Unidade</v>
      </c>
      <c r="C21" s="197">
        <v>1</v>
      </c>
      <c r="D21" s="198">
        <v>99</v>
      </c>
      <c r="E21" s="207">
        <f t="shared" si="0"/>
        <v>99</v>
      </c>
    </row>
    <row r="22" spans="1:5">
      <c r="A22" s="206" t="s">
        <v>421</v>
      </c>
      <c r="B22" s="197" t="str">
        <f t="shared" si="1"/>
        <v>Unidade</v>
      </c>
      <c r="C22" s="197">
        <v>2</v>
      </c>
      <c r="D22" s="198">
        <v>4.38</v>
      </c>
      <c r="E22" s="207">
        <f t="shared" si="0"/>
        <v>8.76</v>
      </c>
    </row>
    <row r="23" spans="1:5">
      <c r="A23" s="206" t="s">
        <v>422</v>
      </c>
      <c r="B23" s="197" t="str">
        <f t="shared" si="1"/>
        <v>Unidade</v>
      </c>
      <c r="C23" s="197">
        <v>1</v>
      </c>
      <c r="D23" s="198">
        <v>15.36</v>
      </c>
      <c r="E23" s="207">
        <f t="shared" si="0"/>
        <v>15.36</v>
      </c>
    </row>
    <row r="24" spans="1:5">
      <c r="A24" s="206" t="s">
        <v>423</v>
      </c>
      <c r="B24" s="197" t="str">
        <f t="shared" si="1"/>
        <v>Unidade</v>
      </c>
      <c r="C24" s="197">
        <v>1</v>
      </c>
      <c r="D24" s="198">
        <v>17.420000000000002</v>
      </c>
      <c r="E24" s="207">
        <f t="shared" si="0"/>
        <v>17.420000000000002</v>
      </c>
    </row>
    <row r="25" spans="1:5">
      <c r="A25" s="206" t="s">
        <v>424</v>
      </c>
      <c r="B25" s="197" t="str">
        <f t="shared" si="1"/>
        <v>Unidade</v>
      </c>
      <c r="C25" s="197">
        <v>1</v>
      </c>
      <c r="D25" s="198">
        <v>27.65</v>
      </c>
      <c r="E25" s="207">
        <f t="shared" si="0"/>
        <v>27.65</v>
      </c>
    </row>
    <row r="26" spans="1:5">
      <c r="A26" s="206" t="s">
        <v>425</v>
      </c>
      <c r="B26" s="197" t="s">
        <v>403</v>
      </c>
      <c r="C26" s="197">
        <v>1</v>
      </c>
      <c r="D26" s="198">
        <v>49.9</v>
      </c>
      <c r="E26" s="207">
        <f t="shared" si="0"/>
        <v>49.9</v>
      </c>
    </row>
    <row r="27" spans="1:5">
      <c r="A27" s="206" t="s">
        <v>426</v>
      </c>
      <c r="B27" s="197" t="s">
        <v>403</v>
      </c>
      <c r="C27" s="197">
        <v>1</v>
      </c>
      <c r="D27" s="198">
        <v>14.27</v>
      </c>
      <c r="E27" s="208">
        <f t="shared" si="0"/>
        <v>14.27</v>
      </c>
    </row>
    <row r="28" spans="1:5">
      <c r="A28" s="206" t="s">
        <v>427</v>
      </c>
      <c r="B28" s="197" t="s">
        <v>403</v>
      </c>
      <c r="C28" s="197">
        <v>1</v>
      </c>
      <c r="D28" s="198">
        <v>16.829999999999998</v>
      </c>
      <c r="E28" s="208">
        <f t="shared" si="0"/>
        <v>16.829999999999998</v>
      </c>
    </row>
    <row r="29" spans="1:5">
      <c r="A29" s="206" t="s">
        <v>428</v>
      </c>
      <c r="B29" s="197" t="s">
        <v>403</v>
      </c>
      <c r="C29" s="197">
        <v>1</v>
      </c>
      <c r="D29" s="198">
        <v>36.380000000000003</v>
      </c>
      <c r="E29" s="208">
        <f t="shared" si="0"/>
        <v>36.380000000000003</v>
      </c>
    </row>
    <row r="30" spans="1:5" ht="15.75" thickBot="1">
      <c r="A30" s="549" t="s">
        <v>7</v>
      </c>
      <c r="B30" s="550"/>
      <c r="C30" s="550"/>
      <c r="D30" s="550"/>
      <c r="E30" s="209">
        <f>SUM(E10:E29)</f>
        <v>2301.2500000000009</v>
      </c>
    </row>
    <row r="31" spans="1:5">
      <c r="A31" s="210"/>
    </row>
    <row r="32" spans="1:5">
      <c r="A32" s="210"/>
    </row>
    <row r="33" spans="1:5" ht="15.75" thickBot="1">
      <c r="A33" s="211" t="s">
        <v>429</v>
      </c>
    </row>
    <row r="34" spans="1:5">
      <c r="A34" s="203" t="s">
        <v>402</v>
      </c>
      <c r="B34" s="204" t="s">
        <v>403</v>
      </c>
      <c r="C34" s="204" t="s">
        <v>404</v>
      </c>
      <c r="D34" s="204" t="s">
        <v>405</v>
      </c>
      <c r="E34" s="205" t="s">
        <v>406</v>
      </c>
    </row>
    <row r="35" spans="1:5">
      <c r="A35" s="196" t="s">
        <v>430</v>
      </c>
      <c r="B35" s="197" t="s">
        <v>403</v>
      </c>
      <c r="C35" s="197">
        <v>1</v>
      </c>
      <c r="D35" s="198">
        <v>373.92</v>
      </c>
      <c r="E35" s="199">
        <f t="shared" ref="E35:E53" si="2">D35*C35</f>
        <v>373.92</v>
      </c>
    </row>
    <row r="36" spans="1:5">
      <c r="A36" s="196" t="s">
        <v>431</v>
      </c>
      <c r="B36" s="197" t="s">
        <v>403</v>
      </c>
      <c r="C36" s="197">
        <v>5</v>
      </c>
      <c r="D36" s="198">
        <v>4</v>
      </c>
      <c r="E36" s="199">
        <f t="shared" si="2"/>
        <v>20</v>
      </c>
    </row>
    <row r="37" spans="1:5">
      <c r="A37" s="196" t="s">
        <v>412</v>
      </c>
      <c r="B37" s="197" t="s">
        <v>403</v>
      </c>
      <c r="C37" s="197">
        <v>5</v>
      </c>
      <c r="D37" s="198">
        <v>14.96</v>
      </c>
      <c r="E37" s="199">
        <f t="shared" si="2"/>
        <v>74.800000000000011</v>
      </c>
    </row>
    <row r="38" spans="1:5">
      <c r="A38" s="196" t="s">
        <v>413</v>
      </c>
      <c r="B38" s="197" t="s">
        <v>403</v>
      </c>
      <c r="C38" s="197">
        <v>1</v>
      </c>
      <c r="D38" s="198">
        <v>107.35</v>
      </c>
      <c r="E38" s="199">
        <f t="shared" si="2"/>
        <v>107.35</v>
      </c>
    </row>
    <row r="39" spans="1:5">
      <c r="A39" s="196" t="s">
        <v>414</v>
      </c>
      <c r="B39" s="197" t="s">
        <v>403</v>
      </c>
      <c r="C39" s="197">
        <v>1</v>
      </c>
      <c r="D39" s="198">
        <v>31.13</v>
      </c>
      <c r="E39" s="199">
        <f t="shared" si="2"/>
        <v>31.13</v>
      </c>
    </row>
    <row r="40" spans="1:5">
      <c r="A40" s="196" t="s">
        <v>415</v>
      </c>
      <c r="B40" s="197" t="s">
        <v>403</v>
      </c>
      <c r="C40" s="197">
        <v>1</v>
      </c>
      <c r="D40" s="198">
        <v>36.799999999999997</v>
      </c>
      <c r="E40" s="199">
        <f t="shared" si="2"/>
        <v>36.799999999999997</v>
      </c>
    </row>
    <row r="41" spans="1:5">
      <c r="A41" s="196" t="s">
        <v>416</v>
      </c>
      <c r="B41" s="197" t="s">
        <v>403</v>
      </c>
      <c r="C41" s="197">
        <v>1</v>
      </c>
      <c r="D41" s="198">
        <v>11.94</v>
      </c>
      <c r="E41" s="199">
        <f t="shared" si="2"/>
        <v>11.94</v>
      </c>
    </row>
    <row r="42" spans="1:5">
      <c r="A42" s="196" t="s">
        <v>432</v>
      </c>
      <c r="B42" s="197" t="s">
        <v>403</v>
      </c>
      <c r="C42" s="197">
        <v>1</v>
      </c>
      <c r="D42" s="198">
        <v>12.24</v>
      </c>
      <c r="E42" s="199">
        <f t="shared" si="2"/>
        <v>12.24</v>
      </c>
    </row>
    <row r="43" spans="1:5">
      <c r="A43" s="196" t="s">
        <v>433</v>
      </c>
      <c r="B43" s="197" t="s">
        <v>403</v>
      </c>
      <c r="C43" s="197">
        <v>1</v>
      </c>
      <c r="D43" s="198">
        <v>14</v>
      </c>
      <c r="E43" s="199">
        <f t="shared" si="2"/>
        <v>14</v>
      </c>
    </row>
    <row r="44" spans="1:5">
      <c r="A44" s="196" t="s">
        <v>419</v>
      </c>
      <c r="B44" s="197" t="s">
        <v>403</v>
      </c>
      <c r="C44" s="197">
        <v>1</v>
      </c>
      <c r="D44" s="198">
        <v>10.75</v>
      </c>
      <c r="E44" s="199">
        <f t="shared" si="2"/>
        <v>10.75</v>
      </c>
    </row>
    <row r="45" spans="1:5">
      <c r="A45" s="196" t="s">
        <v>420</v>
      </c>
      <c r="B45" s="197" t="s">
        <v>403</v>
      </c>
      <c r="C45" s="197">
        <v>1</v>
      </c>
      <c r="D45" s="198">
        <v>99</v>
      </c>
      <c r="E45" s="199">
        <f t="shared" si="2"/>
        <v>99</v>
      </c>
    </row>
    <row r="46" spans="1:5">
      <c r="A46" s="196" t="s">
        <v>434</v>
      </c>
      <c r="B46" s="197" t="s">
        <v>403</v>
      </c>
      <c r="C46" s="197">
        <v>2</v>
      </c>
      <c r="D46" s="198">
        <v>4.38</v>
      </c>
      <c r="E46" s="199">
        <f t="shared" si="2"/>
        <v>8.76</v>
      </c>
    </row>
    <row r="47" spans="1:5">
      <c r="A47" s="196" t="s">
        <v>435</v>
      </c>
      <c r="B47" s="197" t="s">
        <v>403</v>
      </c>
      <c r="C47" s="197">
        <v>1</v>
      </c>
      <c r="D47" s="198">
        <v>15.36</v>
      </c>
      <c r="E47" s="199">
        <f t="shared" si="2"/>
        <v>15.36</v>
      </c>
    </row>
    <row r="48" spans="1:5">
      <c r="A48" s="196" t="s">
        <v>436</v>
      </c>
      <c r="B48" s="197" t="s">
        <v>403</v>
      </c>
      <c r="C48" s="197">
        <v>1</v>
      </c>
      <c r="D48" s="198">
        <v>17.420000000000002</v>
      </c>
      <c r="E48" s="199">
        <f t="shared" si="2"/>
        <v>17.420000000000002</v>
      </c>
    </row>
    <row r="49" spans="1:5">
      <c r="A49" s="196" t="s">
        <v>424</v>
      </c>
      <c r="B49" s="197" t="s">
        <v>403</v>
      </c>
      <c r="C49" s="197">
        <v>1</v>
      </c>
      <c r="D49" s="198">
        <v>27.65</v>
      </c>
      <c r="E49" s="199">
        <f t="shared" si="2"/>
        <v>27.65</v>
      </c>
    </row>
    <row r="50" spans="1:5">
      <c r="A50" s="196" t="s">
        <v>437</v>
      </c>
      <c r="B50" s="197" t="s">
        <v>403</v>
      </c>
      <c r="C50" s="197">
        <v>1</v>
      </c>
      <c r="D50" s="198">
        <v>49.9</v>
      </c>
      <c r="E50" s="199">
        <f t="shared" si="2"/>
        <v>49.9</v>
      </c>
    </row>
    <row r="51" spans="1:5">
      <c r="A51" s="196" t="s">
        <v>438</v>
      </c>
      <c r="B51" s="197" t="s">
        <v>403</v>
      </c>
      <c r="C51" s="197">
        <v>1</v>
      </c>
      <c r="D51" s="198">
        <v>14.27</v>
      </c>
      <c r="E51" s="199">
        <f t="shared" si="2"/>
        <v>14.27</v>
      </c>
    </row>
    <row r="52" spans="1:5">
      <c r="A52" s="196" t="s">
        <v>427</v>
      </c>
      <c r="B52" s="197" t="s">
        <v>403</v>
      </c>
      <c r="C52" s="197">
        <v>1</v>
      </c>
      <c r="D52" s="198">
        <v>16.829999999999998</v>
      </c>
      <c r="E52" s="199">
        <f t="shared" si="2"/>
        <v>16.829999999999998</v>
      </c>
    </row>
    <row r="53" spans="1:5">
      <c r="A53" s="196" t="s">
        <v>439</v>
      </c>
      <c r="B53" s="197" t="s">
        <v>403</v>
      </c>
      <c r="C53" s="197">
        <v>1</v>
      </c>
      <c r="D53" s="198">
        <v>36.380000000000003</v>
      </c>
      <c r="E53" s="199">
        <f t="shared" si="2"/>
        <v>36.380000000000003</v>
      </c>
    </row>
    <row r="54" spans="1:5" ht="15.75" thickBot="1">
      <c r="A54" s="549" t="s">
        <v>7</v>
      </c>
      <c r="B54" s="550"/>
      <c r="C54" s="550"/>
      <c r="D54" s="550"/>
      <c r="E54" s="200">
        <f>SUM(E35:E53)</f>
        <v>978.5</v>
      </c>
    </row>
    <row r="55" spans="1:5">
      <c r="A55" s="212"/>
      <c r="B55" s="213"/>
      <c r="C55" s="213"/>
      <c r="D55" s="214"/>
      <c r="E55" s="214"/>
    </row>
    <row r="56" spans="1:5" ht="15.75" thickBot="1">
      <c r="A56" s="215" t="s">
        <v>440</v>
      </c>
      <c r="B56" s="216"/>
      <c r="C56" s="216"/>
      <c r="D56" s="217"/>
      <c r="E56" s="217"/>
    </row>
    <row r="57" spans="1:5">
      <c r="A57" s="203" t="s">
        <v>441</v>
      </c>
      <c r="B57" s="204" t="s">
        <v>403</v>
      </c>
      <c r="C57" s="204" t="s">
        <v>404</v>
      </c>
      <c r="D57" s="218" t="s">
        <v>405</v>
      </c>
      <c r="E57" s="219" t="s">
        <v>442</v>
      </c>
    </row>
    <row r="58" spans="1:5">
      <c r="A58" s="196" t="s">
        <v>443</v>
      </c>
      <c r="B58" s="197" t="s">
        <v>444</v>
      </c>
      <c r="C58" s="197">
        <v>2</v>
      </c>
      <c r="D58" s="198">
        <v>17.600000000000001</v>
      </c>
      <c r="E58" s="199">
        <f>D58*C58</f>
        <v>35.200000000000003</v>
      </c>
    </row>
    <row r="59" spans="1:5">
      <c r="A59" s="196" t="s">
        <v>445</v>
      </c>
      <c r="B59" s="197" t="s">
        <v>446</v>
      </c>
      <c r="C59" s="197">
        <v>1</v>
      </c>
      <c r="D59" s="198">
        <v>59.4</v>
      </c>
      <c r="E59" s="199">
        <f>D59*C59</f>
        <v>59.4</v>
      </c>
    </row>
    <row r="60" spans="1:5">
      <c r="A60" s="196" t="s">
        <v>447</v>
      </c>
      <c r="B60" s="197" t="s">
        <v>403</v>
      </c>
      <c r="C60" s="197">
        <v>30</v>
      </c>
      <c r="D60" s="198">
        <v>3.74</v>
      </c>
      <c r="E60" s="199">
        <f>D60*C60</f>
        <v>112.2</v>
      </c>
    </row>
    <row r="61" spans="1:5" ht="15.75" thickBot="1">
      <c r="A61" s="549" t="s">
        <v>7</v>
      </c>
      <c r="B61" s="550"/>
      <c r="C61" s="550"/>
      <c r="D61" s="550"/>
      <c r="E61" s="200">
        <f>SUM(E58:E60)</f>
        <v>206.8</v>
      </c>
    </row>
    <row r="62" spans="1:5">
      <c r="A62" s="212"/>
      <c r="B62" s="213"/>
      <c r="C62" s="213"/>
      <c r="D62" s="214"/>
      <c r="E62" s="214"/>
    </row>
    <row r="63" spans="1:5" ht="15.75" thickBot="1">
      <c r="A63" s="548" t="s">
        <v>21</v>
      </c>
      <c r="B63" s="548"/>
      <c r="C63" s="548"/>
      <c r="D63" s="548"/>
      <c r="E63" s="548"/>
    </row>
    <row r="64" spans="1:5">
      <c r="A64" s="220" t="s">
        <v>14</v>
      </c>
      <c r="B64" s="204" t="s">
        <v>404</v>
      </c>
      <c r="C64" s="218" t="s">
        <v>3</v>
      </c>
      <c r="D64" s="219" t="s">
        <v>5</v>
      </c>
      <c r="E64" s="217"/>
    </row>
    <row r="65" spans="1:5">
      <c r="A65" s="196" t="s">
        <v>448</v>
      </c>
      <c r="B65" s="197">
        <v>1</v>
      </c>
      <c r="C65" s="221">
        <v>23.92</v>
      </c>
      <c r="D65" s="222">
        <f>C65*B65</f>
        <v>23.92</v>
      </c>
      <c r="E65" s="214"/>
    </row>
    <row r="66" spans="1:5">
      <c r="A66" s="196" t="s">
        <v>449</v>
      </c>
      <c r="B66" s="197">
        <v>1</v>
      </c>
      <c r="C66" s="198">
        <v>41.93</v>
      </c>
      <c r="D66" s="222">
        <f t="shared" ref="D66:D127" si="3">C66*B66</f>
        <v>41.93</v>
      </c>
      <c r="E66" s="214"/>
    </row>
    <row r="67" spans="1:5">
      <c r="A67" s="196" t="s">
        <v>450</v>
      </c>
      <c r="B67" s="197">
        <v>1</v>
      </c>
      <c r="C67" s="198">
        <v>30.43</v>
      </c>
      <c r="D67" s="222">
        <f t="shared" si="3"/>
        <v>30.43</v>
      </c>
      <c r="E67" s="214"/>
    </row>
    <row r="68" spans="1:5">
      <c r="A68" s="196" t="s">
        <v>451</v>
      </c>
      <c r="B68" s="197">
        <v>1</v>
      </c>
      <c r="C68" s="198">
        <v>29.95</v>
      </c>
      <c r="D68" s="222">
        <f t="shared" si="3"/>
        <v>29.95</v>
      </c>
      <c r="E68" s="214"/>
    </row>
    <row r="69" spans="1:5">
      <c r="A69" s="196" t="s">
        <v>452</v>
      </c>
      <c r="B69" s="197">
        <v>1</v>
      </c>
      <c r="C69" s="198">
        <v>29.56</v>
      </c>
      <c r="D69" s="222">
        <f t="shared" si="3"/>
        <v>29.56</v>
      </c>
      <c r="E69" s="214"/>
    </row>
    <row r="70" spans="1:5">
      <c r="A70" s="196" t="s">
        <v>453</v>
      </c>
      <c r="B70" s="197">
        <v>1</v>
      </c>
      <c r="C70" s="198">
        <v>28.58</v>
      </c>
      <c r="D70" s="222">
        <f t="shared" si="3"/>
        <v>28.58</v>
      </c>
      <c r="E70" s="214"/>
    </row>
    <row r="71" spans="1:5">
      <c r="A71" s="196" t="s">
        <v>454</v>
      </c>
      <c r="B71" s="197">
        <v>1</v>
      </c>
      <c r="C71" s="198">
        <v>98.97</v>
      </c>
      <c r="D71" s="222">
        <f t="shared" si="3"/>
        <v>98.97</v>
      </c>
      <c r="E71" s="214"/>
    </row>
    <row r="72" spans="1:5">
      <c r="A72" s="196" t="s">
        <v>455</v>
      </c>
      <c r="B72" s="197">
        <v>1</v>
      </c>
      <c r="C72" s="198">
        <v>28.38</v>
      </c>
      <c r="D72" s="222">
        <f t="shared" si="3"/>
        <v>28.38</v>
      </c>
      <c r="E72" s="214"/>
    </row>
    <row r="73" spans="1:5">
      <c r="A73" s="196" t="s">
        <v>456</v>
      </c>
      <c r="B73" s="197">
        <v>1</v>
      </c>
      <c r="C73" s="198">
        <v>32.49</v>
      </c>
      <c r="D73" s="222">
        <f t="shared" si="3"/>
        <v>32.49</v>
      </c>
      <c r="E73" s="214"/>
    </row>
    <row r="74" spans="1:5">
      <c r="A74" s="196" t="s">
        <v>457</v>
      </c>
      <c r="B74" s="197">
        <v>1</v>
      </c>
      <c r="C74" s="198">
        <v>50.14</v>
      </c>
      <c r="D74" s="222">
        <f t="shared" si="3"/>
        <v>50.14</v>
      </c>
      <c r="E74" s="214"/>
    </row>
    <row r="75" spans="1:5">
      <c r="A75" s="196" t="s">
        <v>458</v>
      </c>
      <c r="B75" s="197">
        <v>1</v>
      </c>
      <c r="C75" s="198">
        <v>34.119999999999997</v>
      </c>
      <c r="D75" s="222">
        <f t="shared" si="3"/>
        <v>34.119999999999997</v>
      </c>
      <c r="E75" s="214"/>
    </row>
    <row r="76" spans="1:5">
      <c r="A76" s="196" t="s">
        <v>459</v>
      </c>
      <c r="B76" s="197">
        <v>1</v>
      </c>
      <c r="C76" s="198">
        <v>24.51</v>
      </c>
      <c r="D76" s="222">
        <f t="shared" si="3"/>
        <v>24.51</v>
      </c>
      <c r="E76" s="214"/>
    </row>
    <row r="77" spans="1:5">
      <c r="A77" s="196" t="s">
        <v>460</v>
      </c>
      <c r="B77" s="197">
        <v>1</v>
      </c>
      <c r="C77" s="198">
        <v>347.2</v>
      </c>
      <c r="D77" s="222">
        <f t="shared" si="3"/>
        <v>347.2</v>
      </c>
      <c r="E77" s="214"/>
    </row>
    <row r="78" spans="1:5">
      <c r="A78" s="196" t="s">
        <v>461</v>
      </c>
      <c r="B78" s="197">
        <v>1</v>
      </c>
      <c r="C78" s="198">
        <v>29.45</v>
      </c>
      <c r="D78" s="222">
        <f t="shared" si="3"/>
        <v>29.45</v>
      </c>
      <c r="E78" s="214"/>
    </row>
    <row r="79" spans="1:5">
      <c r="A79" s="196" t="s">
        <v>462</v>
      </c>
      <c r="B79" s="197">
        <v>1</v>
      </c>
      <c r="C79" s="198">
        <v>329</v>
      </c>
      <c r="D79" s="222">
        <f t="shared" si="3"/>
        <v>329</v>
      </c>
      <c r="E79" s="214"/>
    </row>
    <row r="80" spans="1:5">
      <c r="A80" s="196" t="s">
        <v>463</v>
      </c>
      <c r="B80" s="197">
        <v>2</v>
      </c>
      <c r="C80" s="198">
        <v>7.32</v>
      </c>
      <c r="D80" s="222">
        <f t="shared" si="3"/>
        <v>14.64</v>
      </c>
      <c r="E80" s="214"/>
    </row>
    <row r="81" spans="1:5">
      <c r="A81" s="196" t="s">
        <v>464</v>
      </c>
      <c r="B81" s="197">
        <v>1</v>
      </c>
      <c r="C81" s="198">
        <v>18.05</v>
      </c>
      <c r="D81" s="222">
        <f t="shared" si="3"/>
        <v>18.05</v>
      </c>
      <c r="E81" s="214"/>
    </row>
    <row r="82" spans="1:5">
      <c r="A82" s="196" t="s">
        <v>413</v>
      </c>
      <c r="B82" s="197">
        <v>1</v>
      </c>
      <c r="C82" s="198">
        <v>115.23</v>
      </c>
      <c r="D82" s="222">
        <f t="shared" si="3"/>
        <v>115.23</v>
      </c>
      <c r="E82" s="214"/>
    </row>
    <row r="83" spans="1:5">
      <c r="A83" s="196" t="s">
        <v>465</v>
      </c>
      <c r="B83" s="197">
        <v>1</v>
      </c>
      <c r="C83" s="198">
        <v>44.52</v>
      </c>
      <c r="D83" s="222">
        <f t="shared" si="3"/>
        <v>44.52</v>
      </c>
      <c r="E83" s="214"/>
    </row>
    <row r="84" spans="1:5">
      <c r="A84" s="196" t="s">
        <v>466</v>
      </c>
      <c r="B84" s="197">
        <v>1</v>
      </c>
      <c r="C84" s="198">
        <v>5.36</v>
      </c>
      <c r="D84" s="222">
        <f t="shared" si="3"/>
        <v>5.36</v>
      </c>
      <c r="E84" s="214"/>
    </row>
    <row r="85" spans="1:5">
      <c r="A85" s="196" t="s">
        <v>467</v>
      </c>
      <c r="B85" s="197">
        <v>1</v>
      </c>
      <c r="C85" s="198">
        <v>3.7</v>
      </c>
      <c r="D85" s="222">
        <f t="shared" si="3"/>
        <v>3.7</v>
      </c>
      <c r="E85" s="214"/>
    </row>
    <row r="86" spans="1:5">
      <c r="A86" s="196" t="s">
        <v>468</v>
      </c>
      <c r="B86" s="197">
        <v>1</v>
      </c>
      <c r="C86" s="198">
        <v>2.0299999999999998</v>
      </c>
      <c r="D86" s="222">
        <f t="shared" si="3"/>
        <v>2.0299999999999998</v>
      </c>
      <c r="E86" s="214"/>
    </row>
    <row r="87" spans="1:5">
      <c r="A87" s="196" t="s">
        <v>469</v>
      </c>
      <c r="B87" s="197">
        <v>1</v>
      </c>
      <c r="C87" s="198">
        <v>3.02</v>
      </c>
      <c r="D87" s="222">
        <f t="shared" si="3"/>
        <v>3.02</v>
      </c>
      <c r="E87" s="214"/>
    </row>
    <row r="88" spans="1:5">
      <c r="A88" s="196" t="s">
        <v>470</v>
      </c>
      <c r="B88" s="197">
        <v>1</v>
      </c>
      <c r="C88" s="198">
        <v>2.95</v>
      </c>
      <c r="D88" s="222">
        <f t="shared" si="3"/>
        <v>2.95</v>
      </c>
      <c r="E88" s="214"/>
    </row>
    <row r="89" spans="1:5">
      <c r="A89" s="196" t="s">
        <v>471</v>
      </c>
      <c r="B89" s="197">
        <v>1</v>
      </c>
      <c r="C89" s="198">
        <v>3.96</v>
      </c>
      <c r="D89" s="222">
        <f t="shared" si="3"/>
        <v>3.96</v>
      </c>
      <c r="E89" s="214"/>
    </row>
    <row r="90" spans="1:5">
      <c r="A90" s="196" t="s">
        <v>472</v>
      </c>
      <c r="B90" s="197">
        <v>1</v>
      </c>
      <c r="C90" s="198">
        <v>33.630000000000003</v>
      </c>
      <c r="D90" s="222">
        <f t="shared" si="3"/>
        <v>33.630000000000003</v>
      </c>
      <c r="E90" s="214"/>
    </row>
    <row r="91" spans="1:5">
      <c r="A91" s="196" t="s">
        <v>473</v>
      </c>
      <c r="B91" s="197">
        <v>1</v>
      </c>
      <c r="C91" s="198">
        <v>34.369999999999997</v>
      </c>
      <c r="D91" s="222">
        <f t="shared" si="3"/>
        <v>34.369999999999997</v>
      </c>
      <c r="E91" s="214"/>
    </row>
    <row r="92" spans="1:5">
      <c r="A92" s="196" t="s">
        <v>474</v>
      </c>
      <c r="B92" s="197">
        <v>2</v>
      </c>
      <c r="C92" s="198">
        <v>8.51</v>
      </c>
      <c r="D92" s="222">
        <f t="shared" si="3"/>
        <v>17.02</v>
      </c>
      <c r="E92" s="214"/>
    </row>
    <row r="93" spans="1:5">
      <c r="A93" s="196" t="s">
        <v>475</v>
      </c>
      <c r="B93" s="197">
        <v>2</v>
      </c>
      <c r="C93" s="198">
        <v>16.59</v>
      </c>
      <c r="D93" s="222">
        <f t="shared" si="3"/>
        <v>33.18</v>
      </c>
      <c r="E93" s="214"/>
    </row>
    <row r="94" spans="1:5">
      <c r="A94" s="196" t="s">
        <v>476</v>
      </c>
      <c r="B94" s="197">
        <v>1</v>
      </c>
      <c r="C94" s="198">
        <v>20.55</v>
      </c>
      <c r="D94" s="222">
        <f t="shared" si="3"/>
        <v>20.55</v>
      </c>
      <c r="E94" s="214"/>
    </row>
    <row r="95" spans="1:5">
      <c r="A95" s="196" t="s">
        <v>477</v>
      </c>
      <c r="B95" s="197">
        <v>1</v>
      </c>
      <c r="C95" s="198">
        <v>96.55</v>
      </c>
      <c r="D95" s="222">
        <f t="shared" si="3"/>
        <v>96.55</v>
      </c>
      <c r="E95" s="214"/>
    </row>
    <row r="96" spans="1:5">
      <c r="A96" s="196" t="s">
        <v>478</v>
      </c>
      <c r="B96" s="197">
        <v>1</v>
      </c>
      <c r="C96" s="198">
        <v>36.6</v>
      </c>
      <c r="D96" s="222">
        <f t="shared" si="3"/>
        <v>36.6</v>
      </c>
      <c r="E96" s="214"/>
    </row>
    <row r="97" spans="1:5">
      <c r="A97" s="196" t="s">
        <v>479</v>
      </c>
      <c r="B97" s="197">
        <v>2</v>
      </c>
      <c r="C97" s="198">
        <v>9.83</v>
      </c>
      <c r="D97" s="222">
        <f t="shared" si="3"/>
        <v>19.66</v>
      </c>
      <c r="E97" s="214"/>
    </row>
    <row r="98" spans="1:5">
      <c r="A98" s="196" t="s">
        <v>480</v>
      </c>
      <c r="B98" s="197">
        <v>1</v>
      </c>
      <c r="C98" s="198">
        <v>160.94</v>
      </c>
      <c r="D98" s="222">
        <f t="shared" si="3"/>
        <v>160.94</v>
      </c>
      <c r="E98" s="214"/>
    </row>
    <row r="99" spans="1:5">
      <c r="A99" s="196" t="s">
        <v>481</v>
      </c>
      <c r="B99" s="197">
        <v>2</v>
      </c>
      <c r="C99" s="198">
        <v>3.77</v>
      </c>
      <c r="D99" s="222">
        <f t="shared" si="3"/>
        <v>7.54</v>
      </c>
      <c r="E99" s="214"/>
    </row>
    <row r="100" spans="1:5">
      <c r="A100" s="196" t="s">
        <v>482</v>
      </c>
      <c r="B100" s="197">
        <v>1</v>
      </c>
      <c r="C100" s="198">
        <v>12.59</v>
      </c>
      <c r="D100" s="222">
        <f t="shared" si="3"/>
        <v>12.59</v>
      </c>
      <c r="E100" s="214"/>
    </row>
    <row r="101" spans="1:5">
      <c r="A101" s="196" t="s">
        <v>483</v>
      </c>
      <c r="B101" s="197">
        <v>1</v>
      </c>
      <c r="C101" s="198">
        <v>16.68</v>
      </c>
      <c r="D101" s="222">
        <f t="shared" si="3"/>
        <v>16.68</v>
      </c>
      <c r="E101" s="214"/>
    </row>
    <row r="102" spans="1:5">
      <c r="A102" s="196" t="s">
        <v>484</v>
      </c>
      <c r="B102" s="197">
        <v>1</v>
      </c>
      <c r="C102" s="198">
        <v>10.07</v>
      </c>
      <c r="D102" s="222">
        <f t="shared" si="3"/>
        <v>10.07</v>
      </c>
      <c r="E102" s="214"/>
    </row>
    <row r="103" spans="1:5">
      <c r="A103" s="196" t="s">
        <v>485</v>
      </c>
      <c r="B103" s="197">
        <v>1</v>
      </c>
      <c r="C103" s="198">
        <v>262.33</v>
      </c>
      <c r="D103" s="222">
        <f t="shared" si="3"/>
        <v>262.33</v>
      </c>
      <c r="E103" s="214"/>
    </row>
    <row r="104" spans="1:5">
      <c r="A104" s="196" t="s">
        <v>486</v>
      </c>
      <c r="B104" s="197">
        <v>2</v>
      </c>
      <c r="C104" s="198">
        <v>45.62</v>
      </c>
      <c r="D104" s="222">
        <f t="shared" si="3"/>
        <v>91.24</v>
      </c>
      <c r="E104" s="214"/>
    </row>
    <row r="105" spans="1:5">
      <c r="A105" s="196" t="s">
        <v>487</v>
      </c>
      <c r="B105" s="197">
        <v>1</v>
      </c>
      <c r="C105" s="198">
        <v>100.71</v>
      </c>
      <c r="D105" s="222">
        <f t="shared" si="3"/>
        <v>100.71</v>
      </c>
      <c r="E105" s="214"/>
    </row>
    <row r="106" spans="1:5">
      <c r="A106" s="196" t="s">
        <v>488</v>
      </c>
      <c r="B106" s="197">
        <v>1</v>
      </c>
      <c r="C106" s="198">
        <v>19.11</v>
      </c>
      <c r="D106" s="222">
        <f t="shared" si="3"/>
        <v>19.11</v>
      </c>
      <c r="E106" s="213"/>
    </row>
    <row r="107" spans="1:5">
      <c r="A107" s="196" t="s">
        <v>489</v>
      </c>
      <c r="B107" s="197">
        <v>1</v>
      </c>
      <c r="C107" s="198">
        <v>89.81</v>
      </c>
      <c r="D107" s="222">
        <f t="shared" si="3"/>
        <v>89.81</v>
      </c>
      <c r="E107" s="213"/>
    </row>
    <row r="108" spans="1:5">
      <c r="A108" s="196" t="s">
        <v>490</v>
      </c>
      <c r="B108" s="197">
        <v>1</v>
      </c>
      <c r="C108" s="198">
        <v>17.23</v>
      </c>
      <c r="D108" s="222">
        <f t="shared" si="3"/>
        <v>17.23</v>
      </c>
      <c r="E108" s="213"/>
    </row>
    <row r="109" spans="1:5">
      <c r="A109" s="196" t="s">
        <v>491</v>
      </c>
      <c r="B109" s="197">
        <v>2</v>
      </c>
      <c r="C109" s="198">
        <v>49</v>
      </c>
      <c r="D109" s="222">
        <f t="shared" si="3"/>
        <v>98</v>
      </c>
      <c r="E109" s="213"/>
    </row>
    <row r="110" spans="1:5">
      <c r="A110" s="196" t="s">
        <v>492</v>
      </c>
      <c r="B110" s="197">
        <v>1</v>
      </c>
      <c r="C110" s="198">
        <v>2.76</v>
      </c>
      <c r="D110" s="222">
        <f t="shared" si="3"/>
        <v>2.76</v>
      </c>
      <c r="E110" s="213"/>
    </row>
    <row r="111" spans="1:5">
      <c r="A111" s="196" t="s">
        <v>493</v>
      </c>
      <c r="B111" s="197">
        <v>1</v>
      </c>
      <c r="C111" s="198">
        <v>732.41</v>
      </c>
      <c r="D111" s="222">
        <f t="shared" si="3"/>
        <v>732.41</v>
      </c>
      <c r="E111" s="213"/>
    </row>
    <row r="112" spans="1:5">
      <c r="A112" s="196" t="s">
        <v>494</v>
      </c>
      <c r="B112" s="197">
        <v>1</v>
      </c>
      <c r="C112" s="198">
        <v>2022.86</v>
      </c>
      <c r="D112" s="222">
        <f t="shared" si="3"/>
        <v>2022.86</v>
      </c>
      <c r="E112" s="213"/>
    </row>
    <row r="113" spans="1:5">
      <c r="A113" s="196" t="s">
        <v>495</v>
      </c>
      <c r="B113" s="197">
        <v>2</v>
      </c>
      <c r="C113" s="198">
        <v>27.85</v>
      </c>
      <c r="D113" s="222">
        <f t="shared" si="3"/>
        <v>55.7</v>
      </c>
      <c r="E113" s="213"/>
    </row>
    <row r="114" spans="1:5">
      <c r="A114" s="196" t="s">
        <v>496</v>
      </c>
      <c r="B114" s="197">
        <v>1</v>
      </c>
      <c r="C114" s="198">
        <v>19.079999999999998</v>
      </c>
      <c r="D114" s="222">
        <f t="shared" si="3"/>
        <v>19.079999999999998</v>
      </c>
      <c r="E114" s="213"/>
    </row>
    <row r="115" spans="1:5">
      <c r="A115" s="196" t="s">
        <v>497</v>
      </c>
      <c r="B115" s="197">
        <v>5</v>
      </c>
      <c r="C115" s="198">
        <v>7.7</v>
      </c>
      <c r="D115" s="222">
        <f t="shared" si="3"/>
        <v>38.5</v>
      </c>
      <c r="E115" s="213"/>
    </row>
    <row r="116" spans="1:5">
      <c r="A116" s="196" t="s">
        <v>498</v>
      </c>
      <c r="B116" s="197">
        <v>1</v>
      </c>
      <c r="C116" s="198">
        <v>33.58</v>
      </c>
      <c r="D116" s="222">
        <f t="shared" si="3"/>
        <v>33.58</v>
      </c>
      <c r="E116" s="213"/>
    </row>
    <row r="117" spans="1:5">
      <c r="A117" s="196" t="s">
        <v>499</v>
      </c>
      <c r="B117" s="197">
        <v>5</v>
      </c>
      <c r="C117" s="198">
        <v>11.36</v>
      </c>
      <c r="D117" s="222">
        <f t="shared" si="3"/>
        <v>56.8</v>
      </c>
      <c r="E117" s="213"/>
    </row>
    <row r="118" spans="1:5">
      <c r="A118" s="196" t="s">
        <v>500</v>
      </c>
      <c r="B118" s="197">
        <v>2</v>
      </c>
      <c r="C118" s="198">
        <v>38</v>
      </c>
      <c r="D118" s="222">
        <f t="shared" si="3"/>
        <v>76</v>
      </c>
      <c r="E118" s="213"/>
    </row>
    <row r="119" spans="1:5">
      <c r="A119" s="196" t="s">
        <v>501</v>
      </c>
      <c r="B119" s="197">
        <v>1</v>
      </c>
      <c r="C119" s="198">
        <v>114.53</v>
      </c>
      <c r="D119" s="222">
        <f t="shared" si="3"/>
        <v>114.53</v>
      </c>
      <c r="E119" s="213"/>
    </row>
    <row r="120" spans="1:5">
      <c r="A120" s="196" t="s">
        <v>502</v>
      </c>
      <c r="B120" s="197">
        <v>1</v>
      </c>
      <c r="C120" s="198">
        <v>118</v>
      </c>
      <c r="D120" s="222">
        <f t="shared" si="3"/>
        <v>118</v>
      </c>
      <c r="E120" s="213"/>
    </row>
    <row r="121" spans="1:5">
      <c r="A121" s="196" t="s">
        <v>503</v>
      </c>
      <c r="B121" s="197">
        <v>1</v>
      </c>
      <c r="C121" s="198">
        <v>31.14</v>
      </c>
      <c r="D121" s="222">
        <f t="shared" si="3"/>
        <v>31.14</v>
      </c>
      <c r="E121" s="213"/>
    </row>
    <row r="122" spans="1:5">
      <c r="A122" s="196" t="s">
        <v>504</v>
      </c>
      <c r="B122" s="197">
        <v>1</v>
      </c>
      <c r="C122" s="198">
        <v>21.94</v>
      </c>
      <c r="D122" s="222">
        <f t="shared" si="3"/>
        <v>21.94</v>
      </c>
      <c r="E122" s="213"/>
    </row>
    <row r="123" spans="1:5">
      <c r="A123" s="196" t="s">
        <v>505</v>
      </c>
      <c r="B123" s="197">
        <v>1</v>
      </c>
      <c r="C123" s="198">
        <v>97.51</v>
      </c>
      <c r="D123" s="222">
        <f t="shared" si="3"/>
        <v>97.51</v>
      </c>
      <c r="E123" s="213"/>
    </row>
    <row r="124" spans="1:5">
      <c r="A124" s="196" t="s">
        <v>506</v>
      </c>
      <c r="B124" s="197">
        <v>5</v>
      </c>
      <c r="C124" s="198">
        <v>20.95</v>
      </c>
      <c r="D124" s="222">
        <f t="shared" si="3"/>
        <v>104.75</v>
      </c>
      <c r="E124" s="213"/>
    </row>
    <row r="125" spans="1:5">
      <c r="A125" s="196" t="s">
        <v>507</v>
      </c>
      <c r="B125" s="197">
        <v>1</v>
      </c>
      <c r="C125" s="198">
        <v>319.79000000000002</v>
      </c>
      <c r="D125" s="222">
        <f t="shared" si="3"/>
        <v>319.79000000000002</v>
      </c>
      <c r="E125" s="213"/>
    </row>
    <row r="126" spans="1:5">
      <c r="A126" s="196" t="s">
        <v>508</v>
      </c>
      <c r="B126" s="197">
        <v>2</v>
      </c>
      <c r="C126" s="198">
        <v>13.16</v>
      </c>
      <c r="D126" s="222">
        <f t="shared" si="3"/>
        <v>26.32</v>
      </c>
      <c r="E126" s="213"/>
    </row>
    <row r="127" spans="1:5">
      <c r="A127" s="196" t="s">
        <v>509</v>
      </c>
      <c r="B127" s="197">
        <v>2</v>
      </c>
      <c r="C127" s="198">
        <v>15.78</v>
      </c>
      <c r="D127" s="222">
        <f t="shared" si="3"/>
        <v>31.56</v>
      </c>
      <c r="E127" s="213"/>
    </row>
    <row r="128" spans="1:5" ht="15.75" thickBot="1">
      <c r="A128" s="549" t="s">
        <v>7</v>
      </c>
      <c r="B128" s="550"/>
      <c r="C128" s="550"/>
      <c r="D128" s="200">
        <f>SUM(D65:D127)</f>
        <v>6453.13</v>
      </c>
      <c r="E128" s="213"/>
    </row>
    <row r="129" spans="1:5">
      <c r="A129" s="212"/>
      <c r="B129" s="213"/>
      <c r="C129" s="214"/>
      <c r="D129" s="214"/>
      <c r="E129" s="213"/>
    </row>
    <row r="130" spans="1:5" ht="15.75" thickBot="1">
      <c r="A130" s="215" t="s">
        <v>510</v>
      </c>
      <c r="B130" s="216"/>
      <c r="C130" s="217"/>
      <c r="D130" s="217"/>
      <c r="E130" s="213"/>
    </row>
    <row r="131" spans="1:5">
      <c r="A131" s="203" t="s">
        <v>402</v>
      </c>
      <c r="B131" s="204" t="s">
        <v>404</v>
      </c>
      <c r="C131" s="218" t="s">
        <v>3</v>
      </c>
      <c r="D131" s="219" t="s">
        <v>5</v>
      </c>
      <c r="E131" s="213"/>
    </row>
    <row r="132" spans="1:5">
      <c r="A132" s="196" t="s">
        <v>23</v>
      </c>
      <c r="B132" s="197">
        <v>2</v>
      </c>
      <c r="C132" s="198">
        <v>29.75</v>
      </c>
      <c r="D132" s="199">
        <f>C132*B132</f>
        <v>59.5</v>
      </c>
      <c r="E132" s="213"/>
    </row>
    <row r="133" spans="1:5">
      <c r="A133" s="196" t="s">
        <v>511</v>
      </c>
      <c r="B133" s="197">
        <v>1</v>
      </c>
      <c r="C133" s="198">
        <v>10.5</v>
      </c>
      <c r="D133" s="199">
        <f>C133*B133</f>
        <v>10.5</v>
      </c>
      <c r="E133" s="213"/>
    </row>
    <row r="134" spans="1:5">
      <c r="A134" s="196" t="s">
        <v>512</v>
      </c>
      <c r="B134" s="197">
        <v>2</v>
      </c>
      <c r="C134" s="198">
        <v>4.68</v>
      </c>
      <c r="D134" s="199">
        <v>9.36</v>
      </c>
      <c r="E134" s="213"/>
    </row>
    <row r="135" spans="1:5">
      <c r="A135" s="196" t="s">
        <v>513</v>
      </c>
      <c r="B135" s="197">
        <v>2</v>
      </c>
      <c r="C135" s="198">
        <v>7.72</v>
      </c>
      <c r="D135" s="199">
        <f>C135*B135</f>
        <v>15.44</v>
      </c>
      <c r="E135" s="213"/>
    </row>
    <row r="136" spans="1:5">
      <c r="A136" s="196" t="s">
        <v>514</v>
      </c>
      <c r="B136" s="197">
        <v>1</v>
      </c>
      <c r="C136" s="198">
        <v>114.63</v>
      </c>
      <c r="D136" s="199">
        <f>C136*B136</f>
        <v>114.63</v>
      </c>
      <c r="E136" s="213"/>
    </row>
    <row r="137" spans="1:5">
      <c r="A137" s="196" t="s">
        <v>515</v>
      </c>
      <c r="B137" s="197">
        <v>1</v>
      </c>
      <c r="C137" s="198">
        <v>9.0399999999999991</v>
      </c>
      <c r="D137" s="199">
        <f>C137*B137</f>
        <v>9.0399999999999991</v>
      </c>
      <c r="E137" s="213"/>
    </row>
    <row r="138" spans="1:5">
      <c r="A138" s="196" t="s">
        <v>516</v>
      </c>
      <c r="B138" s="197">
        <v>1</v>
      </c>
      <c r="C138" s="198">
        <v>2.61</v>
      </c>
      <c r="D138" s="199">
        <f>C138*B138</f>
        <v>2.61</v>
      </c>
      <c r="E138" s="213"/>
    </row>
    <row r="139" spans="1:5">
      <c r="A139" s="551" t="s">
        <v>7</v>
      </c>
      <c r="B139" s="552"/>
      <c r="C139" s="552"/>
      <c r="D139" s="247">
        <f>SUM(D132:D138)</f>
        <v>221.08</v>
      </c>
      <c r="E139" s="213"/>
    </row>
    <row r="140" spans="1:5">
      <c r="A140" s="546" t="s">
        <v>557</v>
      </c>
      <c r="B140" s="547"/>
      <c r="C140" s="547"/>
      <c r="D140" s="248">
        <f>D139/12</f>
        <v>18.423333333333336</v>
      </c>
      <c r="E140" s="213"/>
    </row>
    <row r="141" spans="1:5">
      <c r="A141" s="212"/>
      <c r="B141" s="213"/>
      <c r="C141" s="214"/>
      <c r="D141" s="214"/>
      <c r="E141" s="213"/>
    </row>
    <row r="142" spans="1:5">
      <c r="A142" s="212"/>
      <c r="B142" s="213"/>
      <c r="C142" s="214"/>
      <c r="D142" s="214"/>
      <c r="E142" s="213"/>
    </row>
    <row r="143" spans="1:5">
      <c r="A143" s="212"/>
      <c r="B143" s="213"/>
      <c r="C143" s="214"/>
      <c r="D143" s="214"/>
      <c r="E143" s="213"/>
    </row>
    <row r="144" spans="1:5">
      <c r="A144" s="212"/>
      <c r="B144" s="213"/>
      <c r="C144" s="214"/>
      <c r="D144" s="214"/>
      <c r="E144" s="213"/>
    </row>
    <row r="145" spans="1:5">
      <c r="A145" s="212"/>
      <c r="B145" s="213"/>
      <c r="C145" s="214"/>
      <c r="D145" s="214"/>
      <c r="E145" s="213"/>
    </row>
    <row r="146" spans="1:5">
      <c r="A146" s="212"/>
      <c r="B146" s="213"/>
      <c r="C146" s="214"/>
      <c r="D146" s="214"/>
      <c r="E146" s="213"/>
    </row>
    <row r="147" spans="1:5">
      <c r="A147" s="212"/>
      <c r="B147" s="213"/>
      <c r="C147" s="214"/>
      <c r="D147" s="214"/>
      <c r="E147" s="213"/>
    </row>
    <row r="148" spans="1:5">
      <c r="A148" s="212"/>
      <c r="B148" s="213"/>
      <c r="C148" s="214"/>
      <c r="D148" s="214"/>
      <c r="E148" s="213"/>
    </row>
    <row r="149" spans="1:5">
      <c r="A149" s="212"/>
      <c r="B149" s="213"/>
      <c r="C149" s="214"/>
      <c r="D149" s="214"/>
      <c r="E149" s="213"/>
    </row>
    <row r="150" spans="1:5">
      <c r="A150" s="212"/>
      <c r="B150" s="213"/>
      <c r="C150" s="214"/>
      <c r="D150" s="214"/>
      <c r="E150" s="213"/>
    </row>
    <row r="151" spans="1:5">
      <c r="A151" s="212"/>
      <c r="B151" s="213"/>
      <c r="C151" s="214"/>
      <c r="D151" s="214"/>
      <c r="E151" s="213"/>
    </row>
    <row r="152" spans="1:5">
      <c r="A152" s="212"/>
      <c r="B152" s="213"/>
      <c r="C152" s="214"/>
      <c r="D152" s="214"/>
      <c r="E152" s="213"/>
    </row>
    <row r="153" spans="1:5">
      <c r="A153" s="212"/>
      <c r="C153" s="223"/>
      <c r="D153" s="223"/>
    </row>
    <row r="154" spans="1:5">
      <c r="A154" s="212"/>
      <c r="C154" s="223"/>
      <c r="D154" s="223"/>
    </row>
    <row r="155" spans="1:5">
      <c r="A155" s="212"/>
      <c r="C155" s="223"/>
      <c r="D155" s="223"/>
    </row>
    <row r="156" spans="1:5">
      <c r="A156" s="212"/>
      <c r="C156" s="223"/>
      <c r="D156" s="223"/>
    </row>
    <row r="157" spans="1:5">
      <c r="A157" s="212"/>
      <c r="C157" s="223"/>
      <c r="D157" s="223"/>
    </row>
    <row r="158" spans="1:5">
      <c r="A158" s="212"/>
      <c r="C158" s="223"/>
      <c r="D158" s="223"/>
    </row>
    <row r="159" spans="1:5">
      <c r="A159" s="212"/>
      <c r="C159" s="223"/>
      <c r="D159" s="223"/>
    </row>
    <row r="160" spans="1:5">
      <c r="A160" s="212"/>
      <c r="C160" s="223"/>
      <c r="D160" s="223"/>
    </row>
    <row r="161" spans="1:4">
      <c r="A161" s="212"/>
      <c r="C161" s="223"/>
      <c r="D161" s="223"/>
    </row>
    <row r="162" spans="1:4">
      <c r="A162" s="212"/>
      <c r="C162" s="223"/>
      <c r="D162" s="223"/>
    </row>
    <row r="163" spans="1:4">
      <c r="A163" s="212"/>
      <c r="C163" s="223"/>
      <c r="D163" s="223"/>
    </row>
    <row r="164" spans="1:4">
      <c r="A164" s="210"/>
      <c r="C164" s="223"/>
      <c r="D164" s="223"/>
    </row>
    <row r="165" spans="1:4">
      <c r="A165" s="210"/>
      <c r="C165" s="223"/>
      <c r="D165" s="223"/>
    </row>
    <row r="166" spans="1:4">
      <c r="A166" s="210"/>
      <c r="C166" s="223"/>
      <c r="D166" s="223"/>
    </row>
    <row r="167" spans="1:4">
      <c r="A167" s="210"/>
      <c r="C167" s="223"/>
      <c r="D167" s="223"/>
    </row>
    <row r="168" spans="1:4">
      <c r="A168" s="210"/>
      <c r="C168" s="223"/>
      <c r="D168" s="223"/>
    </row>
    <row r="169" spans="1:4">
      <c r="A169" s="210"/>
      <c r="C169" s="223"/>
      <c r="D169" s="223"/>
    </row>
    <row r="170" spans="1:4">
      <c r="A170" s="210"/>
      <c r="C170" s="223"/>
      <c r="D170" s="223"/>
    </row>
    <row r="171" spans="1:4">
      <c r="A171" s="210"/>
      <c r="C171" s="223"/>
      <c r="D171" s="223"/>
    </row>
    <row r="172" spans="1:4">
      <c r="A172" s="210"/>
      <c r="C172" s="223"/>
      <c r="D172" s="223"/>
    </row>
    <row r="173" spans="1:4">
      <c r="A173" s="210"/>
      <c r="C173" s="223"/>
      <c r="D173" s="223"/>
    </row>
    <row r="174" spans="1:4">
      <c r="A174" s="210"/>
      <c r="C174" s="223"/>
      <c r="D174" s="223"/>
    </row>
    <row r="175" spans="1:4">
      <c r="A175" s="210"/>
      <c r="C175" s="223"/>
      <c r="D175" s="223"/>
    </row>
    <row r="176" spans="1:4">
      <c r="A176" s="210"/>
      <c r="C176" s="223"/>
      <c r="D176" s="223"/>
    </row>
    <row r="177" spans="1:4">
      <c r="A177" s="210"/>
      <c r="C177" s="223"/>
      <c r="D177" s="223"/>
    </row>
    <row r="178" spans="1:4">
      <c r="A178" s="210"/>
      <c r="C178" s="223"/>
      <c r="D178" s="223"/>
    </row>
    <row r="179" spans="1:4">
      <c r="A179" s="210"/>
      <c r="C179" s="223"/>
      <c r="D179" s="223"/>
    </row>
    <row r="180" spans="1:4">
      <c r="A180" s="210"/>
      <c r="C180" s="223"/>
      <c r="D180" s="223"/>
    </row>
    <row r="181" spans="1:4">
      <c r="A181" s="210"/>
      <c r="C181" s="223"/>
      <c r="D181" s="223"/>
    </row>
    <row r="182" spans="1:4">
      <c r="A182" s="210"/>
      <c r="C182" s="223"/>
      <c r="D182" s="223"/>
    </row>
    <row r="183" spans="1:4">
      <c r="A183" s="210"/>
      <c r="C183" s="223"/>
      <c r="D183" s="223"/>
    </row>
    <row r="184" spans="1:4">
      <c r="A184" s="210"/>
      <c r="C184" s="223"/>
      <c r="D184" s="223"/>
    </row>
    <row r="185" spans="1:4">
      <c r="A185" s="210"/>
      <c r="C185" s="223"/>
      <c r="D185" s="223"/>
    </row>
    <row r="186" spans="1:4">
      <c r="A186" s="210"/>
      <c r="C186" s="223"/>
      <c r="D186" s="223"/>
    </row>
    <row r="187" spans="1:4">
      <c r="A187" s="210"/>
      <c r="C187" s="223"/>
      <c r="D187" s="223"/>
    </row>
    <row r="188" spans="1:4">
      <c r="A188" s="210"/>
      <c r="C188" s="223"/>
      <c r="D188" s="223"/>
    </row>
    <row r="189" spans="1:4">
      <c r="A189" s="210"/>
      <c r="C189" s="223"/>
      <c r="D189" s="223"/>
    </row>
    <row r="190" spans="1:4">
      <c r="A190" s="210"/>
      <c r="C190" s="223"/>
      <c r="D190" s="223"/>
    </row>
    <row r="191" spans="1:4">
      <c r="A191" s="210"/>
      <c r="C191" s="223"/>
      <c r="D191" s="223"/>
    </row>
    <row r="192" spans="1:4">
      <c r="A192" s="210"/>
      <c r="C192" s="223"/>
      <c r="D192" s="223"/>
    </row>
    <row r="193" spans="1:4">
      <c r="A193" s="210"/>
      <c r="C193" s="223"/>
      <c r="D193" s="223"/>
    </row>
    <row r="194" spans="1:4">
      <c r="A194" s="210"/>
      <c r="C194" s="223"/>
      <c r="D194" s="223"/>
    </row>
    <row r="195" spans="1:4">
      <c r="A195" s="210"/>
      <c r="C195" s="223"/>
      <c r="D195" s="223"/>
    </row>
    <row r="196" spans="1:4">
      <c r="A196" s="210"/>
      <c r="C196" s="223"/>
      <c r="D196" s="223"/>
    </row>
    <row r="197" spans="1:4">
      <c r="A197" s="210"/>
      <c r="C197" s="223"/>
      <c r="D197" s="223"/>
    </row>
    <row r="198" spans="1:4">
      <c r="A198" s="210"/>
      <c r="C198" s="223"/>
      <c r="D198" s="223"/>
    </row>
    <row r="199" spans="1:4">
      <c r="A199" s="210"/>
      <c r="C199" s="223"/>
      <c r="D199" s="223"/>
    </row>
    <row r="200" spans="1:4">
      <c r="A200" s="210"/>
      <c r="C200" s="223"/>
      <c r="D200" s="223"/>
    </row>
    <row r="201" spans="1:4">
      <c r="A201" s="210"/>
      <c r="C201" s="223"/>
      <c r="D201" s="223"/>
    </row>
    <row r="202" spans="1:4">
      <c r="A202" s="210"/>
      <c r="C202" s="223"/>
      <c r="D202" s="223"/>
    </row>
    <row r="203" spans="1:4">
      <c r="A203" s="210"/>
      <c r="C203" s="223"/>
      <c r="D203" s="223"/>
    </row>
    <row r="204" spans="1:4">
      <c r="A204" s="210"/>
      <c r="C204" s="223"/>
      <c r="D204" s="223"/>
    </row>
    <row r="205" spans="1:4">
      <c r="A205" s="210"/>
      <c r="C205" s="223"/>
      <c r="D205" s="223"/>
    </row>
    <row r="206" spans="1:4">
      <c r="A206" s="210"/>
      <c r="C206" s="223"/>
      <c r="D206" s="223"/>
    </row>
    <row r="207" spans="1:4">
      <c r="A207" s="210"/>
      <c r="C207" s="223"/>
      <c r="D207" s="223"/>
    </row>
    <row r="208" spans="1:4">
      <c r="A208" s="210"/>
      <c r="C208" s="223"/>
      <c r="D208" s="223"/>
    </row>
    <row r="209" spans="1:4">
      <c r="A209" s="210"/>
      <c r="C209" s="223"/>
      <c r="D209" s="223"/>
    </row>
    <row r="210" spans="1:4">
      <c r="A210" s="210"/>
      <c r="C210" s="223"/>
      <c r="D210" s="223"/>
    </row>
    <row r="211" spans="1:4">
      <c r="A211" s="210"/>
      <c r="C211" s="223"/>
      <c r="D211" s="223"/>
    </row>
    <row r="212" spans="1:4">
      <c r="A212" s="210"/>
      <c r="C212" s="223"/>
      <c r="D212" s="223"/>
    </row>
    <row r="213" spans="1:4">
      <c r="A213" s="210"/>
      <c r="C213" s="223"/>
      <c r="D213" s="223"/>
    </row>
    <row r="214" spans="1:4">
      <c r="A214" s="210"/>
      <c r="C214" s="223"/>
      <c r="D214" s="223"/>
    </row>
    <row r="215" spans="1:4">
      <c r="A215" s="210"/>
      <c r="C215" s="223"/>
      <c r="D215" s="223"/>
    </row>
    <row r="216" spans="1:4">
      <c r="A216" s="210"/>
      <c r="C216" s="223"/>
      <c r="D216" s="223"/>
    </row>
    <row r="217" spans="1:4">
      <c r="A217" s="210"/>
      <c r="C217" s="223"/>
      <c r="D217" s="223"/>
    </row>
    <row r="218" spans="1:4">
      <c r="A218" s="210"/>
      <c r="C218" s="223"/>
      <c r="D218" s="223"/>
    </row>
    <row r="219" spans="1:4">
      <c r="A219" s="210"/>
      <c r="C219" s="223"/>
      <c r="D219" s="223"/>
    </row>
    <row r="220" spans="1:4">
      <c r="A220" s="210"/>
      <c r="C220" s="223"/>
      <c r="D220" s="223"/>
    </row>
    <row r="221" spans="1:4">
      <c r="A221" s="210"/>
      <c r="C221" s="223"/>
      <c r="D221" s="223"/>
    </row>
    <row r="222" spans="1:4">
      <c r="A222" s="210"/>
      <c r="C222" s="223"/>
      <c r="D222" s="223"/>
    </row>
    <row r="223" spans="1:4">
      <c r="A223" s="210"/>
      <c r="C223" s="223"/>
      <c r="D223" s="223"/>
    </row>
    <row r="224" spans="1:4">
      <c r="A224" s="210"/>
      <c r="C224" s="223"/>
      <c r="D224" s="223"/>
    </row>
    <row r="225" spans="1:1">
      <c r="A225" s="210"/>
    </row>
    <row r="226" spans="1:1">
      <c r="A226" s="210"/>
    </row>
    <row r="227" spans="1:1">
      <c r="A227" s="210"/>
    </row>
    <row r="228" spans="1:1">
      <c r="A228" s="210"/>
    </row>
    <row r="229" spans="1:1">
      <c r="A229" s="210"/>
    </row>
  </sheetData>
  <mergeCells count="10">
    <mergeCell ref="A140:C140"/>
    <mergeCell ref="A63:E63"/>
    <mergeCell ref="A128:C128"/>
    <mergeCell ref="A139:C139"/>
    <mergeCell ref="A2:E2"/>
    <mergeCell ref="A4:E4"/>
    <mergeCell ref="A7:D7"/>
    <mergeCell ref="A30:D30"/>
    <mergeCell ref="A54:D54"/>
    <mergeCell ref="A61:D6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77"/>
  <sheetViews>
    <sheetView showGridLines="0" view="pageBreakPreview" topLeftCell="A7" zoomScaleNormal="100" zoomScaleSheetLayoutView="100" workbookViewId="0">
      <selection activeCell="G71" sqref="G71"/>
    </sheetView>
  </sheetViews>
  <sheetFormatPr defaultRowHeight="15"/>
  <cols>
    <col min="1" max="1" width="19.140625" style="192" customWidth="1"/>
    <col min="2" max="2" width="16.140625" style="192" customWidth="1"/>
    <col min="3" max="3" width="18.140625" style="192" customWidth="1"/>
    <col min="4" max="4" width="18.28515625" style="192" customWidth="1"/>
    <col min="5" max="256" width="9.140625" style="192"/>
    <col min="257" max="257" width="19.140625" style="192" customWidth="1"/>
    <col min="258" max="258" width="16.140625" style="192" customWidth="1"/>
    <col min="259" max="259" width="18.140625" style="192" customWidth="1"/>
    <col min="260" max="260" width="18.28515625" style="192" customWidth="1"/>
    <col min="261" max="512" width="9.140625" style="192"/>
    <col min="513" max="513" width="19.140625" style="192" customWidth="1"/>
    <col min="514" max="514" width="16.140625" style="192" customWidth="1"/>
    <col min="515" max="515" width="18.140625" style="192" customWidth="1"/>
    <col min="516" max="516" width="18.28515625" style="192" customWidth="1"/>
    <col min="517" max="768" width="9.140625" style="192"/>
    <col min="769" max="769" width="19.140625" style="192" customWidth="1"/>
    <col min="770" max="770" width="16.140625" style="192" customWidth="1"/>
    <col min="771" max="771" width="18.140625" style="192" customWidth="1"/>
    <col min="772" max="772" width="18.28515625" style="192" customWidth="1"/>
    <col min="773" max="1024" width="9.140625" style="192"/>
    <col min="1025" max="1025" width="19.140625" style="192" customWidth="1"/>
    <col min="1026" max="1026" width="16.140625" style="192" customWidth="1"/>
    <col min="1027" max="1027" width="18.140625" style="192" customWidth="1"/>
    <col min="1028" max="1028" width="18.28515625" style="192" customWidth="1"/>
    <col min="1029" max="1280" width="9.140625" style="192"/>
    <col min="1281" max="1281" width="19.140625" style="192" customWidth="1"/>
    <col min="1282" max="1282" width="16.140625" style="192" customWidth="1"/>
    <col min="1283" max="1283" width="18.140625" style="192" customWidth="1"/>
    <col min="1284" max="1284" width="18.28515625" style="192" customWidth="1"/>
    <col min="1285" max="1536" width="9.140625" style="192"/>
    <col min="1537" max="1537" width="19.140625" style="192" customWidth="1"/>
    <col min="1538" max="1538" width="16.140625" style="192" customWidth="1"/>
    <col min="1539" max="1539" width="18.140625" style="192" customWidth="1"/>
    <col min="1540" max="1540" width="18.28515625" style="192" customWidth="1"/>
    <col min="1541" max="1792" width="9.140625" style="192"/>
    <col min="1793" max="1793" width="19.140625" style="192" customWidth="1"/>
    <col min="1794" max="1794" width="16.140625" style="192" customWidth="1"/>
    <col min="1795" max="1795" width="18.140625" style="192" customWidth="1"/>
    <col min="1796" max="1796" width="18.28515625" style="192" customWidth="1"/>
    <col min="1797" max="2048" width="9.140625" style="192"/>
    <col min="2049" max="2049" width="19.140625" style="192" customWidth="1"/>
    <col min="2050" max="2050" width="16.140625" style="192" customWidth="1"/>
    <col min="2051" max="2051" width="18.140625" style="192" customWidth="1"/>
    <col min="2052" max="2052" width="18.28515625" style="192" customWidth="1"/>
    <col min="2053" max="2304" width="9.140625" style="192"/>
    <col min="2305" max="2305" width="19.140625" style="192" customWidth="1"/>
    <col min="2306" max="2306" width="16.140625" style="192" customWidth="1"/>
    <col min="2307" max="2307" width="18.140625" style="192" customWidth="1"/>
    <col min="2308" max="2308" width="18.28515625" style="192" customWidth="1"/>
    <col min="2309" max="2560" width="9.140625" style="192"/>
    <col min="2561" max="2561" width="19.140625" style="192" customWidth="1"/>
    <col min="2562" max="2562" width="16.140625" style="192" customWidth="1"/>
    <col min="2563" max="2563" width="18.140625" style="192" customWidth="1"/>
    <col min="2564" max="2564" width="18.28515625" style="192" customWidth="1"/>
    <col min="2565" max="2816" width="9.140625" style="192"/>
    <col min="2817" max="2817" width="19.140625" style="192" customWidth="1"/>
    <col min="2818" max="2818" width="16.140625" style="192" customWidth="1"/>
    <col min="2819" max="2819" width="18.140625" style="192" customWidth="1"/>
    <col min="2820" max="2820" width="18.28515625" style="192" customWidth="1"/>
    <col min="2821" max="3072" width="9.140625" style="192"/>
    <col min="3073" max="3073" width="19.140625" style="192" customWidth="1"/>
    <col min="3074" max="3074" width="16.140625" style="192" customWidth="1"/>
    <col min="3075" max="3075" width="18.140625" style="192" customWidth="1"/>
    <col min="3076" max="3076" width="18.28515625" style="192" customWidth="1"/>
    <col min="3077" max="3328" width="9.140625" style="192"/>
    <col min="3329" max="3329" width="19.140625" style="192" customWidth="1"/>
    <col min="3330" max="3330" width="16.140625" style="192" customWidth="1"/>
    <col min="3331" max="3331" width="18.140625" style="192" customWidth="1"/>
    <col min="3332" max="3332" width="18.28515625" style="192" customWidth="1"/>
    <col min="3333" max="3584" width="9.140625" style="192"/>
    <col min="3585" max="3585" width="19.140625" style="192" customWidth="1"/>
    <col min="3586" max="3586" width="16.140625" style="192" customWidth="1"/>
    <col min="3587" max="3587" width="18.140625" style="192" customWidth="1"/>
    <col min="3588" max="3588" width="18.28515625" style="192" customWidth="1"/>
    <col min="3589" max="3840" width="9.140625" style="192"/>
    <col min="3841" max="3841" width="19.140625" style="192" customWidth="1"/>
    <col min="3842" max="3842" width="16.140625" style="192" customWidth="1"/>
    <col min="3843" max="3843" width="18.140625" style="192" customWidth="1"/>
    <col min="3844" max="3844" width="18.28515625" style="192" customWidth="1"/>
    <col min="3845" max="4096" width="9.140625" style="192"/>
    <col min="4097" max="4097" width="19.140625" style="192" customWidth="1"/>
    <col min="4098" max="4098" width="16.140625" style="192" customWidth="1"/>
    <col min="4099" max="4099" width="18.140625" style="192" customWidth="1"/>
    <col min="4100" max="4100" width="18.28515625" style="192" customWidth="1"/>
    <col min="4101" max="4352" width="9.140625" style="192"/>
    <col min="4353" max="4353" width="19.140625" style="192" customWidth="1"/>
    <col min="4354" max="4354" width="16.140625" style="192" customWidth="1"/>
    <col min="4355" max="4355" width="18.140625" style="192" customWidth="1"/>
    <col min="4356" max="4356" width="18.28515625" style="192" customWidth="1"/>
    <col min="4357" max="4608" width="9.140625" style="192"/>
    <col min="4609" max="4609" width="19.140625" style="192" customWidth="1"/>
    <col min="4610" max="4610" width="16.140625" style="192" customWidth="1"/>
    <col min="4611" max="4611" width="18.140625" style="192" customWidth="1"/>
    <col min="4612" max="4612" width="18.28515625" style="192" customWidth="1"/>
    <col min="4613" max="4864" width="9.140625" style="192"/>
    <col min="4865" max="4865" width="19.140625" style="192" customWidth="1"/>
    <col min="4866" max="4866" width="16.140625" style="192" customWidth="1"/>
    <col min="4867" max="4867" width="18.140625" style="192" customWidth="1"/>
    <col min="4868" max="4868" width="18.28515625" style="192" customWidth="1"/>
    <col min="4869" max="5120" width="9.140625" style="192"/>
    <col min="5121" max="5121" width="19.140625" style="192" customWidth="1"/>
    <col min="5122" max="5122" width="16.140625" style="192" customWidth="1"/>
    <col min="5123" max="5123" width="18.140625" style="192" customWidth="1"/>
    <col min="5124" max="5124" width="18.28515625" style="192" customWidth="1"/>
    <col min="5125" max="5376" width="9.140625" style="192"/>
    <col min="5377" max="5377" width="19.140625" style="192" customWidth="1"/>
    <col min="5378" max="5378" width="16.140625" style="192" customWidth="1"/>
    <col min="5379" max="5379" width="18.140625" style="192" customWidth="1"/>
    <col min="5380" max="5380" width="18.28515625" style="192" customWidth="1"/>
    <col min="5381" max="5632" width="9.140625" style="192"/>
    <col min="5633" max="5633" width="19.140625" style="192" customWidth="1"/>
    <col min="5634" max="5634" width="16.140625" style="192" customWidth="1"/>
    <col min="5635" max="5635" width="18.140625" style="192" customWidth="1"/>
    <col min="5636" max="5636" width="18.28515625" style="192" customWidth="1"/>
    <col min="5637" max="5888" width="9.140625" style="192"/>
    <col min="5889" max="5889" width="19.140625" style="192" customWidth="1"/>
    <col min="5890" max="5890" width="16.140625" style="192" customWidth="1"/>
    <col min="5891" max="5891" width="18.140625" style="192" customWidth="1"/>
    <col min="5892" max="5892" width="18.28515625" style="192" customWidth="1"/>
    <col min="5893" max="6144" width="9.140625" style="192"/>
    <col min="6145" max="6145" width="19.140625" style="192" customWidth="1"/>
    <col min="6146" max="6146" width="16.140625" style="192" customWidth="1"/>
    <col min="6147" max="6147" width="18.140625" style="192" customWidth="1"/>
    <col min="6148" max="6148" width="18.28515625" style="192" customWidth="1"/>
    <col min="6149" max="6400" width="9.140625" style="192"/>
    <col min="6401" max="6401" width="19.140625" style="192" customWidth="1"/>
    <col min="6402" max="6402" width="16.140625" style="192" customWidth="1"/>
    <col min="6403" max="6403" width="18.140625" style="192" customWidth="1"/>
    <col min="6404" max="6404" width="18.28515625" style="192" customWidth="1"/>
    <col min="6405" max="6656" width="9.140625" style="192"/>
    <col min="6657" max="6657" width="19.140625" style="192" customWidth="1"/>
    <col min="6658" max="6658" width="16.140625" style="192" customWidth="1"/>
    <col min="6659" max="6659" width="18.140625" style="192" customWidth="1"/>
    <col min="6660" max="6660" width="18.28515625" style="192" customWidth="1"/>
    <col min="6661" max="6912" width="9.140625" style="192"/>
    <col min="6913" max="6913" width="19.140625" style="192" customWidth="1"/>
    <col min="6914" max="6914" width="16.140625" style="192" customWidth="1"/>
    <col min="6915" max="6915" width="18.140625" style="192" customWidth="1"/>
    <col min="6916" max="6916" width="18.28515625" style="192" customWidth="1"/>
    <col min="6917" max="7168" width="9.140625" style="192"/>
    <col min="7169" max="7169" width="19.140625" style="192" customWidth="1"/>
    <col min="7170" max="7170" width="16.140625" style="192" customWidth="1"/>
    <col min="7171" max="7171" width="18.140625" style="192" customWidth="1"/>
    <col min="7172" max="7172" width="18.28515625" style="192" customWidth="1"/>
    <col min="7173" max="7424" width="9.140625" style="192"/>
    <col min="7425" max="7425" width="19.140625" style="192" customWidth="1"/>
    <col min="7426" max="7426" width="16.140625" style="192" customWidth="1"/>
    <col min="7427" max="7427" width="18.140625" style="192" customWidth="1"/>
    <col min="7428" max="7428" width="18.28515625" style="192" customWidth="1"/>
    <col min="7429" max="7680" width="9.140625" style="192"/>
    <col min="7681" max="7681" width="19.140625" style="192" customWidth="1"/>
    <col min="7682" max="7682" width="16.140625" style="192" customWidth="1"/>
    <col min="7683" max="7683" width="18.140625" style="192" customWidth="1"/>
    <col min="7684" max="7684" width="18.28515625" style="192" customWidth="1"/>
    <col min="7685" max="7936" width="9.140625" style="192"/>
    <col min="7937" max="7937" width="19.140625" style="192" customWidth="1"/>
    <col min="7938" max="7938" width="16.140625" style="192" customWidth="1"/>
    <col min="7939" max="7939" width="18.140625" style="192" customWidth="1"/>
    <col min="7940" max="7940" width="18.28515625" style="192" customWidth="1"/>
    <col min="7941" max="8192" width="9.140625" style="192"/>
    <col min="8193" max="8193" width="19.140625" style="192" customWidth="1"/>
    <col min="8194" max="8194" width="16.140625" style="192" customWidth="1"/>
    <col min="8195" max="8195" width="18.140625" style="192" customWidth="1"/>
    <col min="8196" max="8196" width="18.28515625" style="192" customWidth="1"/>
    <col min="8197" max="8448" width="9.140625" style="192"/>
    <col min="8449" max="8449" width="19.140625" style="192" customWidth="1"/>
    <col min="8450" max="8450" width="16.140625" style="192" customWidth="1"/>
    <col min="8451" max="8451" width="18.140625" style="192" customWidth="1"/>
    <col min="8452" max="8452" width="18.28515625" style="192" customWidth="1"/>
    <col min="8453" max="8704" width="9.140625" style="192"/>
    <col min="8705" max="8705" width="19.140625" style="192" customWidth="1"/>
    <col min="8706" max="8706" width="16.140625" style="192" customWidth="1"/>
    <col min="8707" max="8707" width="18.140625" style="192" customWidth="1"/>
    <col min="8708" max="8708" width="18.28515625" style="192" customWidth="1"/>
    <col min="8709" max="8960" width="9.140625" style="192"/>
    <col min="8961" max="8961" width="19.140625" style="192" customWidth="1"/>
    <col min="8962" max="8962" width="16.140625" style="192" customWidth="1"/>
    <col min="8963" max="8963" width="18.140625" style="192" customWidth="1"/>
    <col min="8964" max="8964" width="18.28515625" style="192" customWidth="1"/>
    <col min="8965" max="9216" width="9.140625" style="192"/>
    <col min="9217" max="9217" width="19.140625" style="192" customWidth="1"/>
    <col min="9218" max="9218" width="16.140625" style="192" customWidth="1"/>
    <col min="9219" max="9219" width="18.140625" style="192" customWidth="1"/>
    <col min="9220" max="9220" width="18.28515625" style="192" customWidth="1"/>
    <col min="9221" max="9472" width="9.140625" style="192"/>
    <col min="9473" max="9473" width="19.140625" style="192" customWidth="1"/>
    <col min="9474" max="9474" width="16.140625" style="192" customWidth="1"/>
    <col min="9475" max="9475" width="18.140625" style="192" customWidth="1"/>
    <col min="9476" max="9476" width="18.28515625" style="192" customWidth="1"/>
    <col min="9477" max="9728" width="9.140625" style="192"/>
    <col min="9729" max="9729" width="19.140625" style="192" customWidth="1"/>
    <col min="9730" max="9730" width="16.140625" style="192" customWidth="1"/>
    <col min="9731" max="9731" width="18.140625" style="192" customWidth="1"/>
    <col min="9732" max="9732" width="18.28515625" style="192" customWidth="1"/>
    <col min="9733" max="9984" width="9.140625" style="192"/>
    <col min="9985" max="9985" width="19.140625" style="192" customWidth="1"/>
    <col min="9986" max="9986" width="16.140625" style="192" customWidth="1"/>
    <col min="9987" max="9987" width="18.140625" style="192" customWidth="1"/>
    <col min="9988" max="9988" width="18.28515625" style="192" customWidth="1"/>
    <col min="9989" max="10240" width="9.140625" style="192"/>
    <col min="10241" max="10241" width="19.140625" style="192" customWidth="1"/>
    <col min="10242" max="10242" width="16.140625" style="192" customWidth="1"/>
    <col min="10243" max="10243" width="18.140625" style="192" customWidth="1"/>
    <col min="10244" max="10244" width="18.28515625" style="192" customWidth="1"/>
    <col min="10245" max="10496" width="9.140625" style="192"/>
    <col min="10497" max="10497" width="19.140625" style="192" customWidth="1"/>
    <col min="10498" max="10498" width="16.140625" style="192" customWidth="1"/>
    <col min="10499" max="10499" width="18.140625" style="192" customWidth="1"/>
    <col min="10500" max="10500" width="18.28515625" style="192" customWidth="1"/>
    <col min="10501" max="10752" width="9.140625" style="192"/>
    <col min="10753" max="10753" width="19.140625" style="192" customWidth="1"/>
    <col min="10754" max="10754" width="16.140625" style="192" customWidth="1"/>
    <col min="10755" max="10755" width="18.140625" style="192" customWidth="1"/>
    <col min="10756" max="10756" width="18.28515625" style="192" customWidth="1"/>
    <col min="10757" max="11008" width="9.140625" style="192"/>
    <col min="11009" max="11009" width="19.140625" style="192" customWidth="1"/>
    <col min="11010" max="11010" width="16.140625" style="192" customWidth="1"/>
    <col min="11011" max="11011" width="18.140625" style="192" customWidth="1"/>
    <col min="11012" max="11012" width="18.28515625" style="192" customWidth="1"/>
    <col min="11013" max="11264" width="9.140625" style="192"/>
    <col min="11265" max="11265" width="19.140625" style="192" customWidth="1"/>
    <col min="11266" max="11266" width="16.140625" style="192" customWidth="1"/>
    <col min="11267" max="11267" width="18.140625" style="192" customWidth="1"/>
    <col min="11268" max="11268" width="18.28515625" style="192" customWidth="1"/>
    <col min="11269" max="11520" width="9.140625" style="192"/>
    <col min="11521" max="11521" width="19.140625" style="192" customWidth="1"/>
    <col min="11522" max="11522" width="16.140625" style="192" customWidth="1"/>
    <col min="11523" max="11523" width="18.140625" style="192" customWidth="1"/>
    <col min="11524" max="11524" width="18.28515625" style="192" customWidth="1"/>
    <col min="11525" max="11776" width="9.140625" style="192"/>
    <col min="11777" max="11777" width="19.140625" style="192" customWidth="1"/>
    <col min="11778" max="11778" width="16.140625" style="192" customWidth="1"/>
    <col min="11779" max="11779" width="18.140625" style="192" customWidth="1"/>
    <col min="11780" max="11780" width="18.28515625" style="192" customWidth="1"/>
    <col min="11781" max="12032" width="9.140625" style="192"/>
    <col min="12033" max="12033" width="19.140625" style="192" customWidth="1"/>
    <col min="12034" max="12034" width="16.140625" style="192" customWidth="1"/>
    <col min="12035" max="12035" width="18.140625" style="192" customWidth="1"/>
    <col min="12036" max="12036" width="18.28515625" style="192" customWidth="1"/>
    <col min="12037" max="12288" width="9.140625" style="192"/>
    <col min="12289" max="12289" width="19.140625" style="192" customWidth="1"/>
    <col min="12290" max="12290" width="16.140625" style="192" customWidth="1"/>
    <col min="12291" max="12291" width="18.140625" style="192" customWidth="1"/>
    <col min="12292" max="12292" width="18.28515625" style="192" customWidth="1"/>
    <col min="12293" max="12544" width="9.140625" style="192"/>
    <col min="12545" max="12545" width="19.140625" style="192" customWidth="1"/>
    <col min="12546" max="12546" width="16.140625" style="192" customWidth="1"/>
    <col min="12547" max="12547" width="18.140625" style="192" customWidth="1"/>
    <col min="12548" max="12548" width="18.28515625" style="192" customWidth="1"/>
    <col min="12549" max="12800" width="9.140625" style="192"/>
    <col min="12801" max="12801" width="19.140625" style="192" customWidth="1"/>
    <col min="12802" max="12802" width="16.140625" style="192" customWidth="1"/>
    <col min="12803" max="12803" width="18.140625" style="192" customWidth="1"/>
    <col min="12804" max="12804" width="18.28515625" style="192" customWidth="1"/>
    <col min="12805" max="13056" width="9.140625" style="192"/>
    <col min="13057" max="13057" width="19.140625" style="192" customWidth="1"/>
    <col min="13058" max="13058" width="16.140625" style="192" customWidth="1"/>
    <col min="13059" max="13059" width="18.140625" style="192" customWidth="1"/>
    <col min="13060" max="13060" width="18.28515625" style="192" customWidth="1"/>
    <col min="13061" max="13312" width="9.140625" style="192"/>
    <col min="13313" max="13313" width="19.140625" style="192" customWidth="1"/>
    <col min="13314" max="13314" width="16.140625" style="192" customWidth="1"/>
    <col min="13315" max="13315" width="18.140625" style="192" customWidth="1"/>
    <col min="13316" max="13316" width="18.28515625" style="192" customWidth="1"/>
    <col min="13317" max="13568" width="9.140625" style="192"/>
    <col min="13569" max="13569" width="19.140625" style="192" customWidth="1"/>
    <col min="13570" max="13570" width="16.140625" style="192" customWidth="1"/>
    <col min="13571" max="13571" width="18.140625" style="192" customWidth="1"/>
    <col min="13572" max="13572" width="18.28515625" style="192" customWidth="1"/>
    <col min="13573" max="13824" width="9.140625" style="192"/>
    <col min="13825" max="13825" width="19.140625" style="192" customWidth="1"/>
    <col min="13826" max="13826" width="16.140625" style="192" customWidth="1"/>
    <col min="13827" max="13827" width="18.140625" style="192" customWidth="1"/>
    <col min="13828" max="13828" width="18.28515625" style="192" customWidth="1"/>
    <col min="13829" max="14080" width="9.140625" style="192"/>
    <col min="14081" max="14081" width="19.140625" style="192" customWidth="1"/>
    <col min="14082" max="14082" width="16.140625" style="192" customWidth="1"/>
    <col min="14083" max="14083" width="18.140625" style="192" customWidth="1"/>
    <col min="14084" max="14084" width="18.28515625" style="192" customWidth="1"/>
    <col min="14085" max="14336" width="9.140625" style="192"/>
    <col min="14337" max="14337" width="19.140625" style="192" customWidth="1"/>
    <col min="14338" max="14338" width="16.140625" style="192" customWidth="1"/>
    <col min="14339" max="14339" width="18.140625" style="192" customWidth="1"/>
    <col min="14340" max="14340" width="18.28515625" style="192" customWidth="1"/>
    <col min="14341" max="14592" width="9.140625" style="192"/>
    <col min="14593" max="14593" width="19.140625" style="192" customWidth="1"/>
    <col min="14594" max="14594" width="16.140625" style="192" customWidth="1"/>
    <col min="14595" max="14595" width="18.140625" style="192" customWidth="1"/>
    <col min="14596" max="14596" width="18.28515625" style="192" customWidth="1"/>
    <col min="14597" max="14848" width="9.140625" style="192"/>
    <col min="14849" max="14849" width="19.140625" style="192" customWidth="1"/>
    <col min="14850" max="14850" width="16.140625" style="192" customWidth="1"/>
    <col min="14851" max="14851" width="18.140625" style="192" customWidth="1"/>
    <col min="14852" max="14852" width="18.28515625" style="192" customWidth="1"/>
    <col min="14853" max="15104" width="9.140625" style="192"/>
    <col min="15105" max="15105" width="19.140625" style="192" customWidth="1"/>
    <col min="15106" max="15106" width="16.140625" style="192" customWidth="1"/>
    <col min="15107" max="15107" width="18.140625" style="192" customWidth="1"/>
    <col min="15108" max="15108" width="18.28515625" style="192" customWidth="1"/>
    <col min="15109" max="15360" width="9.140625" style="192"/>
    <col min="15361" max="15361" width="19.140625" style="192" customWidth="1"/>
    <col min="15362" max="15362" width="16.140625" style="192" customWidth="1"/>
    <col min="15363" max="15363" width="18.140625" style="192" customWidth="1"/>
    <col min="15364" max="15364" width="18.28515625" style="192" customWidth="1"/>
    <col min="15365" max="15616" width="9.140625" style="192"/>
    <col min="15617" max="15617" width="19.140625" style="192" customWidth="1"/>
    <col min="15618" max="15618" width="16.140625" style="192" customWidth="1"/>
    <col min="15619" max="15619" width="18.140625" style="192" customWidth="1"/>
    <col min="15620" max="15620" width="18.28515625" style="192" customWidth="1"/>
    <col min="15621" max="15872" width="9.140625" style="192"/>
    <col min="15873" max="15873" width="19.140625" style="192" customWidth="1"/>
    <col min="15874" max="15874" width="16.140625" style="192" customWidth="1"/>
    <col min="15875" max="15875" width="18.140625" style="192" customWidth="1"/>
    <col min="15876" max="15876" width="18.28515625" style="192" customWidth="1"/>
    <col min="15877" max="16128" width="9.140625" style="192"/>
    <col min="16129" max="16129" width="19.140625" style="192" customWidth="1"/>
    <col min="16130" max="16130" width="16.140625" style="192" customWidth="1"/>
    <col min="16131" max="16131" width="18.140625" style="192" customWidth="1"/>
    <col min="16132" max="16132" width="18.28515625" style="192" customWidth="1"/>
    <col min="16133" max="16384" width="9.140625" style="192"/>
  </cols>
  <sheetData>
    <row r="1" spans="1:4">
      <c r="A1" s="553" t="s">
        <v>517</v>
      </c>
      <c r="B1" s="553"/>
      <c r="C1" s="553"/>
      <c r="D1" s="553"/>
    </row>
    <row r="2" spans="1:4">
      <c r="A2" s="224"/>
      <c r="B2" s="224"/>
      <c r="C2" s="224"/>
      <c r="D2" s="224"/>
    </row>
    <row r="3" spans="1:4">
      <c r="A3" s="553" t="s">
        <v>518</v>
      </c>
      <c r="B3" s="553"/>
      <c r="C3" s="553"/>
      <c r="D3" s="553"/>
    </row>
    <row r="4" spans="1:4">
      <c r="A4" s="224"/>
      <c r="B4" s="224"/>
      <c r="C4" s="224"/>
      <c r="D4" s="224"/>
    </row>
    <row r="5" spans="1:4">
      <c r="A5" s="553" t="s">
        <v>519</v>
      </c>
      <c r="B5" s="553"/>
      <c r="C5" s="553"/>
      <c r="D5" s="553"/>
    </row>
    <row r="6" spans="1:4">
      <c r="A6" s="224"/>
      <c r="B6" s="224"/>
      <c r="C6" s="224"/>
      <c r="D6" s="224"/>
    </row>
    <row r="7" spans="1:4">
      <c r="A7" s="553" t="s">
        <v>520</v>
      </c>
      <c r="B7" s="553"/>
      <c r="C7" s="553"/>
      <c r="D7" s="553"/>
    </row>
    <row r="8" spans="1:4">
      <c r="A8" s="224"/>
      <c r="B8" s="224"/>
      <c r="C8" s="224"/>
      <c r="D8" s="224"/>
    </row>
    <row r="9" spans="1:4">
      <c r="A9" s="553" t="s">
        <v>521</v>
      </c>
      <c r="B9" s="553"/>
      <c r="C9" s="553"/>
      <c r="D9" s="553"/>
    </row>
    <row r="10" spans="1:4">
      <c r="A10" s="224"/>
      <c r="B10" s="224"/>
      <c r="C10" s="224"/>
      <c r="D10" s="224"/>
    </row>
    <row r="11" spans="1:4" ht="15.75" thickBot="1">
      <c r="A11" s="553" t="s">
        <v>522</v>
      </c>
      <c r="B11" s="553"/>
      <c r="C11" s="553"/>
      <c r="D11" s="553"/>
    </row>
    <row r="12" spans="1:4">
      <c r="A12" s="225" t="s">
        <v>14</v>
      </c>
      <c r="B12" s="226" t="s">
        <v>405</v>
      </c>
      <c r="C12" s="226" t="s">
        <v>523</v>
      </c>
      <c r="D12" s="227" t="s">
        <v>524</v>
      </c>
    </row>
    <row r="13" spans="1:4">
      <c r="A13" s="228" t="s">
        <v>525</v>
      </c>
      <c r="B13" s="221">
        <v>55</v>
      </c>
      <c r="C13" s="197">
        <v>2</v>
      </c>
      <c r="D13" s="222">
        <f>C13*B13</f>
        <v>110</v>
      </c>
    </row>
    <row r="14" spans="1:4">
      <c r="A14" s="228" t="s">
        <v>17</v>
      </c>
      <c r="B14" s="221">
        <v>10</v>
      </c>
      <c r="C14" s="197">
        <v>2</v>
      </c>
      <c r="D14" s="222">
        <f>C14*B14</f>
        <v>20</v>
      </c>
    </row>
    <row r="15" spans="1:4">
      <c r="A15" s="228" t="s">
        <v>526</v>
      </c>
      <c r="B15" s="221">
        <f>21+20</f>
        <v>41</v>
      </c>
      <c r="C15" s="197">
        <v>2</v>
      </c>
      <c r="D15" s="222">
        <f>C15*B15</f>
        <v>82</v>
      </c>
    </row>
    <row r="16" spans="1:4">
      <c r="A16" s="228" t="s">
        <v>527</v>
      </c>
      <c r="B16" s="221">
        <v>28</v>
      </c>
      <c r="C16" s="197">
        <v>1</v>
      </c>
      <c r="D16" s="222">
        <f>C16*B16</f>
        <v>28</v>
      </c>
    </row>
    <row r="17" spans="1:4">
      <c r="A17" s="228" t="s">
        <v>528</v>
      </c>
      <c r="B17" s="221">
        <v>3.5</v>
      </c>
      <c r="C17" s="197">
        <v>2</v>
      </c>
      <c r="D17" s="222">
        <f>C17*B17</f>
        <v>7</v>
      </c>
    </row>
    <row r="18" spans="1:4" ht="15.75" thickBot="1">
      <c r="A18" s="559" t="s">
        <v>7</v>
      </c>
      <c r="B18" s="560"/>
      <c r="C18" s="563"/>
      <c r="D18" s="229">
        <f>SUM(D13:D17)</f>
        <v>247</v>
      </c>
    </row>
    <row r="19" spans="1:4" s="233" customFormat="1" ht="15.75" thickBot="1">
      <c r="A19" s="230"/>
      <c r="B19" s="230"/>
      <c r="C19" s="231" t="s">
        <v>529</v>
      </c>
      <c r="D19" s="232">
        <f>D18/6</f>
        <v>41.166666666666664</v>
      </c>
    </row>
    <row r="20" spans="1:4" s="233" customFormat="1">
      <c r="A20" s="230"/>
      <c r="B20" s="230"/>
      <c r="C20" s="230"/>
      <c r="D20" s="234"/>
    </row>
    <row r="21" spans="1:4" s="233" customFormat="1" ht="15.75" thickBot="1">
      <c r="A21" s="564" t="s">
        <v>530</v>
      </c>
      <c r="B21" s="564"/>
      <c r="C21" s="564"/>
      <c r="D21" s="564"/>
    </row>
    <row r="22" spans="1:4">
      <c r="A22" s="225" t="s">
        <v>14</v>
      </c>
      <c r="B22" s="226" t="s">
        <v>405</v>
      </c>
      <c r="C22" s="226" t="s">
        <v>523</v>
      </c>
      <c r="D22" s="227" t="s">
        <v>524</v>
      </c>
    </row>
    <row r="23" spans="1:4">
      <c r="A23" s="228" t="s">
        <v>531</v>
      </c>
      <c r="B23" s="221">
        <v>55</v>
      </c>
      <c r="C23" s="197">
        <v>2</v>
      </c>
      <c r="D23" s="222">
        <f t="shared" ref="D23:D28" si="0">C23*B23</f>
        <v>110</v>
      </c>
    </row>
    <row r="24" spans="1:4">
      <c r="A24" s="228" t="s">
        <v>16</v>
      </c>
      <c r="B24" s="221">
        <v>10</v>
      </c>
      <c r="C24" s="197">
        <v>2</v>
      </c>
      <c r="D24" s="222">
        <f t="shared" si="0"/>
        <v>20</v>
      </c>
    </row>
    <row r="25" spans="1:4">
      <c r="A25" s="228" t="s">
        <v>526</v>
      </c>
      <c r="B25" s="221">
        <f>20+19</f>
        <v>39</v>
      </c>
      <c r="C25" s="197">
        <v>2</v>
      </c>
      <c r="D25" s="222">
        <f t="shared" si="0"/>
        <v>78</v>
      </c>
    </row>
    <row r="26" spans="1:4">
      <c r="A26" s="228" t="s">
        <v>532</v>
      </c>
      <c r="B26" s="221">
        <v>1.6</v>
      </c>
      <c r="C26" s="197">
        <v>2</v>
      </c>
      <c r="D26" s="222">
        <f t="shared" si="0"/>
        <v>3.2</v>
      </c>
    </row>
    <row r="27" spans="1:4">
      <c r="A27" s="228" t="s">
        <v>527</v>
      </c>
      <c r="B27" s="221">
        <v>28</v>
      </c>
      <c r="C27" s="197">
        <v>1</v>
      </c>
      <c r="D27" s="222">
        <f t="shared" si="0"/>
        <v>28</v>
      </c>
    </row>
    <row r="28" spans="1:4">
      <c r="A28" s="228" t="s">
        <v>528</v>
      </c>
      <c r="B28" s="221">
        <v>3.5</v>
      </c>
      <c r="C28" s="197">
        <v>2</v>
      </c>
      <c r="D28" s="222">
        <f t="shared" si="0"/>
        <v>7</v>
      </c>
    </row>
    <row r="29" spans="1:4" ht="15.75" thickBot="1">
      <c r="A29" s="559" t="s">
        <v>7</v>
      </c>
      <c r="B29" s="560"/>
      <c r="C29" s="560"/>
      <c r="D29" s="235">
        <f>SUM(D23:D28)</f>
        <v>246.2</v>
      </c>
    </row>
    <row r="30" spans="1:4" ht="15.75" thickBot="1">
      <c r="C30" s="231" t="s">
        <v>529</v>
      </c>
      <c r="D30" s="232">
        <f>D29/6</f>
        <v>41.033333333333331</v>
      </c>
    </row>
    <row r="32" spans="1:4" ht="15.75" thickBot="1">
      <c r="A32" s="565" t="s">
        <v>392</v>
      </c>
      <c r="B32" s="565"/>
      <c r="C32" s="565"/>
      <c r="D32" s="565"/>
    </row>
    <row r="33" spans="1:4" ht="15.75" thickBot="1">
      <c r="A33" s="236"/>
      <c r="B33" s="236"/>
      <c r="C33" s="236"/>
      <c r="D33" s="236"/>
    </row>
    <row r="34" spans="1:4">
      <c r="A34" s="225" t="s">
        <v>14</v>
      </c>
      <c r="B34" s="226" t="s">
        <v>405</v>
      </c>
      <c r="C34" s="226" t="s">
        <v>523</v>
      </c>
      <c r="D34" s="227" t="s">
        <v>524</v>
      </c>
    </row>
    <row r="35" spans="1:4">
      <c r="A35" s="228" t="s">
        <v>533</v>
      </c>
      <c r="B35" s="221">
        <v>17</v>
      </c>
      <c r="C35" s="197">
        <v>2</v>
      </c>
      <c r="D35" s="222">
        <f t="shared" ref="D35:D41" si="1">C35*B35</f>
        <v>34</v>
      </c>
    </row>
    <row r="36" spans="1:4">
      <c r="A36" s="228" t="s">
        <v>534</v>
      </c>
      <c r="B36" s="221">
        <v>16</v>
      </c>
      <c r="C36" s="197">
        <v>2</v>
      </c>
      <c r="D36" s="222">
        <f t="shared" si="1"/>
        <v>32</v>
      </c>
    </row>
    <row r="37" spans="1:4">
      <c r="A37" s="228" t="s">
        <v>535</v>
      </c>
      <c r="B37" s="221">
        <f>21+18</f>
        <v>39</v>
      </c>
      <c r="C37" s="197">
        <v>2</v>
      </c>
      <c r="D37" s="222">
        <f t="shared" si="1"/>
        <v>78</v>
      </c>
    </row>
    <row r="38" spans="1:4">
      <c r="A38" s="228" t="s">
        <v>536</v>
      </c>
      <c r="B38" s="221">
        <v>3.5</v>
      </c>
      <c r="C38" s="197">
        <v>6</v>
      </c>
      <c r="D38" s="222">
        <f t="shared" si="1"/>
        <v>21</v>
      </c>
    </row>
    <row r="39" spans="1:4">
      <c r="A39" s="228" t="s">
        <v>537</v>
      </c>
      <c r="B39" s="221">
        <v>38</v>
      </c>
      <c r="C39" s="197">
        <v>1</v>
      </c>
      <c r="D39" s="222">
        <f t="shared" si="1"/>
        <v>38</v>
      </c>
    </row>
    <row r="40" spans="1:4">
      <c r="A40" s="228" t="s">
        <v>538</v>
      </c>
      <c r="B40" s="221">
        <v>3.5</v>
      </c>
      <c r="C40" s="197">
        <v>2</v>
      </c>
      <c r="D40" s="222">
        <f t="shared" si="1"/>
        <v>7</v>
      </c>
    </row>
    <row r="41" spans="1:4">
      <c r="A41" s="228" t="s">
        <v>539</v>
      </c>
      <c r="B41" s="221">
        <v>27</v>
      </c>
      <c r="C41" s="197">
        <v>1</v>
      </c>
      <c r="D41" s="222">
        <f t="shared" si="1"/>
        <v>27</v>
      </c>
    </row>
    <row r="42" spans="1:4" ht="15.75" thickBot="1">
      <c r="A42" s="559" t="s">
        <v>7</v>
      </c>
      <c r="B42" s="560"/>
      <c r="C42" s="560"/>
      <c r="D42" s="235">
        <f>SUM(D35:D41)</f>
        <v>237</v>
      </c>
    </row>
    <row r="43" spans="1:4" ht="15.75" thickBot="1">
      <c r="C43" s="231" t="s">
        <v>529</v>
      </c>
      <c r="D43" s="232">
        <f>D42/6</f>
        <v>39.5</v>
      </c>
    </row>
    <row r="45" spans="1:4">
      <c r="A45" s="553" t="s">
        <v>540</v>
      </c>
      <c r="B45" s="553"/>
      <c r="C45" s="553"/>
      <c r="D45" s="553"/>
    </row>
    <row r="46" spans="1:4" ht="15.75" thickBot="1">
      <c r="A46" s="224"/>
    </row>
    <row r="47" spans="1:4">
      <c r="A47" s="225" t="s">
        <v>14</v>
      </c>
      <c r="B47" s="226" t="s">
        <v>405</v>
      </c>
      <c r="C47" s="226" t="s">
        <v>523</v>
      </c>
      <c r="D47" s="227" t="s">
        <v>524</v>
      </c>
    </row>
    <row r="48" spans="1:4">
      <c r="A48" s="228" t="s">
        <v>534</v>
      </c>
      <c r="B48" s="221">
        <v>27</v>
      </c>
      <c r="C48" s="197">
        <v>2</v>
      </c>
      <c r="D48" s="222">
        <f t="shared" ref="D48:D53" si="2">C48*B48</f>
        <v>54</v>
      </c>
    </row>
    <row r="49" spans="1:4">
      <c r="A49" s="228" t="s">
        <v>535</v>
      </c>
      <c r="B49" s="221">
        <v>22</v>
      </c>
      <c r="C49" s="197">
        <v>2</v>
      </c>
      <c r="D49" s="222">
        <f t="shared" si="2"/>
        <v>44</v>
      </c>
    </row>
    <row r="50" spans="1:4">
      <c r="A50" s="228" t="s">
        <v>541</v>
      </c>
      <c r="B50" s="221">
        <v>25</v>
      </c>
      <c r="C50" s="197">
        <v>1</v>
      </c>
      <c r="D50" s="222">
        <f t="shared" si="2"/>
        <v>25</v>
      </c>
    </row>
    <row r="51" spans="1:4">
      <c r="A51" s="228" t="s">
        <v>542</v>
      </c>
      <c r="B51" s="221">
        <v>58</v>
      </c>
      <c r="C51" s="197">
        <v>1</v>
      </c>
      <c r="D51" s="222">
        <f t="shared" si="2"/>
        <v>58</v>
      </c>
    </row>
    <row r="52" spans="1:4">
      <c r="A52" s="228" t="s">
        <v>538</v>
      </c>
      <c r="B52" s="221">
        <v>3.5</v>
      </c>
      <c r="C52" s="197">
        <v>2</v>
      </c>
      <c r="D52" s="222">
        <f t="shared" si="2"/>
        <v>7</v>
      </c>
    </row>
    <row r="53" spans="1:4">
      <c r="A53" s="228" t="s">
        <v>20</v>
      </c>
      <c r="B53" s="221">
        <v>6</v>
      </c>
      <c r="C53" s="197">
        <v>2</v>
      </c>
      <c r="D53" s="222">
        <f t="shared" si="2"/>
        <v>12</v>
      </c>
    </row>
    <row r="54" spans="1:4" ht="15.75" thickBot="1">
      <c r="A54" s="559" t="s">
        <v>7</v>
      </c>
      <c r="B54" s="560"/>
      <c r="C54" s="560"/>
      <c r="D54" s="235">
        <f>SUM(D48:D53)</f>
        <v>200</v>
      </c>
    </row>
    <row r="55" spans="1:4" ht="15.75" thickBot="1">
      <c r="C55" s="231" t="s">
        <v>529</v>
      </c>
      <c r="D55" s="232">
        <f>D54/6</f>
        <v>33.333333333333336</v>
      </c>
    </row>
    <row r="58" spans="1:4">
      <c r="A58" s="553" t="s">
        <v>543</v>
      </c>
      <c r="B58" s="553"/>
      <c r="C58" s="553"/>
      <c r="D58" s="553"/>
    </row>
    <row r="59" spans="1:4" ht="15.75" thickBot="1">
      <c r="A59" s="224"/>
    </row>
    <row r="60" spans="1:4">
      <c r="A60" s="225" t="s">
        <v>14</v>
      </c>
      <c r="B60" s="226" t="s">
        <v>405</v>
      </c>
      <c r="C60" s="226" t="s">
        <v>523</v>
      </c>
      <c r="D60" s="227" t="s">
        <v>524</v>
      </c>
    </row>
    <row r="61" spans="1:4">
      <c r="A61" s="228" t="s">
        <v>544</v>
      </c>
      <c r="B61" s="221">
        <v>27</v>
      </c>
      <c r="C61" s="197">
        <v>2</v>
      </c>
      <c r="D61" s="222">
        <f t="shared" ref="D61:D67" si="3">C61*B61</f>
        <v>54</v>
      </c>
    </row>
    <row r="62" spans="1:4">
      <c r="A62" s="228" t="s">
        <v>545</v>
      </c>
      <c r="B62" s="221">
        <v>24</v>
      </c>
      <c r="C62" s="197">
        <v>2</v>
      </c>
      <c r="D62" s="222">
        <f t="shared" si="3"/>
        <v>48</v>
      </c>
    </row>
    <row r="63" spans="1:4">
      <c r="A63" s="228" t="s">
        <v>534</v>
      </c>
      <c r="B63" s="221">
        <v>27</v>
      </c>
      <c r="C63" s="197">
        <v>2</v>
      </c>
      <c r="D63" s="222">
        <f t="shared" si="3"/>
        <v>54</v>
      </c>
    </row>
    <row r="64" spans="1:4">
      <c r="A64" s="228" t="s">
        <v>546</v>
      </c>
      <c r="B64" s="221">
        <v>6</v>
      </c>
      <c r="C64" s="197">
        <v>2</v>
      </c>
      <c r="D64" s="222">
        <f t="shared" si="3"/>
        <v>12</v>
      </c>
    </row>
    <row r="65" spans="1:4">
      <c r="A65" s="228" t="s">
        <v>538</v>
      </c>
      <c r="B65" s="221">
        <v>3.5</v>
      </c>
      <c r="C65" s="197">
        <v>2</v>
      </c>
      <c r="D65" s="222">
        <f t="shared" si="3"/>
        <v>7</v>
      </c>
    </row>
    <row r="66" spans="1:4">
      <c r="A66" s="228" t="s">
        <v>542</v>
      </c>
      <c r="B66" s="221">
        <v>58</v>
      </c>
      <c r="C66" s="197">
        <v>1</v>
      </c>
      <c r="D66" s="222">
        <f t="shared" si="3"/>
        <v>58</v>
      </c>
    </row>
    <row r="67" spans="1:4">
      <c r="A67" s="228" t="s">
        <v>541</v>
      </c>
      <c r="B67" s="221">
        <v>25</v>
      </c>
      <c r="C67" s="197">
        <v>1</v>
      </c>
      <c r="D67" s="222">
        <f t="shared" si="3"/>
        <v>25</v>
      </c>
    </row>
    <row r="68" spans="1:4" ht="15.75" thickBot="1">
      <c r="A68" s="559" t="s">
        <v>7</v>
      </c>
      <c r="B68" s="560"/>
      <c r="C68" s="560"/>
      <c r="D68" s="235">
        <f>SUM(D61:D67)</f>
        <v>258</v>
      </c>
    </row>
    <row r="69" spans="1:4" ht="15.75" thickBot="1">
      <c r="C69" s="231" t="s">
        <v>529</v>
      </c>
      <c r="D69" s="232">
        <f>D68/6</f>
        <v>43</v>
      </c>
    </row>
    <row r="71" spans="1:4">
      <c r="A71" s="561" t="s">
        <v>554</v>
      </c>
      <c r="B71" s="562"/>
      <c r="C71" s="562"/>
      <c r="D71" s="562"/>
    </row>
    <row r="75" spans="1:4">
      <c r="A75" s="553" t="s">
        <v>547</v>
      </c>
      <c r="B75" s="553"/>
      <c r="C75" s="553"/>
      <c r="D75" s="553"/>
    </row>
    <row r="76" spans="1:4">
      <c r="A76" s="553" t="s">
        <v>548</v>
      </c>
      <c r="B76" s="553"/>
      <c r="C76" s="553"/>
      <c r="D76" s="553"/>
    </row>
    <row r="77" spans="1:4">
      <c r="A77" s="553" t="s">
        <v>549</v>
      </c>
      <c r="B77" s="553"/>
      <c r="C77" s="553"/>
      <c r="D77" s="553"/>
    </row>
  </sheetData>
  <mergeCells count="19">
    <mergeCell ref="A45:D45"/>
    <mergeCell ref="A1:D1"/>
    <mergeCell ref="A3:D3"/>
    <mergeCell ref="A5:D5"/>
    <mergeCell ref="A7:D7"/>
    <mergeCell ref="A9:D9"/>
    <mergeCell ref="A11:D11"/>
    <mergeCell ref="A18:C18"/>
    <mergeCell ref="A21:D21"/>
    <mergeCell ref="A29:C29"/>
    <mergeCell ref="A32:D32"/>
    <mergeCell ref="A42:C42"/>
    <mergeCell ref="A77:D77"/>
    <mergeCell ref="A54:C54"/>
    <mergeCell ref="A58:D58"/>
    <mergeCell ref="A68:C68"/>
    <mergeCell ref="A71:D71"/>
    <mergeCell ref="A75:D75"/>
    <mergeCell ref="A76:D76"/>
  </mergeCells>
  <printOptions horizontalCentered="1"/>
  <pageMargins left="0.98425196850393704" right="0.78740157480314965" top="2.1653543307086616" bottom="0.78740157480314965" header="0.31496062992125984" footer="0.31496062992125984"/>
  <pageSetup paperSize="9" scale="99" orientation="portrait" r:id="rId1"/>
  <rowBreaks count="1" manualBreakCount="1">
    <brk id="4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154"/>
  <sheetViews>
    <sheetView showGridLines="0" view="pageBreakPreview" topLeftCell="A16" zoomScale="90" zoomScaleSheetLayoutView="90" workbookViewId="0">
      <selection activeCell="H34" sqref="H34"/>
    </sheetView>
  </sheetViews>
  <sheetFormatPr defaultRowHeight="15.75"/>
  <cols>
    <col min="1" max="1" width="9.28515625" style="53" customWidth="1"/>
    <col min="2" max="2" width="39.85546875" style="53" customWidth="1"/>
    <col min="3" max="3" width="18.28515625" style="53" customWidth="1"/>
    <col min="4" max="4" width="23.85546875" style="53" customWidth="1"/>
    <col min="5" max="5" width="16" style="53" bestFit="1" customWidth="1"/>
    <col min="6" max="6" width="13.7109375" style="53" bestFit="1" customWidth="1"/>
    <col min="7" max="7" width="15.7109375" style="53" bestFit="1" customWidth="1"/>
    <col min="8" max="8" width="13.140625" style="53" bestFit="1" customWidth="1"/>
    <col min="9" max="9" width="11.85546875" style="53" bestFit="1" customWidth="1"/>
    <col min="10" max="10" width="12.85546875" style="53" bestFit="1" customWidth="1"/>
    <col min="11" max="256" width="9.140625" style="53"/>
    <col min="257" max="257" width="9.28515625" style="53" customWidth="1"/>
    <col min="258" max="258" width="39.85546875" style="53" customWidth="1"/>
    <col min="259" max="259" width="18.28515625" style="53" customWidth="1"/>
    <col min="260" max="260" width="23.85546875" style="53" customWidth="1"/>
    <col min="261" max="261" width="16" style="53" bestFit="1" customWidth="1"/>
    <col min="262" max="262" width="13.7109375" style="53" bestFit="1" customWidth="1"/>
    <col min="263" max="263" width="15.7109375" style="53" bestFit="1" customWidth="1"/>
    <col min="264" max="264" width="13.140625" style="53" bestFit="1" customWidth="1"/>
    <col min="265" max="265" width="11.85546875" style="53" bestFit="1" customWidth="1"/>
    <col min="266" max="266" width="12.85546875" style="53" bestFit="1" customWidth="1"/>
    <col min="267" max="512" width="9.140625" style="53"/>
    <col min="513" max="513" width="9.28515625" style="53" customWidth="1"/>
    <col min="514" max="514" width="39.85546875" style="53" customWidth="1"/>
    <col min="515" max="515" width="18.28515625" style="53" customWidth="1"/>
    <col min="516" max="516" width="23.85546875" style="53" customWidth="1"/>
    <col min="517" max="517" width="16" style="53" bestFit="1" customWidth="1"/>
    <col min="518" max="518" width="13.7109375" style="53" bestFit="1" customWidth="1"/>
    <col min="519" max="519" width="15.7109375" style="53" bestFit="1" customWidth="1"/>
    <col min="520" max="520" width="13.140625" style="53" bestFit="1" customWidth="1"/>
    <col min="521" max="521" width="11.85546875" style="53" bestFit="1" customWidth="1"/>
    <col min="522" max="522" width="12.85546875" style="53" bestFit="1" customWidth="1"/>
    <col min="523" max="768" width="9.140625" style="53"/>
    <col min="769" max="769" width="9.28515625" style="53" customWidth="1"/>
    <col min="770" max="770" width="39.85546875" style="53" customWidth="1"/>
    <col min="771" max="771" width="18.28515625" style="53" customWidth="1"/>
    <col min="772" max="772" width="23.85546875" style="53" customWidth="1"/>
    <col min="773" max="773" width="16" style="53" bestFit="1" customWidth="1"/>
    <col min="774" max="774" width="13.7109375" style="53" bestFit="1" customWidth="1"/>
    <col min="775" max="775" width="15.7109375" style="53" bestFit="1" customWidth="1"/>
    <col min="776" max="776" width="13.140625" style="53" bestFit="1" customWidth="1"/>
    <col min="777" max="777" width="11.85546875" style="53" bestFit="1" customWidth="1"/>
    <col min="778" max="778" width="12.85546875" style="53" bestFit="1" customWidth="1"/>
    <col min="779" max="1024" width="9.140625" style="53"/>
    <col min="1025" max="1025" width="9.28515625" style="53" customWidth="1"/>
    <col min="1026" max="1026" width="39.85546875" style="53" customWidth="1"/>
    <col min="1027" max="1027" width="18.28515625" style="53" customWidth="1"/>
    <col min="1028" max="1028" width="23.85546875" style="53" customWidth="1"/>
    <col min="1029" max="1029" width="16" style="53" bestFit="1" customWidth="1"/>
    <col min="1030" max="1030" width="13.7109375" style="53" bestFit="1" customWidth="1"/>
    <col min="1031" max="1031" width="15.7109375" style="53" bestFit="1" customWidth="1"/>
    <col min="1032" max="1032" width="13.140625" style="53" bestFit="1" customWidth="1"/>
    <col min="1033" max="1033" width="11.85546875" style="53" bestFit="1" customWidth="1"/>
    <col min="1034" max="1034" width="12.85546875" style="53" bestFit="1" customWidth="1"/>
    <col min="1035" max="1280" width="9.140625" style="53"/>
    <col min="1281" max="1281" width="9.28515625" style="53" customWidth="1"/>
    <col min="1282" max="1282" width="39.85546875" style="53" customWidth="1"/>
    <col min="1283" max="1283" width="18.28515625" style="53" customWidth="1"/>
    <col min="1284" max="1284" width="23.85546875" style="53" customWidth="1"/>
    <col min="1285" max="1285" width="16" style="53" bestFit="1" customWidth="1"/>
    <col min="1286" max="1286" width="13.7109375" style="53" bestFit="1" customWidth="1"/>
    <col min="1287" max="1287" width="15.7109375" style="53" bestFit="1" customWidth="1"/>
    <col min="1288" max="1288" width="13.140625" style="53" bestFit="1" customWidth="1"/>
    <col min="1289" max="1289" width="11.85546875" style="53" bestFit="1" customWidth="1"/>
    <col min="1290" max="1290" width="12.85546875" style="53" bestFit="1" customWidth="1"/>
    <col min="1291" max="1536" width="9.140625" style="53"/>
    <col min="1537" max="1537" width="9.28515625" style="53" customWidth="1"/>
    <col min="1538" max="1538" width="39.85546875" style="53" customWidth="1"/>
    <col min="1539" max="1539" width="18.28515625" style="53" customWidth="1"/>
    <col min="1540" max="1540" width="23.85546875" style="53" customWidth="1"/>
    <col min="1541" max="1541" width="16" style="53" bestFit="1" customWidth="1"/>
    <col min="1542" max="1542" width="13.7109375" style="53" bestFit="1" customWidth="1"/>
    <col min="1543" max="1543" width="15.7109375" style="53" bestFit="1" customWidth="1"/>
    <col min="1544" max="1544" width="13.140625" style="53" bestFit="1" customWidth="1"/>
    <col min="1545" max="1545" width="11.85546875" style="53" bestFit="1" customWidth="1"/>
    <col min="1546" max="1546" width="12.85546875" style="53" bestFit="1" customWidth="1"/>
    <col min="1547" max="1792" width="9.140625" style="53"/>
    <col min="1793" max="1793" width="9.28515625" style="53" customWidth="1"/>
    <col min="1794" max="1794" width="39.85546875" style="53" customWidth="1"/>
    <col min="1795" max="1795" width="18.28515625" style="53" customWidth="1"/>
    <col min="1796" max="1796" width="23.85546875" style="53" customWidth="1"/>
    <col min="1797" max="1797" width="16" style="53" bestFit="1" customWidth="1"/>
    <col min="1798" max="1798" width="13.7109375" style="53" bestFit="1" customWidth="1"/>
    <col min="1799" max="1799" width="15.7109375" style="53" bestFit="1" customWidth="1"/>
    <col min="1800" max="1800" width="13.140625" style="53" bestFit="1" customWidth="1"/>
    <col min="1801" max="1801" width="11.85546875" style="53" bestFit="1" customWidth="1"/>
    <col min="1802" max="1802" width="12.85546875" style="53" bestFit="1" customWidth="1"/>
    <col min="1803" max="2048" width="9.140625" style="53"/>
    <col min="2049" max="2049" width="9.28515625" style="53" customWidth="1"/>
    <col min="2050" max="2050" width="39.85546875" style="53" customWidth="1"/>
    <col min="2051" max="2051" width="18.28515625" style="53" customWidth="1"/>
    <col min="2052" max="2052" width="23.85546875" style="53" customWidth="1"/>
    <col min="2053" max="2053" width="16" style="53" bestFit="1" customWidth="1"/>
    <col min="2054" max="2054" width="13.7109375" style="53" bestFit="1" customWidth="1"/>
    <col min="2055" max="2055" width="15.7109375" style="53" bestFit="1" customWidth="1"/>
    <col min="2056" max="2056" width="13.140625" style="53" bestFit="1" customWidth="1"/>
    <col min="2057" max="2057" width="11.85546875" style="53" bestFit="1" customWidth="1"/>
    <col min="2058" max="2058" width="12.85546875" style="53" bestFit="1" customWidth="1"/>
    <col min="2059" max="2304" width="9.140625" style="53"/>
    <col min="2305" max="2305" width="9.28515625" style="53" customWidth="1"/>
    <col min="2306" max="2306" width="39.85546875" style="53" customWidth="1"/>
    <col min="2307" max="2307" width="18.28515625" style="53" customWidth="1"/>
    <col min="2308" max="2308" width="23.85546875" style="53" customWidth="1"/>
    <col min="2309" max="2309" width="16" style="53" bestFit="1" customWidth="1"/>
    <col min="2310" max="2310" width="13.7109375" style="53" bestFit="1" customWidth="1"/>
    <col min="2311" max="2311" width="15.7109375" style="53" bestFit="1" customWidth="1"/>
    <col min="2312" max="2312" width="13.140625" style="53" bestFit="1" customWidth="1"/>
    <col min="2313" max="2313" width="11.85546875" style="53" bestFit="1" customWidth="1"/>
    <col min="2314" max="2314" width="12.85546875" style="53" bestFit="1" customWidth="1"/>
    <col min="2315" max="2560" width="9.140625" style="53"/>
    <col min="2561" max="2561" width="9.28515625" style="53" customWidth="1"/>
    <col min="2562" max="2562" width="39.85546875" style="53" customWidth="1"/>
    <col min="2563" max="2563" width="18.28515625" style="53" customWidth="1"/>
    <col min="2564" max="2564" width="23.85546875" style="53" customWidth="1"/>
    <col min="2565" max="2565" width="16" style="53" bestFit="1" customWidth="1"/>
    <col min="2566" max="2566" width="13.7109375" style="53" bestFit="1" customWidth="1"/>
    <col min="2567" max="2567" width="15.7109375" style="53" bestFit="1" customWidth="1"/>
    <col min="2568" max="2568" width="13.140625" style="53" bestFit="1" customWidth="1"/>
    <col min="2569" max="2569" width="11.85546875" style="53" bestFit="1" customWidth="1"/>
    <col min="2570" max="2570" width="12.85546875" style="53" bestFit="1" customWidth="1"/>
    <col min="2571" max="2816" width="9.140625" style="53"/>
    <col min="2817" max="2817" width="9.28515625" style="53" customWidth="1"/>
    <col min="2818" max="2818" width="39.85546875" style="53" customWidth="1"/>
    <col min="2819" max="2819" width="18.28515625" style="53" customWidth="1"/>
    <col min="2820" max="2820" width="23.85546875" style="53" customWidth="1"/>
    <col min="2821" max="2821" width="16" style="53" bestFit="1" customWidth="1"/>
    <col min="2822" max="2822" width="13.7109375" style="53" bestFit="1" customWidth="1"/>
    <col min="2823" max="2823" width="15.7109375" style="53" bestFit="1" customWidth="1"/>
    <col min="2824" max="2824" width="13.140625" style="53" bestFit="1" customWidth="1"/>
    <col min="2825" max="2825" width="11.85546875" style="53" bestFit="1" customWidth="1"/>
    <col min="2826" max="2826" width="12.85546875" style="53" bestFit="1" customWidth="1"/>
    <col min="2827" max="3072" width="9.140625" style="53"/>
    <col min="3073" max="3073" width="9.28515625" style="53" customWidth="1"/>
    <col min="3074" max="3074" width="39.85546875" style="53" customWidth="1"/>
    <col min="3075" max="3075" width="18.28515625" style="53" customWidth="1"/>
    <col min="3076" max="3076" width="23.85546875" style="53" customWidth="1"/>
    <col min="3077" max="3077" width="16" style="53" bestFit="1" customWidth="1"/>
    <col min="3078" max="3078" width="13.7109375" style="53" bestFit="1" customWidth="1"/>
    <col min="3079" max="3079" width="15.7109375" style="53" bestFit="1" customWidth="1"/>
    <col min="3080" max="3080" width="13.140625" style="53" bestFit="1" customWidth="1"/>
    <col min="3081" max="3081" width="11.85546875" style="53" bestFit="1" customWidth="1"/>
    <col min="3082" max="3082" width="12.85546875" style="53" bestFit="1" customWidth="1"/>
    <col min="3083" max="3328" width="9.140625" style="53"/>
    <col min="3329" max="3329" width="9.28515625" style="53" customWidth="1"/>
    <col min="3330" max="3330" width="39.85546875" style="53" customWidth="1"/>
    <col min="3331" max="3331" width="18.28515625" style="53" customWidth="1"/>
    <col min="3332" max="3332" width="23.85546875" style="53" customWidth="1"/>
    <col min="3333" max="3333" width="16" style="53" bestFit="1" customWidth="1"/>
    <col min="3334" max="3334" width="13.7109375" style="53" bestFit="1" customWidth="1"/>
    <col min="3335" max="3335" width="15.7109375" style="53" bestFit="1" customWidth="1"/>
    <col min="3336" max="3336" width="13.140625" style="53" bestFit="1" customWidth="1"/>
    <col min="3337" max="3337" width="11.85546875" style="53" bestFit="1" customWidth="1"/>
    <col min="3338" max="3338" width="12.85546875" style="53" bestFit="1" customWidth="1"/>
    <col min="3339" max="3584" width="9.140625" style="53"/>
    <col min="3585" max="3585" width="9.28515625" style="53" customWidth="1"/>
    <col min="3586" max="3586" width="39.85546875" style="53" customWidth="1"/>
    <col min="3587" max="3587" width="18.28515625" style="53" customWidth="1"/>
    <col min="3588" max="3588" width="23.85546875" style="53" customWidth="1"/>
    <col min="3589" max="3589" width="16" style="53" bestFit="1" customWidth="1"/>
    <col min="3590" max="3590" width="13.7109375" style="53" bestFit="1" customWidth="1"/>
    <col min="3591" max="3591" width="15.7109375" style="53" bestFit="1" customWidth="1"/>
    <col min="3592" max="3592" width="13.140625" style="53" bestFit="1" customWidth="1"/>
    <col min="3593" max="3593" width="11.85546875" style="53" bestFit="1" customWidth="1"/>
    <col min="3594" max="3594" width="12.85546875" style="53" bestFit="1" customWidth="1"/>
    <col min="3595" max="3840" width="9.140625" style="53"/>
    <col min="3841" max="3841" width="9.28515625" style="53" customWidth="1"/>
    <col min="3842" max="3842" width="39.85546875" style="53" customWidth="1"/>
    <col min="3843" max="3843" width="18.28515625" style="53" customWidth="1"/>
    <col min="3844" max="3844" width="23.85546875" style="53" customWidth="1"/>
    <col min="3845" max="3845" width="16" style="53" bestFit="1" customWidth="1"/>
    <col min="3846" max="3846" width="13.7109375" style="53" bestFit="1" customWidth="1"/>
    <col min="3847" max="3847" width="15.7109375" style="53" bestFit="1" customWidth="1"/>
    <col min="3848" max="3848" width="13.140625" style="53" bestFit="1" customWidth="1"/>
    <col min="3849" max="3849" width="11.85546875" style="53" bestFit="1" customWidth="1"/>
    <col min="3850" max="3850" width="12.85546875" style="53" bestFit="1" customWidth="1"/>
    <col min="3851" max="4096" width="9.140625" style="53"/>
    <col min="4097" max="4097" width="9.28515625" style="53" customWidth="1"/>
    <col min="4098" max="4098" width="39.85546875" style="53" customWidth="1"/>
    <col min="4099" max="4099" width="18.28515625" style="53" customWidth="1"/>
    <col min="4100" max="4100" width="23.85546875" style="53" customWidth="1"/>
    <col min="4101" max="4101" width="16" style="53" bestFit="1" customWidth="1"/>
    <col min="4102" max="4102" width="13.7109375" style="53" bestFit="1" customWidth="1"/>
    <col min="4103" max="4103" width="15.7109375" style="53" bestFit="1" customWidth="1"/>
    <col min="4104" max="4104" width="13.140625" style="53" bestFit="1" customWidth="1"/>
    <col min="4105" max="4105" width="11.85546875" style="53" bestFit="1" customWidth="1"/>
    <col min="4106" max="4106" width="12.85546875" style="53" bestFit="1" customWidth="1"/>
    <col min="4107" max="4352" width="9.140625" style="53"/>
    <col min="4353" max="4353" width="9.28515625" style="53" customWidth="1"/>
    <col min="4354" max="4354" width="39.85546875" style="53" customWidth="1"/>
    <col min="4355" max="4355" width="18.28515625" style="53" customWidth="1"/>
    <col min="4356" max="4356" width="23.85546875" style="53" customWidth="1"/>
    <col min="4357" max="4357" width="16" style="53" bestFit="1" customWidth="1"/>
    <col min="4358" max="4358" width="13.7109375" style="53" bestFit="1" customWidth="1"/>
    <col min="4359" max="4359" width="15.7109375" style="53" bestFit="1" customWidth="1"/>
    <col min="4360" max="4360" width="13.140625" style="53" bestFit="1" customWidth="1"/>
    <col min="4361" max="4361" width="11.85546875" style="53" bestFit="1" customWidth="1"/>
    <col min="4362" max="4362" width="12.85546875" style="53" bestFit="1" customWidth="1"/>
    <col min="4363" max="4608" width="9.140625" style="53"/>
    <col min="4609" max="4609" width="9.28515625" style="53" customWidth="1"/>
    <col min="4610" max="4610" width="39.85546875" style="53" customWidth="1"/>
    <col min="4611" max="4611" width="18.28515625" style="53" customWidth="1"/>
    <col min="4612" max="4612" width="23.85546875" style="53" customWidth="1"/>
    <col min="4613" max="4613" width="16" style="53" bestFit="1" customWidth="1"/>
    <col min="4614" max="4614" width="13.7109375" style="53" bestFit="1" customWidth="1"/>
    <col min="4615" max="4615" width="15.7109375" style="53" bestFit="1" customWidth="1"/>
    <col min="4616" max="4616" width="13.140625" style="53" bestFit="1" customWidth="1"/>
    <col min="4617" max="4617" width="11.85546875" style="53" bestFit="1" customWidth="1"/>
    <col min="4618" max="4618" width="12.85546875" style="53" bestFit="1" customWidth="1"/>
    <col min="4619" max="4864" width="9.140625" style="53"/>
    <col min="4865" max="4865" width="9.28515625" style="53" customWidth="1"/>
    <col min="4866" max="4866" width="39.85546875" style="53" customWidth="1"/>
    <col min="4867" max="4867" width="18.28515625" style="53" customWidth="1"/>
    <col min="4868" max="4868" width="23.85546875" style="53" customWidth="1"/>
    <col min="4869" max="4869" width="16" style="53" bestFit="1" customWidth="1"/>
    <col min="4870" max="4870" width="13.7109375" style="53" bestFit="1" customWidth="1"/>
    <col min="4871" max="4871" width="15.7109375" style="53" bestFit="1" customWidth="1"/>
    <col min="4872" max="4872" width="13.140625" style="53" bestFit="1" customWidth="1"/>
    <col min="4873" max="4873" width="11.85546875" style="53" bestFit="1" customWidth="1"/>
    <col min="4874" max="4874" width="12.85546875" style="53" bestFit="1" customWidth="1"/>
    <col min="4875" max="5120" width="9.140625" style="53"/>
    <col min="5121" max="5121" width="9.28515625" style="53" customWidth="1"/>
    <col min="5122" max="5122" width="39.85546875" style="53" customWidth="1"/>
    <col min="5123" max="5123" width="18.28515625" style="53" customWidth="1"/>
    <col min="5124" max="5124" width="23.85546875" style="53" customWidth="1"/>
    <col min="5125" max="5125" width="16" style="53" bestFit="1" customWidth="1"/>
    <col min="5126" max="5126" width="13.7109375" style="53" bestFit="1" customWidth="1"/>
    <col min="5127" max="5127" width="15.7109375" style="53" bestFit="1" customWidth="1"/>
    <col min="5128" max="5128" width="13.140625" style="53" bestFit="1" customWidth="1"/>
    <col min="5129" max="5129" width="11.85546875" style="53" bestFit="1" customWidth="1"/>
    <col min="5130" max="5130" width="12.85546875" style="53" bestFit="1" customWidth="1"/>
    <col min="5131" max="5376" width="9.140625" style="53"/>
    <col min="5377" max="5377" width="9.28515625" style="53" customWidth="1"/>
    <col min="5378" max="5378" width="39.85546875" style="53" customWidth="1"/>
    <col min="5379" max="5379" width="18.28515625" style="53" customWidth="1"/>
    <col min="5380" max="5380" width="23.85546875" style="53" customWidth="1"/>
    <col min="5381" max="5381" width="16" style="53" bestFit="1" customWidth="1"/>
    <col min="5382" max="5382" width="13.7109375" style="53" bestFit="1" customWidth="1"/>
    <col min="5383" max="5383" width="15.7109375" style="53" bestFit="1" customWidth="1"/>
    <col min="5384" max="5384" width="13.140625" style="53" bestFit="1" customWidth="1"/>
    <col min="5385" max="5385" width="11.85546875" style="53" bestFit="1" customWidth="1"/>
    <col min="5386" max="5386" width="12.85546875" style="53" bestFit="1" customWidth="1"/>
    <col min="5387" max="5632" width="9.140625" style="53"/>
    <col min="5633" max="5633" width="9.28515625" style="53" customWidth="1"/>
    <col min="5634" max="5634" width="39.85546875" style="53" customWidth="1"/>
    <col min="5635" max="5635" width="18.28515625" style="53" customWidth="1"/>
    <col min="5636" max="5636" width="23.85546875" style="53" customWidth="1"/>
    <col min="5637" max="5637" width="16" style="53" bestFit="1" customWidth="1"/>
    <col min="5638" max="5638" width="13.7109375" style="53" bestFit="1" customWidth="1"/>
    <col min="5639" max="5639" width="15.7109375" style="53" bestFit="1" customWidth="1"/>
    <col min="5640" max="5640" width="13.140625" style="53" bestFit="1" customWidth="1"/>
    <col min="5641" max="5641" width="11.85546875" style="53" bestFit="1" customWidth="1"/>
    <col min="5642" max="5642" width="12.85546875" style="53" bestFit="1" customWidth="1"/>
    <col min="5643" max="5888" width="9.140625" style="53"/>
    <col min="5889" max="5889" width="9.28515625" style="53" customWidth="1"/>
    <col min="5890" max="5890" width="39.85546875" style="53" customWidth="1"/>
    <col min="5891" max="5891" width="18.28515625" style="53" customWidth="1"/>
    <col min="5892" max="5892" width="23.85546875" style="53" customWidth="1"/>
    <col min="5893" max="5893" width="16" style="53" bestFit="1" customWidth="1"/>
    <col min="5894" max="5894" width="13.7109375" style="53" bestFit="1" customWidth="1"/>
    <col min="5895" max="5895" width="15.7109375" style="53" bestFit="1" customWidth="1"/>
    <col min="5896" max="5896" width="13.140625" style="53" bestFit="1" customWidth="1"/>
    <col min="5897" max="5897" width="11.85546875" style="53" bestFit="1" customWidth="1"/>
    <col min="5898" max="5898" width="12.85546875" style="53" bestFit="1" customWidth="1"/>
    <col min="5899" max="6144" width="9.140625" style="53"/>
    <col min="6145" max="6145" width="9.28515625" style="53" customWidth="1"/>
    <col min="6146" max="6146" width="39.85546875" style="53" customWidth="1"/>
    <col min="6147" max="6147" width="18.28515625" style="53" customWidth="1"/>
    <col min="6148" max="6148" width="23.85546875" style="53" customWidth="1"/>
    <col min="6149" max="6149" width="16" style="53" bestFit="1" customWidth="1"/>
    <col min="6150" max="6150" width="13.7109375" style="53" bestFit="1" customWidth="1"/>
    <col min="6151" max="6151" width="15.7109375" style="53" bestFit="1" customWidth="1"/>
    <col min="6152" max="6152" width="13.140625" style="53" bestFit="1" customWidth="1"/>
    <col min="6153" max="6153" width="11.85546875" style="53" bestFit="1" customWidth="1"/>
    <col min="6154" max="6154" width="12.85546875" style="53" bestFit="1" customWidth="1"/>
    <col min="6155" max="6400" width="9.140625" style="53"/>
    <col min="6401" max="6401" width="9.28515625" style="53" customWidth="1"/>
    <col min="6402" max="6402" width="39.85546875" style="53" customWidth="1"/>
    <col min="6403" max="6403" width="18.28515625" style="53" customWidth="1"/>
    <col min="6404" max="6404" width="23.85546875" style="53" customWidth="1"/>
    <col min="6405" max="6405" width="16" style="53" bestFit="1" customWidth="1"/>
    <col min="6406" max="6406" width="13.7109375" style="53" bestFit="1" customWidth="1"/>
    <col min="6407" max="6407" width="15.7109375" style="53" bestFit="1" customWidth="1"/>
    <col min="6408" max="6408" width="13.140625" style="53" bestFit="1" customWidth="1"/>
    <col min="6409" max="6409" width="11.85546875" style="53" bestFit="1" customWidth="1"/>
    <col min="6410" max="6410" width="12.85546875" style="53" bestFit="1" customWidth="1"/>
    <col min="6411" max="6656" width="9.140625" style="53"/>
    <col min="6657" max="6657" width="9.28515625" style="53" customWidth="1"/>
    <col min="6658" max="6658" width="39.85546875" style="53" customWidth="1"/>
    <col min="6659" max="6659" width="18.28515625" style="53" customWidth="1"/>
    <col min="6660" max="6660" width="23.85546875" style="53" customWidth="1"/>
    <col min="6661" max="6661" width="16" style="53" bestFit="1" customWidth="1"/>
    <col min="6662" max="6662" width="13.7109375" style="53" bestFit="1" customWidth="1"/>
    <col min="6663" max="6663" width="15.7109375" style="53" bestFit="1" customWidth="1"/>
    <col min="6664" max="6664" width="13.140625" style="53" bestFit="1" customWidth="1"/>
    <col min="6665" max="6665" width="11.85546875" style="53" bestFit="1" customWidth="1"/>
    <col min="6666" max="6666" width="12.85546875" style="53" bestFit="1" customWidth="1"/>
    <col min="6667" max="6912" width="9.140625" style="53"/>
    <col min="6913" max="6913" width="9.28515625" style="53" customWidth="1"/>
    <col min="6914" max="6914" width="39.85546875" style="53" customWidth="1"/>
    <col min="6915" max="6915" width="18.28515625" style="53" customWidth="1"/>
    <col min="6916" max="6916" width="23.85546875" style="53" customWidth="1"/>
    <col min="6917" max="6917" width="16" style="53" bestFit="1" customWidth="1"/>
    <col min="6918" max="6918" width="13.7109375" style="53" bestFit="1" customWidth="1"/>
    <col min="6919" max="6919" width="15.7109375" style="53" bestFit="1" customWidth="1"/>
    <col min="6920" max="6920" width="13.140625" style="53" bestFit="1" customWidth="1"/>
    <col min="6921" max="6921" width="11.85546875" style="53" bestFit="1" customWidth="1"/>
    <col min="6922" max="6922" width="12.85546875" style="53" bestFit="1" customWidth="1"/>
    <col min="6923" max="7168" width="9.140625" style="53"/>
    <col min="7169" max="7169" width="9.28515625" style="53" customWidth="1"/>
    <col min="7170" max="7170" width="39.85546875" style="53" customWidth="1"/>
    <col min="7171" max="7171" width="18.28515625" style="53" customWidth="1"/>
    <col min="7172" max="7172" width="23.85546875" style="53" customWidth="1"/>
    <col min="7173" max="7173" width="16" style="53" bestFit="1" customWidth="1"/>
    <col min="7174" max="7174" width="13.7109375" style="53" bestFit="1" customWidth="1"/>
    <col min="7175" max="7175" width="15.7109375" style="53" bestFit="1" customWidth="1"/>
    <col min="7176" max="7176" width="13.140625" style="53" bestFit="1" customWidth="1"/>
    <col min="7177" max="7177" width="11.85546875" style="53" bestFit="1" customWidth="1"/>
    <col min="7178" max="7178" width="12.85546875" style="53" bestFit="1" customWidth="1"/>
    <col min="7179" max="7424" width="9.140625" style="53"/>
    <col min="7425" max="7425" width="9.28515625" style="53" customWidth="1"/>
    <col min="7426" max="7426" width="39.85546875" style="53" customWidth="1"/>
    <col min="7427" max="7427" width="18.28515625" style="53" customWidth="1"/>
    <col min="7428" max="7428" width="23.85546875" style="53" customWidth="1"/>
    <col min="7429" max="7429" width="16" style="53" bestFit="1" customWidth="1"/>
    <col min="7430" max="7430" width="13.7109375" style="53" bestFit="1" customWidth="1"/>
    <col min="7431" max="7431" width="15.7109375" style="53" bestFit="1" customWidth="1"/>
    <col min="7432" max="7432" width="13.140625" style="53" bestFit="1" customWidth="1"/>
    <col min="7433" max="7433" width="11.85546875" style="53" bestFit="1" customWidth="1"/>
    <col min="7434" max="7434" width="12.85546875" style="53" bestFit="1" customWidth="1"/>
    <col min="7435" max="7680" width="9.140625" style="53"/>
    <col min="7681" max="7681" width="9.28515625" style="53" customWidth="1"/>
    <col min="7682" max="7682" width="39.85546875" style="53" customWidth="1"/>
    <col min="7683" max="7683" width="18.28515625" style="53" customWidth="1"/>
    <col min="7684" max="7684" width="23.85546875" style="53" customWidth="1"/>
    <col min="7685" max="7685" width="16" style="53" bestFit="1" customWidth="1"/>
    <col min="7686" max="7686" width="13.7109375" style="53" bestFit="1" customWidth="1"/>
    <col min="7687" max="7687" width="15.7109375" style="53" bestFit="1" customWidth="1"/>
    <col min="7688" max="7688" width="13.140625" style="53" bestFit="1" customWidth="1"/>
    <col min="7689" max="7689" width="11.85546875" style="53" bestFit="1" customWidth="1"/>
    <col min="7690" max="7690" width="12.85546875" style="53" bestFit="1" customWidth="1"/>
    <col min="7691" max="7936" width="9.140625" style="53"/>
    <col min="7937" max="7937" width="9.28515625" style="53" customWidth="1"/>
    <col min="7938" max="7938" width="39.85546875" style="53" customWidth="1"/>
    <col min="7939" max="7939" width="18.28515625" style="53" customWidth="1"/>
    <col min="7940" max="7940" width="23.85546875" style="53" customWidth="1"/>
    <col min="7941" max="7941" width="16" style="53" bestFit="1" customWidth="1"/>
    <col min="7942" max="7942" width="13.7109375" style="53" bestFit="1" customWidth="1"/>
    <col min="7943" max="7943" width="15.7109375" style="53" bestFit="1" customWidth="1"/>
    <col min="7944" max="7944" width="13.140625" style="53" bestFit="1" customWidth="1"/>
    <col min="7945" max="7945" width="11.85546875" style="53" bestFit="1" customWidth="1"/>
    <col min="7946" max="7946" width="12.85546875" style="53" bestFit="1" customWidth="1"/>
    <col min="7947" max="8192" width="9.140625" style="53"/>
    <col min="8193" max="8193" width="9.28515625" style="53" customWidth="1"/>
    <col min="8194" max="8194" width="39.85546875" style="53" customWidth="1"/>
    <col min="8195" max="8195" width="18.28515625" style="53" customWidth="1"/>
    <col min="8196" max="8196" width="23.85546875" style="53" customWidth="1"/>
    <col min="8197" max="8197" width="16" style="53" bestFit="1" customWidth="1"/>
    <col min="8198" max="8198" width="13.7109375" style="53" bestFit="1" customWidth="1"/>
    <col min="8199" max="8199" width="15.7109375" style="53" bestFit="1" customWidth="1"/>
    <col min="8200" max="8200" width="13.140625" style="53" bestFit="1" customWidth="1"/>
    <col min="8201" max="8201" width="11.85546875" style="53" bestFit="1" customWidth="1"/>
    <col min="8202" max="8202" width="12.85546875" style="53" bestFit="1" customWidth="1"/>
    <col min="8203" max="8448" width="9.140625" style="53"/>
    <col min="8449" max="8449" width="9.28515625" style="53" customWidth="1"/>
    <col min="8450" max="8450" width="39.85546875" style="53" customWidth="1"/>
    <col min="8451" max="8451" width="18.28515625" style="53" customWidth="1"/>
    <col min="8452" max="8452" width="23.85546875" style="53" customWidth="1"/>
    <col min="8453" max="8453" width="16" style="53" bestFit="1" customWidth="1"/>
    <col min="8454" max="8454" width="13.7109375" style="53" bestFit="1" customWidth="1"/>
    <col min="8455" max="8455" width="15.7109375" style="53" bestFit="1" customWidth="1"/>
    <col min="8456" max="8456" width="13.140625" style="53" bestFit="1" customWidth="1"/>
    <col min="8457" max="8457" width="11.85546875" style="53" bestFit="1" customWidth="1"/>
    <col min="8458" max="8458" width="12.85546875" style="53" bestFit="1" customWidth="1"/>
    <col min="8459" max="8704" width="9.140625" style="53"/>
    <col min="8705" max="8705" width="9.28515625" style="53" customWidth="1"/>
    <col min="8706" max="8706" width="39.85546875" style="53" customWidth="1"/>
    <col min="8707" max="8707" width="18.28515625" style="53" customWidth="1"/>
    <col min="8708" max="8708" width="23.85546875" style="53" customWidth="1"/>
    <col min="8709" max="8709" width="16" style="53" bestFit="1" customWidth="1"/>
    <col min="8710" max="8710" width="13.7109375" style="53" bestFit="1" customWidth="1"/>
    <col min="8711" max="8711" width="15.7109375" style="53" bestFit="1" customWidth="1"/>
    <col min="8712" max="8712" width="13.140625" style="53" bestFit="1" customWidth="1"/>
    <col min="8713" max="8713" width="11.85546875" style="53" bestFit="1" customWidth="1"/>
    <col min="8714" max="8714" width="12.85546875" style="53" bestFit="1" customWidth="1"/>
    <col min="8715" max="8960" width="9.140625" style="53"/>
    <col min="8961" max="8961" width="9.28515625" style="53" customWidth="1"/>
    <col min="8962" max="8962" width="39.85546875" style="53" customWidth="1"/>
    <col min="8963" max="8963" width="18.28515625" style="53" customWidth="1"/>
    <col min="8964" max="8964" width="23.85546875" style="53" customWidth="1"/>
    <col min="8965" max="8965" width="16" style="53" bestFit="1" customWidth="1"/>
    <col min="8966" max="8966" width="13.7109375" style="53" bestFit="1" customWidth="1"/>
    <col min="8967" max="8967" width="15.7109375" style="53" bestFit="1" customWidth="1"/>
    <col min="8968" max="8968" width="13.140625" style="53" bestFit="1" customWidth="1"/>
    <col min="8969" max="8969" width="11.85546875" style="53" bestFit="1" customWidth="1"/>
    <col min="8970" max="8970" width="12.85546875" style="53" bestFit="1" customWidth="1"/>
    <col min="8971" max="9216" width="9.140625" style="53"/>
    <col min="9217" max="9217" width="9.28515625" style="53" customWidth="1"/>
    <col min="9218" max="9218" width="39.85546875" style="53" customWidth="1"/>
    <col min="9219" max="9219" width="18.28515625" style="53" customWidth="1"/>
    <col min="9220" max="9220" width="23.85546875" style="53" customWidth="1"/>
    <col min="9221" max="9221" width="16" style="53" bestFit="1" customWidth="1"/>
    <col min="9222" max="9222" width="13.7109375" style="53" bestFit="1" customWidth="1"/>
    <col min="9223" max="9223" width="15.7109375" style="53" bestFit="1" customWidth="1"/>
    <col min="9224" max="9224" width="13.140625" style="53" bestFit="1" customWidth="1"/>
    <col min="9225" max="9225" width="11.85546875" style="53" bestFit="1" customWidth="1"/>
    <col min="9226" max="9226" width="12.85546875" style="53" bestFit="1" customWidth="1"/>
    <col min="9227" max="9472" width="9.140625" style="53"/>
    <col min="9473" max="9473" width="9.28515625" style="53" customWidth="1"/>
    <col min="9474" max="9474" width="39.85546875" style="53" customWidth="1"/>
    <col min="9475" max="9475" width="18.28515625" style="53" customWidth="1"/>
    <col min="9476" max="9476" width="23.85546875" style="53" customWidth="1"/>
    <col min="9477" max="9477" width="16" style="53" bestFit="1" customWidth="1"/>
    <col min="9478" max="9478" width="13.7109375" style="53" bestFit="1" customWidth="1"/>
    <col min="9479" max="9479" width="15.7109375" style="53" bestFit="1" customWidth="1"/>
    <col min="9480" max="9480" width="13.140625" style="53" bestFit="1" customWidth="1"/>
    <col min="9481" max="9481" width="11.85546875" style="53" bestFit="1" customWidth="1"/>
    <col min="9482" max="9482" width="12.85546875" style="53" bestFit="1" customWidth="1"/>
    <col min="9483" max="9728" width="9.140625" style="53"/>
    <col min="9729" max="9729" width="9.28515625" style="53" customWidth="1"/>
    <col min="9730" max="9730" width="39.85546875" style="53" customWidth="1"/>
    <col min="9731" max="9731" width="18.28515625" style="53" customWidth="1"/>
    <col min="9732" max="9732" width="23.85546875" style="53" customWidth="1"/>
    <col min="9733" max="9733" width="16" style="53" bestFit="1" customWidth="1"/>
    <col min="9734" max="9734" width="13.7109375" style="53" bestFit="1" customWidth="1"/>
    <col min="9735" max="9735" width="15.7109375" style="53" bestFit="1" customWidth="1"/>
    <col min="9736" max="9736" width="13.140625" style="53" bestFit="1" customWidth="1"/>
    <col min="9737" max="9737" width="11.85546875" style="53" bestFit="1" customWidth="1"/>
    <col min="9738" max="9738" width="12.85546875" style="53" bestFit="1" customWidth="1"/>
    <col min="9739" max="9984" width="9.140625" style="53"/>
    <col min="9985" max="9985" width="9.28515625" style="53" customWidth="1"/>
    <col min="9986" max="9986" width="39.85546875" style="53" customWidth="1"/>
    <col min="9987" max="9987" width="18.28515625" style="53" customWidth="1"/>
    <col min="9988" max="9988" width="23.85546875" style="53" customWidth="1"/>
    <col min="9989" max="9989" width="16" style="53" bestFit="1" customWidth="1"/>
    <col min="9990" max="9990" width="13.7109375" style="53" bestFit="1" customWidth="1"/>
    <col min="9991" max="9991" width="15.7109375" style="53" bestFit="1" customWidth="1"/>
    <col min="9992" max="9992" width="13.140625" style="53" bestFit="1" customWidth="1"/>
    <col min="9993" max="9993" width="11.85546875" style="53" bestFit="1" customWidth="1"/>
    <col min="9994" max="9994" width="12.85546875" style="53" bestFit="1" customWidth="1"/>
    <col min="9995" max="10240" width="9.140625" style="53"/>
    <col min="10241" max="10241" width="9.28515625" style="53" customWidth="1"/>
    <col min="10242" max="10242" width="39.85546875" style="53" customWidth="1"/>
    <col min="10243" max="10243" width="18.28515625" style="53" customWidth="1"/>
    <col min="10244" max="10244" width="23.85546875" style="53" customWidth="1"/>
    <col min="10245" max="10245" width="16" style="53" bestFit="1" customWidth="1"/>
    <col min="10246" max="10246" width="13.7109375" style="53" bestFit="1" customWidth="1"/>
    <col min="10247" max="10247" width="15.7109375" style="53" bestFit="1" customWidth="1"/>
    <col min="10248" max="10248" width="13.140625" style="53" bestFit="1" customWidth="1"/>
    <col min="10249" max="10249" width="11.85546875" style="53" bestFit="1" customWidth="1"/>
    <col min="10250" max="10250" width="12.85546875" style="53" bestFit="1" customWidth="1"/>
    <col min="10251" max="10496" width="9.140625" style="53"/>
    <col min="10497" max="10497" width="9.28515625" style="53" customWidth="1"/>
    <col min="10498" max="10498" width="39.85546875" style="53" customWidth="1"/>
    <col min="10499" max="10499" width="18.28515625" style="53" customWidth="1"/>
    <col min="10500" max="10500" width="23.85546875" style="53" customWidth="1"/>
    <col min="10501" max="10501" width="16" style="53" bestFit="1" customWidth="1"/>
    <col min="10502" max="10502" width="13.7109375" style="53" bestFit="1" customWidth="1"/>
    <col min="10503" max="10503" width="15.7109375" style="53" bestFit="1" customWidth="1"/>
    <col min="10504" max="10504" width="13.140625" style="53" bestFit="1" customWidth="1"/>
    <col min="10505" max="10505" width="11.85546875" style="53" bestFit="1" customWidth="1"/>
    <col min="10506" max="10506" width="12.85546875" style="53" bestFit="1" customWidth="1"/>
    <col min="10507" max="10752" width="9.140625" style="53"/>
    <col min="10753" max="10753" width="9.28515625" style="53" customWidth="1"/>
    <col min="10754" max="10754" width="39.85546875" style="53" customWidth="1"/>
    <col min="10755" max="10755" width="18.28515625" style="53" customWidth="1"/>
    <col min="10756" max="10756" width="23.85546875" style="53" customWidth="1"/>
    <col min="10757" max="10757" width="16" style="53" bestFit="1" customWidth="1"/>
    <col min="10758" max="10758" width="13.7109375" style="53" bestFit="1" customWidth="1"/>
    <col min="10759" max="10759" width="15.7109375" style="53" bestFit="1" customWidth="1"/>
    <col min="10760" max="10760" width="13.140625" style="53" bestFit="1" customWidth="1"/>
    <col min="10761" max="10761" width="11.85546875" style="53" bestFit="1" customWidth="1"/>
    <col min="10762" max="10762" width="12.85546875" style="53" bestFit="1" customWidth="1"/>
    <col min="10763" max="11008" width="9.140625" style="53"/>
    <col min="11009" max="11009" width="9.28515625" style="53" customWidth="1"/>
    <col min="11010" max="11010" width="39.85546875" style="53" customWidth="1"/>
    <col min="11011" max="11011" width="18.28515625" style="53" customWidth="1"/>
    <col min="11012" max="11012" width="23.85546875" style="53" customWidth="1"/>
    <col min="11013" max="11013" width="16" style="53" bestFit="1" customWidth="1"/>
    <col min="11014" max="11014" width="13.7109375" style="53" bestFit="1" customWidth="1"/>
    <col min="11015" max="11015" width="15.7109375" style="53" bestFit="1" customWidth="1"/>
    <col min="11016" max="11016" width="13.140625" style="53" bestFit="1" customWidth="1"/>
    <col min="11017" max="11017" width="11.85546875" style="53" bestFit="1" customWidth="1"/>
    <col min="11018" max="11018" width="12.85546875" style="53" bestFit="1" customWidth="1"/>
    <col min="11019" max="11264" width="9.140625" style="53"/>
    <col min="11265" max="11265" width="9.28515625" style="53" customWidth="1"/>
    <col min="11266" max="11266" width="39.85546875" style="53" customWidth="1"/>
    <col min="11267" max="11267" width="18.28515625" style="53" customWidth="1"/>
    <col min="11268" max="11268" width="23.85546875" style="53" customWidth="1"/>
    <col min="11269" max="11269" width="16" style="53" bestFit="1" customWidth="1"/>
    <col min="11270" max="11270" width="13.7109375" style="53" bestFit="1" customWidth="1"/>
    <col min="11271" max="11271" width="15.7109375" style="53" bestFit="1" customWidth="1"/>
    <col min="11272" max="11272" width="13.140625" style="53" bestFit="1" customWidth="1"/>
    <col min="11273" max="11273" width="11.85546875" style="53" bestFit="1" customWidth="1"/>
    <col min="11274" max="11274" width="12.85546875" style="53" bestFit="1" customWidth="1"/>
    <col min="11275" max="11520" width="9.140625" style="53"/>
    <col min="11521" max="11521" width="9.28515625" style="53" customWidth="1"/>
    <col min="11522" max="11522" width="39.85546875" style="53" customWidth="1"/>
    <col min="11523" max="11523" width="18.28515625" style="53" customWidth="1"/>
    <col min="11524" max="11524" width="23.85546875" style="53" customWidth="1"/>
    <col min="11525" max="11525" width="16" style="53" bestFit="1" customWidth="1"/>
    <col min="11526" max="11526" width="13.7109375" style="53" bestFit="1" customWidth="1"/>
    <col min="11527" max="11527" width="15.7109375" style="53" bestFit="1" customWidth="1"/>
    <col min="11528" max="11528" width="13.140625" style="53" bestFit="1" customWidth="1"/>
    <col min="11529" max="11529" width="11.85546875" style="53" bestFit="1" customWidth="1"/>
    <col min="11530" max="11530" width="12.85546875" style="53" bestFit="1" customWidth="1"/>
    <col min="11531" max="11776" width="9.140625" style="53"/>
    <col min="11777" max="11777" width="9.28515625" style="53" customWidth="1"/>
    <col min="11778" max="11778" width="39.85546875" style="53" customWidth="1"/>
    <col min="11779" max="11779" width="18.28515625" style="53" customWidth="1"/>
    <col min="11780" max="11780" width="23.85546875" style="53" customWidth="1"/>
    <col min="11781" max="11781" width="16" style="53" bestFit="1" customWidth="1"/>
    <col min="11782" max="11782" width="13.7109375" style="53" bestFit="1" customWidth="1"/>
    <col min="11783" max="11783" width="15.7109375" style="53" bestFit="1" customWidth="1"/>
    <col min="11784" max="11784" width="13.140625" style="53" bestFit="1" customWidth="1"/>
    <col min="11785" max="11785" width="11.85546875" style="53" bestFit="1" customWidth="1"/>
    <col min="11786" max="11786" width="12.85546875" style="53" bestFit="1" customWidth="1"/>
    <col min="11787" max="12032" width="9.140625" style="53"/>
    <col min="12033" max="12033" width="9.28515625" style="53" customWidth="1"/>
    <col min="12034" max="12034" width="39.85546875" style="53" customWidth="1"/>
    <col min="12035" max="12035" width="18.28515625" style="53" customWidth="1"/>
    <col min="12036" max="12036" width="23.85546875" style="53" customWidth="1"/>
    <col min="12037" max="12037" width="16" style="53" bestFit="1" customWidth="1"/>
    <col min="12038" max="12038" width="13.7109375" style="53" bestFit="1" customWidth="1"/>
    <col min="12039" max="12039" width="15.7109375" style="53" bestFit="1" customWidth="1"/>
    <col min="12040" max="12040" width="13.140625" style="53" bestFit="1" customWidth="1"/>
    <col min="12041" max="12041" width="11.85546875" style="53" bestFit="1" customWidth="1"/>
    <col min="12042" max="12042" width="12.85546875" style="53" bestFit="1" customWidth="1"/>
    <col min="12043" max="12288" width="9.140625" style="53"/>
    <col min="12289" max="12289" width="9.28515625" style="53" customWidth="1"/>
    <col min="12290" max="12290" width="39.85546875" style="53" customWidth="1"/>
    <col min="12291" max="12291" width="18.28515625" style="53" customWidth="1"/>
    <col min="12292" max="12292" width="23.85546875" style="53" customWidth="1"/>
    <col min="12293" max="12293" width="16" style="53" bestFit="1" customWidth="1"/>
    <col min="12294" max="12294" width="13.7109375" style="53" bestFit="1" customWidth="1"/>
    <col min="12295" max="12295" width="15.7109375" style="53" bestFit="1" customWidth="1"/>
    <col min="12296" max="12296" width="13.140625" style="53" bestFit="1" customWidth="1"/>
    <col min="12297" max="12297" width="11.85546875" style="53" bestFit="1" customWidth="1"/>
    <col min="12298" max="12298" width="12.85546875" style="53" bestFit="1" customWidth="1"/>
    <col min="12299" max="12544" width="9.140625" style="53"/>
    <col min="12545" max="12545" width="9.28515625" style="53" customWidth="1"/>
    <col min="12546" max="12546" width="39.85546875" style="53" customWidth="1"/>
    <col min="12547" max="12547" width="18.28515625" style="53" customWidth="1"/>
    <col min="12548" max="12548" width="23.85546875" style="53" customWidth="1"/>
    <col min="12549" max="12549" width="16" style="53" bestFit="1" customWidth="1"/>
    <col min="12550" max="12550" width="13.7109375" style="53" bestFit="1" customWidth="1"/>
    <col min="12551" max="12551" width="15.7109375" style="53" bestFit="1" customWidth="1"/>
    <col min="12552" max="12552" width="13.140625" style="53" bestFit="1" customWidth="1"/>
    <col min="12553" max="12553" width="11.85546875" style="53" bestFit="1" customWidth="1"/>
    <col min="12554" max="12554" width="12.85546875" style="53" bestFit="1" customWidth="1"/>
    <col min="12555" max="12800" width="9.140625" style="53"/>
    <col min="12801" max="12801" width="9.28515625" style="53" customWidth="1"/>
    <col min="12802" max="12802" width="39.85546875" style="53" customWidth="1"/>
    <col min="12803" max="12803" width="18.28515625" style="53" customWidth="1"/>
    <col min="12804" max="12804" width="23.85546875" style="53" customWidth="1"/>
    <col min="12805" max="12805" width="16" style="53" bestFit="1" customWidth="1"/>
    <col min="12806" max="12806" width="13.7109375" style="53" bestFit="1" customWidth="1"/>
    <col min="12807" max="12807" width="15.7109375" style="53" bestFit="1" customWidth="1"/>
    <col min="12808" max="12808" width="13.140625" style="53" bestFit="1" customWidth="1"/>
    <col min="12809" max="12809" width="11.85546875" style="53" bestFit="1" customWidth="1"/>
    <col min="12810" max="12810" width="12.85546875" style="53" bestFit="1" customWidth="1"/>
    <col min="12811" max="13056" width="9.140625" style="53"/>
    <col min="13057" max="13057" width="9.28515625" style="53" customWidth="1"/>
    <col min="13058" max="13058" width="39.85546875" style="53" customWidth="1"/>
    <col min="13059" max="13059" width="18.28515625" style="53" customWidth="1"/>
    <col min="13060" max="13060" width="23.85546875" style="53" customWidth="1"/>
    <col min="13061" max="13061" width="16" style="53" bestFit="1" customWidth="1"/>
    <col min="13062" max="13062" width="13.7109375" style="53" bestFit="1" customWidth="1"/>
    <col min="13063" max="13063" width="15.7109375" style="53" bestFit="1" customWidth="1"/>
    <col min="13064" max="13064" width="13.140625" style="53" bestFit="1" customWidth="1"/>
    <col min="13065" max="13065" width="11.85546875" style="53" bestFit="1" customWidth="1"/>
    <col min="13066" max="13066" width="12.85546875" style="53" bestFit="1" customWidth="1"/>
    <col min="13067" max="13312" width="9.140625" style="53"/>
    <col min="13313" max="13313" width="9.28515625" style="53" customWidth="1"/>
    <col min="13314" max="13314" width="39.85546875" style="53" customWidth="1"/>
    <col min="13315" max="13315" width="18.28515625" style="53" customWidth="1"/>
    <col min="13316" max="13316" width="23.85546875" style="53" customWidth="1"/>
    <col min="13317" max="13317" width="16" style="53" bestFit="1" customWidth="1"/>
    <col min="13318" max="13318" width="13.7109375" style="53" bestFit="1" customWidth="1"/>
    <col min="13319" max="13319" width="15.7109375" style="53" bestFit="1" customWidth="1"/>
    <col min="13320" max="13320" width="13.140625" style="53" bestFit="1" customWidth="1"/>
    <col min="13321" max="13321" width="11.85546875" style="53" bestFit="1" customWidth="1"/>
    <col min="13322" max="13322" width="12.85546875" style="53" bestFit="1" customWidth="1"/>
    <col min="13323" max="13568" width="9.140625" style="53"/>
    <col min="13569" max="13569" width="9.28515625" style="53" customWidth="1"/>
    <col min="13570" max="13570" width="39.85546875" style="53" customWidth="1"/>
    <col min="13571" max="13571" width="18.28515625" style="53" customWidth="1"/>
    <col min="13572" max="13572" width="23.85546875" style="53" customWidth="1"/>
    <col min="13573" max="13573" width="16" style="53" bestFit="1" customWidth="1"/>
    <col min="13574" max="13574" width="13.7109375" style="53" bestFit="1" customWidth="1"/>
    <col min="13575" max="13575" width="15.7109375" style="53" bestFit="1" customWidth="1"/>
    <col min="13576" max="13576" width="13.140625" style="53" bestFit="1" customWidth="1"/>
    <col min="13577" max="13577" width="11.85546875" style="53" bestFit="1" customWidth="1"/>
    <col min="13578" max="13578" width="12.85546875" style="53" bestFit="1" customWidth="1"/>
    <col min="13579" max="13824" width="9.140625" style="53"/>
    <col min="13825" max="13825" width="9.28515625" style="53" customWidth="1"/>
    <col min="13826" max="13826" width="39.85546875" style="53" customWidth="1"/>
    <col min="13827" max="13827" width="18.28515625" style="53" customWidth="1"/>
    <col min="13828" max="13828" width="23.85546875" style="53" customWidth="1"/>
    <col min="13829" max="13829" width="16" style="53" bestFit="1" customWidth="1"/>
    <col min="13830" max="13830" width="13.7109375" style="53" bestFit="1" customWidth="1"/>
    <col min="13831" max="13831" width="15.7109375" style="53" bestFit="1" customWidth="1"/>
    <col min="13832" max="13832" width="13.140625" style="53" bestFit="1" customWidth="1"/>
    <col min="13833" max="13833" width="11.85546875" style="53" bestFit="1" customWidth="1"/>
    <col min="13834" max="13834" width="12.85546875" style="53" bestFit="1" customWidth="1"/>
    <col min="13835" max="14080" width="9.140625" style="53"/>
    <col min="14081" max="14081" width="9.28515625" style="53" customWidth="1"/>
    <col min="14082" max="14082" width="39.85546875" style="53" customWidth="1"/>
    <col min="14083" max="14083" width="18.28515625" style="53" customWidth="1"/>
    <col min="14084" max="14084" width="23.85546875" style="53" customWidth="1"/>
    <col min="14085" max="14085" width="16" style="53" bestFit="1" customWidth="1"/>
    <col min="14086" max="14086" width="13.7109375" style="53" bestFit="1" customWidth="1"/>
    <col min="14087" max="14087" width="15.7109375" style="53" bestFit="1" customWidth="1"/>
    <col min="14088" max="14088" width="13.140625" style="53" bestFit="1" customWidth="1"/>
    <col min="14089" max="14089" width="11.85546875" style="53" bestFit="1" customWidth="1"/>
    <col min="14090" max="14090" width="12.85546875" style="53" bestFit="1" customWidth="1"/>
    <col min="14091" max="14336" width="9.140625" style="53"/>
    <col min="14337" max="14337" width="9.28515625" style="53" customWidth="1"/>
    <col min="14338" max="14338" width="39.85546875" style="53" customWidth="1"/>
    <col min="14339" max="14339" width="18.28515625" style="53" customWidth="1"/>
    <col min="14340" max="14340" width="23.85546875" style="53" customWidth="1"/>
    <col min="14341" max="14341" width="16" style="53" bestFit="1" customWidth="1"/>
    <col min="14342" max="14342" width="13.7109375" style="53" bestFit="1" customWidth="1"/>
    <col min="14343" max="14343" width="15.7109375" style="53" bestFit="1" customWidth="1"/>
    <col min="14344" max="14344" width="13.140625" style="53" bestFit="1" customWidth="1"/>
    <col min="14345" max="14345" width="11.85546875" style="53" bestFit="1" customWidth="1"/>
    <col min="14346" max="14346" width="12.85546875" style="53" bestFit="1" customWidth="1"/>
    <col min="14347" max="14592" width="9.140625" style="53"/>
    <col min="14593" max="14593" width="9.28515625" style="53" customWidth="1"/>
    <col min="14594" max="14594" width="39.85546875" style="53" customWidth="1"/>
    <col min="14595" max="14595" width="18.28515625" style="53" customWidth="1"/>
    <col min="14596" max="14596" width="23.85546875" style="53" customWidth="1"/>
    <col min="14597" max="14597" width="16" style="53" bestFit="1" customWidth="1"/>
    <col min="14598" max="14598" width="13.7109375" style="53" bestFit="1" customWidth="1"/>
    <col min="14599" max="14599" width="15.7109375" style="53" bestFit="1" customWidth="1"/>
    <col min="14600" max="14600" width="13.140625" style="53" bestFit="1" customWidth="1"/>
    <col min="14601" max="14601" width="11.85546875" style="53" bestFit="1" customWidth="1"/>
    <col min="14602" max="14602" width="12.85546875" style="53" bestFit="1" customWidth="1"/>
    <col min="14603" max="14848" width="9.140625" style="53"/>
    <col min="14849" max="14849" width="9.28515625" style="53" customWidth="1"/>
    <col min="14850" max="14850" width="39.85546875" style="53" customWidth="1"/>
    <col min="14851" max="14851" width="18.28515625" style="53" customWidth="1"/>
    <col min="14852" max="14852" width="23.85546875" style="53" customWidth="1"/>
    <col min="14853" max="14853" width="16" style="53" bestFit="1" customWidth="1"/>
    <col min="14854" max="14854" width="13.7109375" style="53" bestFit="1" customWidth="1"/>
    <col min="14855" max="14855" width="15.7109375" style="53" bestFit="1" customWidth="1"/>
    <col min="14856" max="14856" width="13.140625" style="53" bestFit="1" customWidth="1"/>
    <col min="14857" max="14857" width="11.85546875" style="53" bestFit="1" customWidth="1"/>
    <col min="14858" max="14858" width="12.85546875" style="53" bestFit="1" customWidth="1"/>
    <col min="14859" max="15104" width="9.140625" style="53"/>
    <col min="15105" max="15105" width="9.28515625" style="53" customWidth="1"/>
    <col min="15106" max="15106" width="39.85546875" style="53" customWidth="1"/>
    <col min="15107" max="15107" width="18.28515625" style="53" customWidth="1"/>
    <col min="15108" max="15108" width="23.85546875" style="53" customWidth="1"/>
    <col min="15109" max="15109" width="16" style="53" bestFit="1" customWidth="1"/>
    <col min="15110" max="15110" width="13.7109375" style="53" bestFit="1" customWidth="1"/>
    <col min="15111" max="15111" width="15.7109375" style="53" bestFit="1" customWidth="1"/>
    <col min="15112" max="15112" width="13.140625" style="53" bestFit="1" customWidth="1"/>
    <col min="15113" max="15113" width="11.85546875" style="53" bestFit="1" customWidth="1"/>
    <col min="15114" max="15114" width="12.85546875" style="53" bestFit="1" customWidth="1"/>
    <col min="15115" max="15360" width="9.140625" style="53"/>
    <col min="15361" max="15361" width="9.28515625" style="53" customWidth="1"/>
    <col min="15362" max="15362" width="39.85546875" style="53" customWidth="1"/>
    <col min="15363" max="15363" width="18.28515625" style="53" customWidth="1"/>
    <col min="15364" max="15364" width="23.85546875" style="53" customWidth="1"/>
    <col min="15365" max="15365" width="16" style="53" bestFit="1" customWidth="1"/>
    <col min="15366" max="15366" width="13.7109375" style="53" bestFit="1" customWidth="1"/>
    <col min="15367" max="15367" width="15.7109375" style="53" bestFit="1" customWidth="1"/>
    <col min="15368" max="15368" width="13.140625" style="53" bestFit="1" customWidth="1"/>
    <col min="15369" max="15369" width="11.85546875" style="53" bestFit="1" customWidth="1"/>
    <col min="15370" max="15370" width="12.85546875" style="53" bestFit="1" customWidth="1"/>
    <col min="15371" max="15616" width="9.140625" style="53"/>
    <col min="15617" max="15617" width="9.28515625" style="53" customWidth="1"/>
    <col min="15618" max="15618" width="39.85546875" style="53" customWidth="1"/>
    <col min="15619" max="15619" width="18.28515625" style="53" customWidth="1"/>
    <col min="15620" max="15620" width="23.85546875" style="53" customWidth="1"/>
    <col min="15621" max="15621" width="16" style="53" bestFit="1" customWidth="1"/>
    <col min="15622" max="15622" width="13.7109375" style="53" bestFit="1" customWidth="1"/>
    <col min="15623" max="15623" width="15.7109375" style="53" bestFit="1" customWidth="1"/>
    <col min="15624" max="15624" width="13.140625" style="53" bestFit="1" customWidth="1"/>
    <col min="15625" max="15625" width="11.85546875" style="53" bestFit="1" customWidth="1"/>
    <col min="15626" max="15626" width="12.85546875" style="53" bestFit="1" customWidth="1"/>
    <col min="15627" max="15872" width="9.140625" style="53"/>
    <col min="15873" max="15873" width="9.28515625" style="53" customWidth="1"/>
    <col min="15874" max="15874" width="39.85546875" style="53" customWidth="1"/>
    <col min="15875" max="15875" width="18.28515625" style="53" customWidth="1"/>
    <col min="15876" max="15876" width="23.85546875" style="53" customWidth="1"/>
    <col min="15877" max="15877" width="16" style="53" bestFit="1" customWidth="1"/>
    <col min="15878" max="15878" width="13.7109375" style="53" bestFit="1" customWidth="1"/>
    <col min="15879" max="15879" width="15.7109375" style="53" bestFit="1" customWidth="1"/>
    <col min="15880" max="15880" width="13.140625" style="53" bestFit="1" customWidth="1"/>
    <col min="15881" max="15881" width="11.85546875" style="53" bestFit="1" customWidth="1"/>
    <col min="15882" max="15882" width="12.85546875" style="53" bestFit="1" customWidth="1"/>
    <col min="15883" max="16128" width="9.140625" style="53"/>
    <col min="16129" max="16129" width="9.28515625" style="53" customWidth="1"/>
    <col min="16130" max="16130" width="39.85546875" style="53" customWidth="1"/>
    <col min="16131" max="16131" width="18.28515625" style="53" customWidth="1"/>
    <col min="16132" max="16132" width="23.85546875" style="53" customWidth="1"/>
    <col min="16133" max="16133" width="16" style="53" bestFit="1" customWidth="1"/>
    <col min="16134" max="16134" width="13.7109375" style="53" bestFit="1" customWidth="1"/>
    <col min="16135" max="16135" width="15.7109375" style="53" bestFit="1" customWidth="1"/>
    <col min="16136" max="16136" width="13.140625" style="53" bestFit="1" customWidth="1"/>
    <col min="16137" max="16137" width="11.85546875" style="53" bestFit="1" customWidth="1"/>
    <col min="16138" max="16138" width="12.85546875" style="53" bestFit="1" customWidth="1"/>
    <col min="16139" max="16384" width="9.140625" style="53"/>
  </cols>
  <sheetData>
    <row r="3" spans="1:7" ht="15.75" customHeight="1">
      <c r="A3" s="543" t="s">
        <v>255</v>
      </c>
      <c r="B3" s="543"/>
      <c r="C3" s="543"/>
      <c r="D3" s="543"/>
      <c r="E3" s="52"/>
      <c r="F3" s="52"/>
      <c r="G3" s="52"/>
    </row>
    <row r="4" spans="1:7">
      <c r="A4" s="543"/>
      <c r="B4" s="543"/>
      <c r="C4" s="543"/>
      <c r="D4" s="543"/>
      <c r="E4" s="52"/>
      <c r="F4" s="52"/>
      <c r="G4" s="52"/>
    </row>
    <row r="5" spans="1:7">
      <c r="A5" s="54"/>
      <c r="B5" s="52"/>
      <c r="C5" s="52"/>
      <c r="D5" s="52"/>
      <c r="E5" s="52"/>
      <c r="F5" s="52"/>
      <c r="G5" s="52"/>
    </row>
    <row r="6" spans="1:7" ht="15.75" customHeight="1">
      <c r="A6" s="544" t="s">
        <v>550</v>
      </c>
      <c r="B6" s="544"/>
      <c r="C6" s="544"/>
      <c r="D6" s="544"/>
      <c r="E6" s="52"/>
      <c r="F6" s="52"/>
      <c r="G6" s="52"/>
    </row>
    <row r="7" spans="1:7">
      <c r="A7" s="522"/>
      <c r="B7" s="522"/>
      <c r="C7" s="522"/>
      <c r="D7" s="522"/>
    </row>
    <row r="8" spans="1:7">
      <c r="A8" s="237" t="s">
        <v>551</v>
      </c>
      <c r="B8" s="238"/>
      <c r="C8" s="56"/>
      <c r="D8" s="56"/>
    </row>
    <row r="9" spans="1:7">
      <c r="A9" s="522"/>
      <c r="B9" s="522"/>
      <c r="C9" s="522"/>
      <c r="D9" s="522"/>
    </row>
    <row r="10" spans="1:7">
      <c r="A10" s="57" t="s">
        <v>256</v>
      </c>
      <c r="B10" s="58"/>
      <c r="C10" s="56"/>
      <c r="D10" s="56"/>
    </row>
    <row r="11" spans="1:7">
      <c r="A11" s="59" t="s">
        <v>257</v>
      </c>
      <c r="B11" s="541" t="s">
        <v>258</v>
      </c>
      <c r="C11" s="542"/>
      <c r="D11" s="239">
        <v>42550</v>
      </c>
    </row>
    <row r="12" spans="1:7">
      <c r="A12" s="59" t="s">
        <v>259</v>
      </c>
      <c r="B12" s="62" t="s">
        <v>260</v>
      </c>
      <c r="C12" s="63"/>
      <c r="D12" s="240" t="s">
        <v>374</v>
      </c>
    </row>
    <row r="13" spans="1:7">
      <c r="A13" s="59" t="s">
        <v>261</v>
      </c>
      <c r="B13" s="541" t="s">
        <v>262</v>
      </c>
      <c r="C13" s="542"/>
      <c r="D13" s="240">
        <v>2016</v>
      </c>
    </row>
    <row r="14" spans="1:7">
      <c r="A14" s="64" t="s">
        <v>263</v>
      </c>
      <c r="B14" s="65" t="s">
        <v>555</v>
      </c>
      <c r="C14" s="66"/>
      <c r="D14" s="239">
        <v>42625</v>
      </c>
    </row>
    <row r="16" spans="1:7">
      <c r="A16" s="55"/>
    </row>
    <row r="17" spans="1:7">
      <c r="A17" s="523"/>
      <c r="B17" s="523"/>
      <c r="C17" s="523"/>
      <c r="D17" s="523"/>
      <c r="E17" s="523"/>
      <c r="F17" s="523"/>
      <c r="G17" s="523"/>
    </row>
    <row r="18" spans="1:7" ht="35.25" customHeight="1">
      <c r="A18" s="545" t="s">
        <v>264</v>
      </c>
      <c r="B18" s="545"/>
      <c r="C18" s="67" t="s">
        <v>265</v>
      </c>
      <c r="D18" s="67" t="s">
        <v>266</v>
      </c>
    </row>
    <row r="19" spans="1:7">
      <c r="A19" s="241">
        <v>1</v>
      </c>
      <c r="B19" s="242" t="s">
        <v>556</v>
      </c>
      <c r="C19" s="241" t="s">
        <v>267</v>
      </c>
      <c r="D19" s="243">
        <v>1</v>
      </c>
    </row>
    <row r="20" spans="1:7">
      <c r="A20" s="68"/>
      <c r="B20" s="69"/>
      <c r="C20" s="68"/>
      <c r="D20" s="70"/>
    </row>
    <row r="21" spans="1:7">
      <c r="A21" s="522" t="s">
        <v>268</v>
      </c>
      <c r="B21" s="522"/>
      <c r="C21" s="522"/>
      <c r="D21" s="522"/>
      <c r="E21" s="522"/>
      <c r="F21" s="522"/>
      <c r="G21" s="522"/>
    </row>
    <row r="22" spans="1:7">
      <c r="A22" s="71"/>
    </row>
    <row r="23" spans="1:7">
      <c r="A23" s="57" t="s">
        <v>269</v>
      </c>
    </row>
    <row r="24" spans="1:7">
      <c r="A24" s="57" t="s">
        <v>270</v>
      </c>
    </row>
    <row r="25" spans="1:7">
      <c r="A25" s="72" t="s">
        <v>271</v>
      </c>
      <c r="B25" s="60"/>
      <c r="C25" s="60"/>
      <c r="D25" s="61"/>
    </row>
    <row r="26" spans="1:7">
      <c r="A26" s="73">
        <v>1</v>
      </c>
      <c r="B26" s="74" t="s">
        <v>272</v>
      </c>
      <c r="C26" s="74"/>
      <c r="D26" s="244" t="str">
        <f>B19</f>
        <v>SUPERVISOR</v>
      </c>
    </row>
    <row r="27" spans="1:7" ht="30.75" customHeight="1">
      <c r="A27" s="73">
        <v>2</v>
      </c>
      <c r="B27" s="539" t="s">
        <v>273</v>
      </c>
      <c r="C27" s="540"/>
      <c r="D27" s="175">
        <v>2679.42</v>
      </c>
      <c r="E27" s="424">
        <f>D27/220</f>
        <v>12.179181818181819</v>
      </c>
    </row>
    <row r="28" spans="1:7" ht="31.5" customHeight="1">
      <c r="A28" s="73">
        <v>3</v>
      </c>
      <c r="B28" s="539" t="s">
        <v>274</v>
      </c>
      <c r="C28" s="540"/>
      <c r="D28" s="176" t="s">
        <v>375</v>
      </c>
    </row>
    <row r="29" spans="1:7">
      <c r="A29" s="75">
        <v>4</v>
      </c>
      <c r="B29" s="76" t="s">
        <v>275</v>
      </c>
      <c r="C29" s="76"/>
      <c r="D29" s="77">
        <v>42401</v>
      </c>
    </row>
    <row r="30" spans="1:7">
      <c r="A30" s="71"/>
    </row>
    <row r="31" spans="1:7">
      <c r="A31" s="71"/>
    </row>
    <row r="32" spans="1:7">
      <c r="A32" s="71"/>
    </row>
    <row r="33" spans="1:7" ht="16.5" customHeight="1" thickBot="1">
      <c r="A33" s="523" t="s">
        <v>276</v>
      </c>
      <c r="B33" s="523"/>
      <c r="C33" s="523"/>
      <c r="D33" s="523"/>
      <c r="E33" s="523"/>
      <c r="F33" s="52"/>
      <c r="G33" s="52"/>
    </row>
    <row r="34" spans="1:7" ht="16.5" thickBot="1">
      <c r="A34" s="78" t="s">
        <v>277</v>
      </c>
      <c r="B34" s="79" t="s">
        <v>278</v>
      </c>
      <c r="C34" s="80"/>
      <c r="D34" s="81" t="s">
        <v>279</v>
      </c>
    </row>
    <row r="35" spans="1:7">
      <c r="A35" s="82" t="s">
        <v>257</v>
      </c>
      <c r="B35" s="83" t="s">
        <v>280</v>
      </c>
      <c r="C35" s="84"/>
      <c r="D35" s="85">
        <f>ROUND(((D27/220)*(365.25/12)*(40/6)),2)</f>
        <v>2471.36</v>
      </c>
      <c r="E35" s="160"/>
    </row>
    <row r="36" spans="1:7">
      <c r="A36" s="86" t="s">
        <v>259</v>
      </c>
      <c r="B36" s="87" t="s">
        <v>281</v>
      </c>
      <c r="C36" s="88"/>
      <c r="D36" s="89">
        <v>0</v>
      </c>
    </row>
    <row r="37" spans="1:7">
      <c r="A37" s="86" t="s">
        <v>261</v>
      </c>
      <c r="B37" s="87" t="s">
        <v>282</v>
      </c>
      <c r="C37" s="90"/>
      <c r="D37" s="89">
        <v>0</v>
      </c>
    </row>
    <row r="38" spans="1:7">
      <c r="A38" s="86" t="s">
        <v>263</v>
      </c>
      <c r="B38" s="91" t="s">
        <v>283</v>
      </c>
      <c r="C38" s="88"/>
      <c r="D38" s="89">
        <v>0</v>
      </c>
    </row>
    <row r="39" spans="1:7">
      <c r="A39" s="86" t="s">
        <v>284</v>
      </c>
      <c r="B39" s="91" t="s">
        <v>285</v>
      </c>
      <c r="C39" s="92"/>
      <c r="D39" s="89">
        <v>0</v>
      </c>
    </row>
    <row r="40" spans="1:7">
      <c r="A40" s="86" t="s">
        <v>286</v>
      </c>
      <c r="B40" s="93" t="s">
        <v>287</v>
      </c>
      <c r="C40" s="92"/>
      <c r="D40" s="89">
        <v>0</v>
      </c>
    </row>
    <row r="41" spans="1:7">
      <c r="A41" s="86" t="s">
        <v>288</v>
      </c>
      <c r="B41" s="93" t="s">
        <v>289</v>
      </c>
      <c r="C41" s="92"/>
      <c r="D41" s="89">
        <v>0</v>
      </c>
    </row>
    <row r="42" spans="1:7" ht="16.5" thickBot="1">
      <c r="A42" s="86" t="s">
        <v>290</v>
      </c>
      <c r="B42" s="94" t="s">
        <v>376</v>
      </c>
      <c r="C42" s="95"/>
      <c r="D42" s="89">
        <v>0</v>
      </c>
    </row>
    <row r="43" spans="1:7" ht="16.5" thickBot="1">
      <c r="A43" s="96"/>
      <c r="B43" s="97" t="s">
        <v>292</v>
      </c>
      <c r="C43" s="98"/>
      <c r="D43" s="99">
        <f>SUM(D35:D42)</f>
        <v>2471.36</v>
      </c>
    </row>
    <row r="44" spans="1:7">
      <c r="A44" s="55"/>
    </row>
    <row r="45" spans="1:7" ht="16.5" thickBot="1">
      <c r="A45" s="523" t="s">
        <v>293</v>
      </c>
      <c r="B45" s="523"/>
      <c r="C45" s="523"/>
      <c r="D45" s="523"/>
      <c r="E45" s="523"/>
      <c r="F45" s="523"/>
      <c r="G45" s="523"/>
    </row>
    <row r="46" spans="1:7" ht="16.5" thickBot="1">
      <c r="A46" s="100">
        <v>2</v>
      </c>
      <c r="B46" s="101" t="s">
        <v>294</v>
      </c>
      <c r="C46" s="102"/>
      <c r="D46" s="100" t="s">
        <v>279</v>
      </c>
    </row>
    <row r="47" spans="1:7">
      <c r="A47" s="82" t="s">
        <v>257</v>
      </c>
      <c r="B47" s="83" t="s">
        <v>295</v>
      </c>
      <c r="C47" s="103"/>
      <c r="D47" s="104">
        <f>(3.7*44)-(D35*6%)</f>
        <v>14.518400000000014</v>
      </c>
      <c r="E47" s="160"/>
    </row>
    <row r="48" spans="1:7" ht="31.5">
      <c r="A48" s="105" t="s">
        <v>259</v>
      </c>
      <c r="B48" s="106" t="s">
        <v>296</v>
      </c>
      <c r="C48" s="90"/>
      <c r="D48" s="107">
        <f>355*(1-20%)</f>
        <v>284</v>
      </c>
    </row>
    <row r="49" spans="1:7">
      <c r="A49" s="86" t="s">
        <v>261</v>
      </c>
      <c r="B49" s="87" t="s">
        <v>389</v>
      </c>
      <c r="C49" s="90"/>
      <c r="D49" s="107">
        <v>50</v>
      </c>
    </row>
    <row r="50" spans="1:7">
      <c r="A50" s="86" t="s">
        <v>263</v>
      </c>
      <c r="B50" s="87" t="s">
        <v>297</v>
      </c>
      <c r="C50" s="88"/>
      <c r="D50" s="107">
        <v>0</v>
      </c>
    </row>
    <row r="51" spans="1:7">
      <c r="A51" s="86" t="s">
        <v>284</v>
      </c>
      <c r="B51" s="87" t="s">
        <v>390</v>
      </c>
      <c r="C51" s="92"/>
      <c r="D51" s="108">
        <v>16</v>
      </c>
    </row>
    <row r="52" spans="1:7" ht="16.5" customHeight="1">
      <c r="A52" s="86" t="s">
        <v>286</v>
      </c>
      <c r="B52" s="535" t="s">
        <v>377</v>
      </c>
      <c r="C52" s="536"/>
      <c r="D52" s="108">
        <v>16</v>
      </c>
    </row>
    <row r="53" spans="1:7" ht="16.5" thickBot="1">
      <c r="A53" s="109" t="s">
        <v>288</v>
      </c>
      <c r="B53" s="537" t="s">
        <v>291</v>
      </c>
      <c r="C53" s="538"/>
      <c r="D53" s="110">
        <v>0</v>
      </c>
    </row>
    <row r="54" spans="1:7" ht="16.5" thickBot="1">
      <c r="A54" s="111"/>
      <c r="B54" s="101" t="s">
        <v>298</v>
      </c>
      <c r="C54" s="112"/>
      <c r="D54" s="113">
        <f>SUM(D47:D53)</f>
        <v>380.51840000000004</v>
      </c>
    </row>
    <row r="55" spans="1:7" ht="33" customHeight="1">
      <c r="A55" s="522" t="s">
        <v>299</v>
      </c>
      <c r="B55" s="522"/>
      <c r="C55" s="522"/>
      <c r="D55" s="522"/>
    </row>
    <row r="56" spans="1:7">
      <c r="A56" s="55"/>
    </row>
    <row r="57" spans="1:7" ht="16.5" thickBot="1">
      <c r="A57" s="523" t="s">
        <v>300</v>
      </c>
      <c r="B57" s="523"/>
      <c r="C57" s="523"/>
      <c r="D57" s="523"/>
      <c r="E57" s="523"/>
      <c r="F57" s="523"/>
      <c r="G57" s="523"/>
    </row>
    <row r="58" spans="1:7" ht="16.5" thickBot="1">
      <c r="A58" s="114">
        <v>3</v>
      </c>
      <c r="B58" s="101" t="s">
        <v>301</v>
      </c>
      <c r="C58" s="102"/>
      <c r="D58" s="100" t="s">
        <v>279</v>
      </c>
    </row>
    <row r="59" spans="1:7">
      <c r="A59" s="82" t="s">
        <v>257</v>
      </c>
      <c r="B59" s="83" t="s">
        <v>302</v>
      </c>
      <c r="C59" s="115"/>
      <c r="D59" s="116">
        <f>'ANEXO IV'!D19</f>
        <v>41.166666666666664</v>
      </c>
    </row>
    <row r="60" spans="1:7">
      <c r="A60" s="105" t="s">
        <v>259</v>
      </c>
      <c r="B60" s="106" t="s">
        <v>15</v>
      </c>
      <c r="C60" s="90"/>
      <c r="D60" s="107">
        <v>0</v>
      </c>
    </row>
    <row r="61" spans="1:7">
      <c r="A61" s="86" t="s">
        <v>261</v>
      </c>
      <c r="B61" s="87" t="s">
        <v>21</v>
      </c>
      <c r="C61" s="90"/>
      <c r="D61" s="107">
        <v>0</v>
      </c>
    </row>
    <row r="62" spans="1:7">
      <c r="A62" s="86" t="s">
        <v>263</v>
      </c>
      <c r="B62" s="535" t="s">
        <v>18</v>
      </c>
      <c r="C62" s="536"/>
      <c r="D62" s="108">
        <v>0</v>
      </c>
    </row>
    <row r="63" spans="1:7" ht="16.5" thickBot="1">
      <c r="A63" s="109" t="s">
        <v>284</v>
      </c>
      <c r="B63" s="537" t="s">
        <v>291</v>
      </c>
      <c r="C63" s="538"/>
      <c r="D63" s="110">
        <v>0</v>
      </c>
    </row>
    <row r="64" spans="1:7" ht="16.5" thickBot="1">
      <c r="A64" s="111"/>
      <c r="B64" s="101" t="s">
        <v>303</v>
      </c>
      <c r="C64" s="112"/>
      <c r="D64" s="113">
        <f>SUM(D59:D63)</f>
        <v>41.166666666666664</v>
      </c>
    </row>
    <row r="65" spans="1:7">
      <c r="A65" s="522" t="s">
        <v>304</v>
      </c>
      <c r="B65" s="522"/>
      <c r="C65" s="522"/>
      <c r="D65" s="522"/>
      <c r="E65" s="522"/>
      <c r="F65" s="522"/>
      <c r="G65" s="522"/>
    </row>
    <row r="66" spans="1:7">
      <c r="A66" s="55"/>
    </row>
    <row r="67" spans="1:7">
      <c r="A67" s="523" t="s">
        <v>305</v>
      </c>
      <c r="B67" s="523"/>
      <c r="C67" s="523"/>
      <c r="D67" s="523"/>
      <c r="E67" s="523"/>
      <c r="F67" s="523"/>
      <c r="G67" s="523"/>
    </row>
    <row r="68" spans="1:7" ht="16.5" thickBot="1">
      <c r="A68" s="523" t="s">
        <v>306</v>
      </c>
      <c r="B68" s="523"/>
      <c r="C68" s="523"/>
      <c r="D68" s="523"/>
      <c r="E68" s="523"/>
      <c r="F68" s="523"/>
      <c r="G68" s="523"/>
    </row>
    <row r="69" spans="1:7" ht="16.5" thickBot="1">
      <c r="A69" s="117" t="s">
        <v>307</v>
      </c>
      <c r="B69" s="118" t="s">
        <v>308</v>
      </c>
      <c r="C69" s="117" t="s">
        <v>4</v>
      </c>
      <c r="D69" s="117" t="s">
        <v>279</v>
      </c>
    </row>
    <row r="70" spans="1:7">
      <c r="A70" s="82" t="s">
        <v>257</v>
      </c>
      <c r="B70" s="119" t="s">
        <v>8</v>
      </c>
      <c r="C70" s="120">
        <v>0.2</v>
      </c>
      <c r="D70" s="104">
        <f t="shared" ref="D70:D77" si="0">ROUND($D$43*C70,2)</f>
        <v>494.27</v>
      </c>
    </row>
    <row r="71" spans="1:7">
      <c r="A71" s="105" t="s">
        <v>259</v>
      </c>
      <c r="B71" s="121" t="s">
        <v>309</v>
      </c>
      <c r="C71" s="122">
        <v>1.4999999999999999E-2</v>
      </c>
      <c r="D71" s="107">
        <f t="shared" si="0"/>
        <v>37.07</v>
      </c>
    </row>
    <row r="72" spans="1:7">
      <c r="A72" s="86" t="s">
        <v>261</v>
      </c>
      <c r="B72" s="123" t="s">
        <v>310</v>
      </c>
      <c r="C72" s="122">
        <v>0.01</v>
      </c>
      <c r="D72" s="107">
        <f t="shared" si="0"/>
        <v>24.71</v>
      </c>
    </row>
    <row r="73" spans="1:7">
      <c r="A73" s="105" t="s">
        <v>263</v>
      </c>
      <c r="B73" s="121" t="s">
        <v>9</v>
      </c>
      <c r="C73" s="122">
        <v>2E-3</v>
      </c>
      <c r="D73" s="107">
        <f t="shared" si="0"/>
        <v>4.9400000000000004</v>
      </c>
    </row>
    <row r="74" spans="1:7">
      <c r="A74" s="86" t="s">
        <v>284</v>
      </c>
      <c r="B74" s="123" t="s">
        <v>10</v>
      </c>
      <c r="C74" s="122">
        <v>2.5000000000000001E-2</v>
      </c>
      <c r="D74" s="107">
        <f t="shared" si="0"/>
        <v>61.78</v>
      </c>
    </row>
    <row r="75" spans="1:7">
      <c r="A75" s="105" t="s">
        <v>286</v>
      </c>
      <c r="B75" s="121" t="s">
        <v>11</v>
      </c>
      <c r="C75" s="122">
        <v>0.08</v>
      </c>
      <c r="D75" s="107">
        <f t="shared" si="0"/>
        <v>197.71</v>
      </c>
    </row>
    <row r="76" spans="1:7" ht="31.5">
      <c r="A76" s="86" t="s">
        <v>288</v>
      </c>
      <c r="B76" s="123" t="s">
        <v>378</v>
      </c>
      <c r="C76" s="141">
        <v>3.0499999999999999E-2</v>
      </c>
      <c r="D76" s="245">
        <f t="shared" si="0"/>
        <v>75.38</v>
      </c>
    </row>
    <row r="77" spans="1:7" ht="16.5" thickBot="1">
      <c r="A77" s="124" t="s">
        <v>290</v>
      </c>
      <c r="B77" s="125" t="s">
        <v>12</v>
      </c>
      <c r="C77" s="126">
        <v>6.0000000000000001E-3</v>
      </c>
      <c r="D77" s="110">
        <f t="shared" si="0"/>
        <v>14.83</v>
      </c>
    </row>
    <row r="78" spans="1:7" ht="16.5" thickBot="1">
      <c r="A78" s="530" t="s">
        <v>7</v>
      </c>
      <c r="B78" s="531"/>
      <c r="C78" s="127">
        <f>SUM(C70:C77)</f>
        <v>0.36850000000000005</v>
      </c>
      <c r="D78" s="113">
        <f>SUM(D70:D77)</f>
        <v>910.69000000000017</v>
      </c>
    </row>
    <row r="79" spans="1:7">
      <c r="A79" s="534" t="s">
        <v>311</v>
      </c>
      <c r="B79" s="534"/>
      <c r="C79" s="534"/>
      <c r="D79" s="534"/>
    </row>
    <row r="80" spans="1:7" ht="16.5" customHeight="1">
      <c r="A80" s="534" t="s">
        <v>312</v>
      </c>
      <c r="B80" s="534"/>
      <c r="C80" s="534"/>
      <c r="D80" s="534"/>
    </row>
    <row r="81" spans="1:7">
      <c r="A81" s="55"/>
    </row>
    <row r="82" spans="1:7" ht="16.5" thickBot="1">
      <c r="A82" s="523" t="s">
        <v>313</v>
      </c>
      <c r="B82" s="523"/>
      <c r="C82" s="523"/>
      <c r="D82" s="523"/>
      <c r="E82" s="523"/>
      <c r="F82" s="523"/>
      <c r="G82" s="523"/>
    </row>
    <row r="83" spans="1:7" ht="16.5" thickBot="1">
      <c r="A83" s="117" t="s">
        <v>314</v>
      </c>
      <c r="B83" s="118" t="s">
        <v>315</v>
      </c>
      <c r="C83" s="117" t="s">
        <v>4</v>
      </c>
      <c r="D83" s="117" t="s">
        <v>279</v>
      </c>
    </row>
    <row r="84" spans="1:7">
      <c r="A84" s="82" t="s">
        <v>257</v>
      </c>
      <c r="B84" s="119" t="s">
        <v>316</v>
      </c>
      <c r="C84" s="120">
        <f>((5/56)*100)/100</f>
        <v>8.9285714285714288E-2</v>
      </c>
      <c r="D84" s="104">
        <f>ROUND($D$43*C84,2)</f>
        <v>220.66</v>
      </c>
    </row>
    <row r="85" spans="1:7">
      <c r="A85" s="105" t="s">
        <v>259</v>
      </c>
      <c r="B85" s="121" t="s">
        <v>317</v>
      </c>
      <c r="C85" s="128">
        <f>(1/3)*(5/56)</f>
        <v>2.976190476190476E-2</v>
      </c>
      <c r="D85" s="129">
        <f>ROUND($D$43*C85,2)</f>
        <v>73.55</v>
      </c>
    </row>
    <row r="86" spans="1:7">
      <c r="A86" s="130" t="s">
        <v>318</v>
      </c>
      <c r="B86" s="121"/>
      <c r="C86" s="131">
        <f>SUM(C84:C85)</f>
        <v>0.11904761904761904</v>
      </c>
      <c r="D86" s="132">
        <f>SUM(D84:D85)</f>
        <v>294.20999999999998</v>
      </c>
    </row>
    <row r="87" spans="1:7" ht="32.25" thickBot="1">
      <c r="A87" s="105" t="s">
        <v>261</v>
      </c>
      <c r="B87" s="121" t="s">
        <v>319</v>
      </c>
      <c r="C87" s="122">
        <f>D87/D43</f>
        <v>4.3870581380292629E-2</v>
      </c>
      <c r="D87" s="107">
        <f>ROUND(D78*C86,2)</f>
        <v>108.42</v>
      </c>
    </row>
    <row r="88" spans="1:7" ht="16.5" thickBot="1">
      <c r="A88" s="530" t="s">
        <v>7</v>
      </c>
      <c r="B88" s="531"/>
      <c r="C88" s="127">
        <f>C87+C86</f>
        <v>0.16291820042791166</v>
      </c>
      <c r="D88" s="113">
        <f>D86+D87</f>
        <v>402.63</v>
      </c>
    </row>
    <row r="89" spans="1:7">
      <c r="A89" s="55"/>
    </row>
    <row r="90" spans="1:7" ht="16.5" thickBot="1">
      <c r="A90" s="523" t="s">
        <v>320</v>
      </c>
      <c r="B90" s="523"/>
      <c r="C90" s="523"/>
      <c r="D90" s="523"/>
      <c r="E90" s="523"/>
      <c r="F90" s="523"/>
      <c r="G90" s="523"/>
    </row>
    <row r="91" spans="1:7" ht="16.5" thickBot="1">
      <c r="A91" s="117" t="s">
        <v>321</v>
      </c>
      <c r="B91" s="118" t="s">
        <v>322</v>
      </c>
      <c r="C91" s="117" t="s">
        <v>4</v>
      </c>
      <c r="D91" s="117" t="s">
        <v>279</v>
      </c>
    </row>
    <row r="92" spans="1:7">
      <c r="A92" s="82" t="s">
        <v>257</v>
      </c>
      <c r="B92" s="133" t="s">
        <v>323</v>
      </c>
      <c r="C92" s="120">
        <f>0.1111*0.02*0.3333</f>
        <v>7.4059259999999997E-4</v>
      </c>
      <c r="D92" s="104">
        <f>ROUND($D$43*C92,2)</f>
        <v>1.83</v>
      </c>
    </row>
    <row r="93" spans="1:7" ht="32.25" thickBot="1">
      <c r="A93" s="109" t="s">
        <v>259</v>
      </c>
      <c r="B93" s="134" t="s">
        <v>324</v>
      </c>
      <c r="C93" s="126">
        <f>D93/D43</f>
        <v>2.7110578790625402E-4</v>
      </c>
      <c r="D93" s="110">
        <f>ROUND(D78*C92,2)</f>
        <v>0.67</v>
      </c>
    </row>
    <row r="94" spans="1:7" ht="16.5" thickBot="1">
      <c r="A94" s="530" t="s">
        <v>7</v>
      </c>
      <c r="B94" s="531"/>
      <c r="C94" s="127">
        <f>SUM(C92:C93)</f>
        <v>1.0116983879062541E-3</v>
      </c>
      <c r="D94" s="113">
        <f>SUM(D92:D93)</f>
        <v>2.5</v>
      </c>
    </row>
    <row r="95" spans="1:7">
      <c r="A95" s="55"/>
    </row>
    <row r="96" spans="1:7">
      <c r="A96" s="55"/>
    </row>
    <row r="97" spans="1:7" ht="16.5" thickBot="1">
      <c r="A97" s="523" t="s">
        <v>325</v>
      </c>
      <c r="B97" s="523"/>
      <c r="C97" s="523"/>
      <c r="D97" s="523"/>
      <c r="E97" s="523"/>
      <c r="F97" s="523"/>
      <c r="G97" s="523"/>
    </row>
    <row r="98" spans="1:7" ht="16.5" thickBot="1">
      <c r="A98" s="117" t="s">
        <v>326</v>
      </c>
      <c r="B98" s="118" t="s">
        <v>327</v>
      </c>
      <c r="C98" s="117" t="s">
        <v>4</v>
      </c>
      <c r="D98" s="117" t="s">
        <v>279</v>
      </c>
    </row>
    <row r="99" spans="1:7">
      <c r="A99" s="82" t="s">
        <v>257</v>
      </c>
      <c r="B99" s="133" t="s">
        <v>328</v>
      </c>
      <c r="C99" s="135">
        <f>((1/12)*0.05)</f>
        <v>4.1666666666666666E-3</v>
      </c>
      <c r="D99" s="104">
        <f>ROUND($D$43*C99,2)</f>
        <v>10.3</v>
      </c>
    </row>
    <row r="100" spans="1:7" ht="31.5">
      <c r="A100" s="86" t="s">
        <v>259</v>
      </c>
      <c r="B100" s="91" t="s">
        <v>329</v>
      </c>
      <c r="C100" s="136">
        <f>D100/D43</f>
        <v>3.3180111355690791E-4</v>
      </c>
      <c r="D100" s="137">
        <f>ROUND(D75*C99,2)</f>
        <v>0.82</v>
      </c>
    </row>
    <row r="101" spans="1:7">
      <c r="A101" s="86" t="s">
        <v>261</v>
      </c>
      <c r="B101" s="138" t="s">
        <v>330</v>
      </c>
      <c r="C101" s="139">
        <f>0.08*0.5*0.9*(1+(5/56)+(5/56)+(1/3)*(5/56))</f>
        <v>4.3499999999999997E-2</v>
      </c>
      <c r="D101" s="107">
        <f>ROUND($D$43*C101,2)</f>
        <v>107.5</v>
      </c>
    </row>
    <row r="102" spans="1:7">
      <c r="A102" s="86" t="s">
        <v>263</v>
      </c>
      <c r="B102" s="138" t="s">
        <v>331</v>
      </c>
      <c r="C102" s="140">
        <f>(((7/30)/12))</f>
        <v>1.9444444444444445E-2</v>
      </c>
      <c r="D102" s="107">
        <f>ROUND($D$43*C102,2)</f>
        <v>48.05</v>
      </c>
    </row>
    <row r="103" spans="1:7" ht="31.5">
      <c r="A103" s="86" t="s">
        <v>284</v>
      </c>
      <c r="B103" s="138" t="s">
        <v>332</v>
      </c>
      <c r="C103" s="141">
        <f>D103/D43</f>
        <v>7.1660947818205359E-3</v>
      </c>
      <c r="D103" s="107">
        <f>ROUND(D78*C102,2)</f>
        <v>17.71</v>
      </c>
    </row>
    <row r="104" spans="1:7" ht="16.5" thickBot="1">
      <c r="A104" s="109" t="s">
        <v>286</v>
      </c>
      <c r="B104" s="134" t="s">
        <v>333</v>
      </c>
      <c r="C104" s="142">
        <f>(40%+10%)*C75*C102</f>
        <v>7.7777777777777784E-4</v>
      </c>
      <c r="D104" s="107">
        <f>ROUND($D$43*C104,2)</f>
        <v>1.92</v>
      </c>
    </row>
    <row r="105" spans="1:7" ht="16.5" thickBot="1">
      <c r="A105" s="525" t="s">
        <v>7</v>
      </c>
      <c r="B105" s="526"/>
      <c r="C105" s="127">
        <f>SUM(C99:C104)</f>
        <v>7.5386784784266331E-2</v>
      </c>
      <c r="D105" s="143">
        <f>SUM(D99:D104)</f>
        <v>186.3</v>
      </c>
    </row>
    <row r="106" spans="1:7">
      <c r="A106" s="71"/>
    </row>
    <row r="107" spans="1:7" ht="16.5" thickBot="1">
      <c r="A107" s="523" t="s">
        <v>334</v>
      </c>
      <c r="B107" s="523"/>
      <c r="C107" s="523"/>
      <c r="D107" s="523"/>
      <c r="E107" s="523"/>
      <c r="F107" s="523"/>
      <c r="G107" s="523"/>
    </row>
    <row r="108" spans="1:7" ht="32.25" thickBot="1">
      <c r="A108" s="117" t="s">
        <v>335</v>
      </c>
      <c r="B108" s="118" t="s">
        <v>336</v>
      </c>
      <c r="C108" s="117" t="s">
        <v>4</v>
      </c>
      <c r="D108" s="117" t="s">
        <v>279</v>
      </c>
    </row>
    <row r="109" spans="1:7">
      <c r="A109" s="82" t="s">
        <v>257</v>
      </c>
      <c r="B109" s="133" t="s">
        <v>13</v>
      </c>
      <c r="C109" s="144">
        <f>(5/56)</f>
        <v>8.9285714285714288E-2</v>
      </c>
      <c r="D109" s="107">
        <f t="shared" ref="D109:D114" si="1">ROUND($D$43*C109,2)</f>
        <v>220.66</v>
      </c>
    </row>
    <row r="110" spans="1:7">
      <c r="A110" s="183" t="s">
        <v>259</v>
      </c>
      <c r="B110" s="138" t="s">
        <v>379</v>
      </c>
      <c r="C110" s="122">
        <f>(10.96/30)/12</f>
        <v>3.0444444444444444E-2</v>
      </c>
      <c r="D110" s="107">
        <f t="shared" si="1"/>
        <v>75.239999999999995</v>
      </c>
      <c r="E110" s="184"/>
    </row>
    <row r="111" spans="1:7">
      <c r="A111" s="86" t="s">
        <v>261</v>
      </c>
      <c r="B111" s="138" t="s">
        <v>337</v>
      </c>
      <c r="C111" s="122">
        <f>((5/30)/12)*0.015</f>
        <v>2.0833333333333332E-4</v>
      </c>
      <c r="D111" s="107">
        <f t="shared" si="1"/>
        <v>0.51</v>
      </c>
    </row>
    <row r="112" spans="1:7">
      <c r="A112" s="86" t="s">
        <v>263</v>
      </c>
      <c r="B112" s="138" t="s">
        <v>338</v>
      </c>
      <c r="C112" s="122">
        <f>((1/30)/12)</f>
        <v>2.7777777777777779E-3</v>
      </c>
      <c r="D112" s="107">
        <f t="shared" si="1"/>
        <v>6.86</v>
      </c>
    </row>
    <row r="113" spans="1:7">
      <c r="A113" s="86" t="s">
        <v>284</v>
      </c>
      <c r="B113" s="138" t="s">
        <v>339</v>
      </c>
      <c r="C113" s="122">
        <f>((15/30)/12)*0.0078</f>
        <v>3.2499999999999999E-4</v>
      </c>
      <c r="D113" s="107">
        <f t="shared" si="1"/>
        <v>0.8</v>
      </c>
    </row>
    <row r="114" spans="1:7">
      <c r="A114" s="86" t="s">
        <v>286</v>
      </c>
      <c r="B114" s="138" t="s">
        <v>291</v>
      </c>
      <c r="C114" s="145"/>
      <c r="D114" s="107">
        <f t="shared" si="1"/>
        <v>0</v>
      </c>
    </row>
    <row r="115" spans="1:7">
      <c r="A115" s="532" t="s">
        <v>318</v>
      </c>
      <c r="B115" s="533"/>
      <c r="C115" s="122">
        <f>SUM(C109:C114)</f>
        <v>0.12304126984126985</v>
      </c>
      <c r="D115" s="107">
        <f>SUM(D109:D114)</f>
        <v>304.07</v>
      </c>
    </row>
    <row r="116" spans="1:7" ht="32.25" thickBot="1">
      <c r="A116" s="109" t="s">
        <v>288</v>
      </c>
      <c r="B116" s="134" t="s">
        <v>340</v>
      </c>
      <c r="C116" s="142">
        <f>D116/$D$43</f>
        <v>4.5339408261038452E-2</v>
      </c>
      <c r="D116" s="107">
        <f>ROUND(D78*C115,2)</f>
        <v>112.05</v>
      </c>
    </row>
    <row r="117" spans="1:7" ht="16.5" thickBot="1">
      <c r="A117" s="525" t="s">
        <v>7</v>
      </c>
      <c r="B117" s="526"/>
      <c r="C117" s="127">
        <f>C116+C115</f>
        <v>0.16838067810230831</v>
      </c>
      <c r="D117" s="146">
        <f>D116+D115</f>
        <v>416.12</v>
      </c>
    </row>
    <row r="118" spans="1:7">
      <c r="A118" s="55" t="s">
        <v>341</v>
      </c>
    </row>
    <row r="119" spans="1:7" ht="16.5" thickBot="1">
      <c r="A119" s="522" t="s">
        <v>342</v>
      </c>
      <c r="B119" s="522"/>
      <c r="C119" s="522"/>
      <c r="D119" s="522"/>
      <c r="E119" s="522"/>
      <c r="F119" s="522"/>
      <c r="G119" s="522"/>
    </row>
    <row r="120" spans="1:7" ht="32.25" customHeight="1" thickBot="1">
      <c r="A120" s="147">
        <v>4</v>
      </c>
      <c r="B120" s="148" t="s">
        <v>343</v>
      </c>
      <c r="C120" s="149" t="s">
        <v>4</v>
      </c>
      <c r="D120" s="150" t="s">
        <v>279</v>
      </c>
    </row>
    <row r="121" spans="1:7">
      <c r="A121" s="82" t="s">
        <v>307</v>
      </c>
      <c r="B121" s="133" t="s">
        <v>344</v>
      </c>
      <c r="C121" s="142">
        <f t="shared" ref="C121:C126" si="2">D121/$D$43</f>
        <v>0.16291839311148518</v>
      </c>
      <c r="D121" s="107">
        <f>D88</f>
        <v>402.63</v>
      </c>
    </row>
    <row r="122" spans="1:7">
      <c r="A122" s="86" t="s">
        <v>314</v>
      </c>
      <c r="B122" s="138" t="s">
        <v>308</v>
      </c>
      <c r="C122" s="142">
        <f t="shared" si="2"/>
        <v>0.3684975074452933</v>
      </c>
      <c r="D122" s="107">
        <f>D78</f>
        <v>910.69000000000017</v>
      </c>
    </row>
    <row r="123" spans="1:7">
      <c r="A123" s="86" t="s">
        <v>321</v>
      </c>
      <c r="B123" s="138" t="s">
        <v>323</v>
      </c>
      <c r="C123" s="142">
        <f t="shared" si="2"/>
        <v>1.0115887608442315E-3</v>
      </c>
      <c r="D123" s="107">
        <f>D94</f>
        <v>2.5</v>
      </c>
    </row>
    <row r="124" spans="1:7">
      <c r="A124" s="151" t="s">
        <v>326</v>
      </c>
      <c r="B124" s="152" t="s">
        <v>345</v>
      </c>
      <c r="C124" s="142">
        <f t="shared" si="2"/>
        <v>7.538359445811213E-2</v>
      </c>
      <c r="D124" s="107">
        <f>D105</f>
        <v>186.3</v>
      </c>
    </row>
    <row r="125" spans="1:7">
      <c r="A125" s="153" t="s">
        <v>335</v>
      </c>
      <c r="B125" s="154" t="s">
        <v>346</v>
      </c>
      <c r="C125" s="142">
        <f t="shared" si="2"/>
        <v>0.16837692606500065</v>
      </c>
      <c r="D125" s="107">
        <f>D117</f>
        <v>416.12</v>
      </c>
    </row>
    <row r="126" spans="1:7" ht="16.5" thickBot="1">
      <c r="A126" s="86" t="s">
        <v>347</v>
      </c>
      <c r="B126" s="138" t="s">
        <v>291</v>
      </c>
      <c r="C126" s="142">
        <f t="shared" si="2"/>
        <v>0</v>
      </c>
      <c r="D126" s="107">
        <v>0</v>
      </c>
    </row>
    <row r="127" spans="1:7" ht="37.5" customHeight="1" thickBot="1">
      <c r="A127" s="530" t="s">
        <v>348</v>
      </c>
      <c r="B127" s="531"/>
      <c r="C127" s="127">
        <f>SUM(C121:C126)</f>
        <v>0.77618800984073555</v>
      </c>
      <c r="D127" s="113">
        <f>SUM(D121:D126)</f>
        <v>1918.2400000000002</v>
      </c>
    </row>
    <row r="128" spans="1:7">
      <c r="A128" s="155"/>
      <c r="B128" s="155"/>
      <c r="C128" s="156"/>
      <c r="D128" s="157"/>
      <c r="E128" s="158"/>
      <c r="F128" s="159"/>
      <c r="G128" s="159"/>
    </row>
    <row r="129" spans="1:8" ht="16.5" thickBot="1">
      <c r="A129" s="522" t="s">
        <v>349</v>
      </c>
      <c r="B129" s="522"/>
      <c r="C129" s="522"/>
      <c r="D129" s="522"/>
      <c r="E129" s="522"/>
      <c r="F129" s="522"/>
      <c r="G129" s="522"/>
      <c r="H129" s="160"/>
    </row>
    <row r="130" spans="1:8" ht="16.5" thickBot="1">
      <c r="A130" s="147" t="s">
        <v>350</v>
      </c>
      <c r="B130" s="148" t="s">
        <v>351</v>
      </c>
      <c r="C130" s="149" t="s">
        <v>4</v>
      </c>
      <c r="D130" s="114" t="s">
        <v>279</v>
      </c>
      <c r="E130" s="161">
        <f>D43+D54+D64+D78+D88+D94+D105+D117</f>
        <v>4811.2850666666664</v>
      </c>
      <c r="G130" s="160"/>
    </row>
    <row r="131" spans="1:8">
      <c r="A131" s="82" t="s">
        <v>257</v>
      </c>
      <c r="B131" s="133" t="s">
        <v>352</v>
      </c>
      <c r="C131" s="162">
        <v>7.0019999999999999E-2</v>
      </c>
      <c r="D131" s="163">
        <f>E130*C131</f>
        <v>336.886180368</v>
      </c>
      <c r="G131" s="160"/>
    </row>
    <row r="132" spans="1:8">
      <c r="A132" s="86" t="s">
        <v>259</v>
      </c>
      <c r="B132" s="138" t="s">
        <v>353</v>
      </c>
      <c r="C132" s="142"/>
      <c r="D132" s="164"/>
      <c r="F132" s="165"/>
    </row>
    <row r="133" spans="1:8">
      <c r="A133" s="86"/>
      <c r="B133" s="138" t="s">
        <v>354</v>
      </c>
      <c r="C133" s="142"/>
      <c r="D133" s="129"/>
      <c r="E133" s="424"/>
      <c r="F133" s="182"/>
      <c r="G133" s="160"/>
    </row>
    <row r="134" spans="1:8">
      <c r="A134" s="86"/>
      <c r="B134" s="138" t="s">
        <v>355</v>
      </c>
      <c r="C134" s="142">
        <v>7.5999999999999998E-2</v>
      </c>
      <c r="D134" s="107">
        <f>$D$152*C134</f>
        <v>452.22206773329719</v>
      </c>
      <c r="E134" s="165">
        <f>D152</f>
        <v>5950.2903649118052</v>
      </c>
      <c r="G134" s="160"/>
    </row>
    <row r="135" spans="1:8">
      <c r="A135" s="86"/>
      <c r="B135" s="138" t="s">
        <v>356</v>
      </c>
      <c r="C135" s="142">
        <v>1.6500000000000001E-2</v>
      </c>
      <c r="D135" s="107">
        <f>$D$152*C135</f>
        <v>98.179791021044792</v>
      </c>
      <c r="E135" s="246"/>
      <c r="G135" s="160"/>
    </row>
    <row r="136" spans="1:8">
      <c r="A136" s="86"/>
      <c r="B136" s="138" t="s">
        <v>357</v>
      </c>
      <c r="C136" s="142"/>
      <c r="D136" s="107"/>
    </row>
    <row r="137" spans="1:8">
      <c r="A137" s="86"/>
      <c r="B137" s="138" t="s">
        <v>358</v>
      </c>
      <c r="C137" s="142">
        <v>2.5000000000000001E-2</v>
      </c>
      <c r="D137" s="107">
        <f>$D$152*C137</f>
        <v>148.75725912279515</v>
      </c>
      <c r="G137" s="160"/>
    </row>
    <row r="138" spans="1:8">
      <c r="A138" s="86"/>
      <c r="B138" s="138" t="s">
        <v>359</v>
      </c>
      <c r="C138" s="142"/>
      <c r="D138" s="107"/>
    </row>
    <row r="139" spans="1:8" ht="16.5" thickBot="1">
      <c r="A139" s="86" t="s">
        <v>261</v>
      </c>
      <c r="B139" s="138" t="s">
        <v>360</v>
      </c>
      <c r="C139" s="142">
        <v>0.02</v>
      </c>
      <c r="D139" s="107">
        <f>ROUND(E139*C139,2)</f>
        <v>102.96</v>
      </c>
      <c r="E139" s="132">
        <f>E130+D131</f>
        <v>5148.1712470346665</v>
      </c>
    </row>
    <row r="140" spans="1:8" ht="33" customHeight="1" thickBot="1">
      <c r="A140" s="527" t="s">
        <v>361</v>
      </c>
      <c r="B140" s="528"/>
      <c r="C140" s="529"/>
      <c r="D140" s="166">
        <f>D131+D134+D135+D137+D139</f>
        <v>1139.0052982451373</v>
      </c>
    </row>
    <row r="141" spans="1:8">
      <c r="A141" s="522" t="s">
        <v>362</v>
      </c>
      <c r="B141" s="522"/>
      <c r="C141" s="522"/>
      <c r="D141" s="522"/>
      <c r="E141" s="522"/>
      <c r="F141" s="522"/>
      <c r="G141" s="522"/>
    </row>
    <row r="142" spans="1:8">
      <c r="A142" s="522" t="s">
        <v>363</v>
      </c>
      <c r="B142" s="522"/>
      <c r="C142" s="522"/>
      <c r="D142" s="522"/>
      <c r="E142" s="522"/>
      <c r="F142" s="522"/>
      <c r="G142" s="522"/>
    </row>
    <row r="143" spans="1:8">
      <c r="A143" s="55"/>
    </row>
    <row r="144" spans="1:8" ht="16.5" thickBot="1">
      <c r="A144" s="523" t="s">
        <v>364</v>
      </c>
      <c r="B144" s="523"/>
      <c r="C144" s="523"/>
      <c r="D144" s="523"/>
      <c r="E144" s="523"/>
      <c r="F144" s="523"/>
      <c r="G144" s="523"/>
    </row>
    <row r="145" spans="1:8" ht="32.25" customHeight="1" thickBot="1">
      <c r="A145" s="147"/>
      <c r="B145" s="524" t="s">
        <v>365</v>
      </c>
      <c r="C145" s="524"/>
      <c r="D145" s="167" t="s">
        <v>366</v>
      </c>
    </row>
    <row r="146" spans="1:8">
      <c r="A146" s="86" t="s">
        <v>257</v>
      </c>
      <c r="B146" s="138" t="s">
        <v>367</v>
      </c>
      <c r="C146" s="122">
        <f t="shared" ref="C146:C151" si="3">D146/$D$152</f>
        <v>0.41533435318943979</v>
      </c>
      <c r="D146" s="129">
        <f>D43</f>
        <v>2471.36</v>
      </c>
    </row>
    <row r="147" spans="1:8">
      <c r="A147" s="86" t="s">
        <v>259</v>
      </c>
      <c r="B147" s="138" t="s">
        <v>368</v>
      </c>
      <c r="C147" s="122">
        <f t="shared" si="3"/>
        <v>6.3949551478004227E-2</v>
      </c>
      <c r="D147" s="129">
        <f>D54</f>
        <v>380.51840000000004</v>
      </c>
    </row>
    <row r="148" spans="1:8" ht="31.5">
      <c r="A148" s="86" t="s">
        <v>261</v>
      </c>
      <c r="B148" s="138" t="s">
        <v>369</v>
      </c>
      <c r="C148" s="122">
        <f t="shared" si="3"/>
        <v>6.9184298819133065E-3</v>
      </c>
      <c r="D148" s="129">
        <f>D64</f>
        <v>41.166666666666664</v>
      </c>
      <c r="E148" s="165">
        <f>D150+D131+D139</f>
        <v>5251.1312470346675</v>
      </c>
    </row>
    <row r="149" spans="1:8" ht="31.5">
      <c r="A149" s="86" t="s">
        <v>263</v>
      </c>
      <c r="B149" s="138" t="s">
        <v>370</v>
      </c>
      <c r="C149" s="122">
        <f t="shared" si="3"/>
        <v>0.3223775450206004</v>
      </c>
      <c r="D149" s="129">
        <f>D127</f>
        <v>1918.2400000000002</v>
      </c>
      <c r="E149" s="174">
        <f>C137+C135+C134</f>
        <v>0.11749999999999999</v>
      </c>
    </row>
    <row r="150" spans="1:8" ht="16.5" customHeight="1">
      <c r="A150" s="168" t="s">
        <v>371</v>
      </c>
      <c r="B150" s="169"/>
      <c r="C150" s="131">
        <f t="shared" si="3"/>
        <v>0.80857987956995769</v>
      </c>
      <c r="D150" s="170">
        <f>SUM(D146:D149)</f>
        <v>4811.2850666666673</v>
      </c>
      <c r="E150" s="174">
        <f>100%-E149</f>
        <v>0.88250000000000006</v>
      </c>
    </row>
    <row r="151" spans="1:8" ht="32.25" thickBot="1">
      <c r="A151" s="86" t="s">
        <v>284</v>
      </c>
      <c r="B151" s="138" t="s">
        <v>372</v>
      </c>
      <c r="C151" s="122">
        <f t="shared" si="3"/>
        <v>0.19142012043004217</v>
      </c>
      <c r="D151" s="129">
        <f>D140</f>
        <v>1139.0052982451373</v>
      </c>
      <c r="G151" s="171"/>
    </row>
    <row r="152" spans="1:8" ht="16.5" customHeight="1" thickBot="1">
      <c r="A152" s="525" t="s">
        <v>373</v>
      </c>
      <c r="B152" s="526"/>
      <c r="C152" s="127">
        <f>C151+C150</f>
        <v>0.99999999999999989</v>
      </c>
      <c r="D152" s="166">
        <f>(D150+D139+D131)/0.8825</f>
        <v>5950.2903649118052</v>
      </c>
      <c r="E152" s="171"/>
      <c r="F152" s="165">
        <f>D150+D151</f>
        <v>5950.2903649118043</v>
      </c>
      <c r="H152" s="172"/>
    </row>
    <row r="153" spans="1:8">
      <c r="E153" s="171"/>
    </row>
    <row r="154" spans="1:8">
      <c r="A154" s="173"/>
    </row>
  </sheetData>
  <mergeCells count="44">
    <mergeCell ref="B28:C28"/>
    <mergeCell ref="B11:C11"/>
    <mergeCell ref="B13:C13"/>
    <mergeCell ref="A3:D3"/>
    <mergeCell ref="A4:D4"/>
    <mergeCell ref="A6:D6"/>
    <mergeCell ref="A7:D7"/>
    <mergeCell ref="A9:D9"/>
    <mergeCell ref="A17:G17"/>
    <mergeCell ref="A18:B18"/>
    <mergeCell ref="A21:G21"/>
    <mergeCell ref="B27:C27"/>
    <mergeCell ref="A67:G67"/>
    <mergeCell ref="B52:C52"/>
    <mergeCell ref="B53:C53"/>
    <mergeCell ref="B62:C62"/>
    <mergeCell ref="B63:C63"/>
    <mergeCell ref="A33:E33"/>
    <mergeCell ref="A45:G45"/>
    <mergeCell ref="A55:D55"/>
    <mergeCell ref="A57:G57"/>
    <mergeCell ref="A65:G65"/>
    <mergeCell ref="A68:G68"/>
    <mergeCell ref="A78:B78"/>
    <mergeCell ref="A82:G82"/>
    <mergeCell ref="A79:D79"/>
    <mergeCell ref="A80:D80"/>
    <mergeCell ref="A140:C140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119:G119"/>
    <mergeCell ref="A127:B127"/>
    <mergeCell ref="A129:G129"/>
    <mergeCell ref="A141:G141"/>
    <mergeCell ref="A142:G142"/>
    <mergeCell ref="A144:G144"/>
    <mergeCell ref="B145:C145"/>
    <mergeCell ref="A152:B152"/>
  </mergeCells>
  <printOptions horizontalCentered="1"/>
  <pageMargins left="1.299212598425197" right="0.51181102362204722" top="2.1653543307086616" bottom="0.98425196850393704" header="0.31496062992125984" footer="0.31496062992125984"/>
  <pageSetup paperSize="9" scale="79" fitToHeight="4" orientation="portrait" r:id="rId1"/>
  <headerFooter alignWithMargins="0"/>
  <rowBreaks count="3" manualBreakCount="3">
    <brk id="43" max="3" man="1"/>
    <brk id="88" max="3" man="1"/>
    <brk id="127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154"/>
  <sheetViews>
    <sheetView showGridLines="0" view="pageBreakPreview" topLeftCell="A52" zoomScale="90" zoomScaleSheetLayoutView="90" workbookViewId="0">
      <selection activeCell="F86" sqref="F86"/>
    </sheetView>
  </sheetViews>
  <sheetFormatPr defaultRowHeight="15.75"/>
  <cols>
    <col min="1" max="1" width="9.28515625" style="53" customWidth="1"/>
    <col min="2" max="2" width="39.85546875" style="53" customWidth="1"/>
    <col min="3" max="3" width="18.28515625" style="53" customWidth="1"/>
    <col min="4" max="4" width="23.85546875" style="53" customWidth="1"/>
    <col min="5" max="5" width="16" style="53" bestFit="1" customWidth="1"/>
    <col min="6" max="6" width="13.7109375" style="53" bestFit="1" customWidth="1"/>
    <col min="7" max="7" width="15.7109375" style="53" bestFit="1" customWidth="1"/>
    <col min="8" max="8" width="13.140625" style="53" bestFit="1" customWidth="1"/>
    <col min="9" max="9" width="11.85546875" style="53" bestFit="1" customWidth="1"/>
    <col min="10" max="10" width="12.85546875" style="53" bestFit="1" customWidth="1"/>
    <col min="11" max="256" width="9.140625" style="53"/>
    <col min="257" max="257" width="9.28515625" style="53" customWidth="1"/>
    <col min="258" max="258" width="39.85546875" style="53" customWidth="1"/>
    <col min="259" max="259" width="18.28515625" style="53" customWidth="1"/>
    <col min="260" max="260" width="23.85546875" style="53" customWidth="1"/>
    <col min="261" max="261" width="16" style="53" bestFit="1" customWidth="1"/>
    <col min="262" max="262" width="13.7109375" style="53" bestFit="1" customWidth="1"/>
    <col min="263" max="263" width="15.7109375" style="53" bestFit="1" customWidth="1"/>
    <col min="264" max="264" width="13.140625" style="53" bestFit="1" customWidth="1"/>
    <col min="265" max="265" width="11.85546875" style="53" bestFit="1" customWidth="1"/>
    <col min="266" max="266" width="12.85546875" style="53" bestFit="1" customWidth="1"/>
    <col min="267" max="512" width="9.140625" style="53"/>
    <col min="513" max="513" width="9.28515625" style="53" customWidth="1"/>
    <col min="514" max="514" width="39.85546875" style="53" customWidth="1"/>
    <col min="515" max="515" width="18.28515625" style="53" customWidth="1"/>
    <col min="516" max="516" width="23.85546875" style="53" customWidth="1"/>
    <col min="517" max="517" width="16" style="53" bestFit="1" customWidth="1"/>
    <col min="518" max="518" width="13.7109375" style="53" bestFit="1" customWidth="1"/>
    <col min="519" max="519" width="15.7109375" style="53" bestFit="1" customWidth="1"/>
    <col min="520" max="520" width="13.140625" style="53" bestFit="1" customWidth="1"/>
    <col min="521" max="521" width="11.85546875" style="53" bestFit="1" customWidth="1"/>
    <col min="522" max="522" width="12.85546875" style="53" bestFit="1" customWidth="1"/>
    <col min="523" max="768" width="9.140625" style="53"/>
    <col min="769" max="769" width="9.28515625" style="53" customWidth="1"/>
    <col min="770" max="770" width="39.85546875" style="53" customWidth="1"/>
    <col min="771" max="771" width="18.28515625" style="53" customWidth="1"/>
    <col min="772" max="772" width="23.85546875" style="53" customWidth="1"/>
    <col min="773" max="773" width="16" style="53" bestFit="1" customWidth="1"/>
    <col min="774" max="774" width="13.7109375" style="53" bestFit="1" customWidth="1"/>
    <col min="775" max="775" width="15.7109375" style="53" bestFit="1" customWidth="1"/>
    <col min="776" max="776" width="13.140625" style="53" bestFit="1" customWidth="1"/>
    <col min="777" max="777" width="11.85546875" style="53" bestFit="1" customWidth="1"/>
    <col min="778" max="778" width="12.85546875" style="53" bestFit="1" customWidth="1"/>
    <col min="779" max="1024" width="9.140625" style="53"/>
    <col min="1025" max="1025" width="9.28515625" style="53" customWidth="1"/>
    <col min="1026" max="1026" width="39.85546875" style="53" customWidth="1"/>
    <col min="1027" max="1027" width="18.28515625" style="53" customWidth="1"/>
    <col min="1028" max="1028" width="23.85546875" style="53" customWidth="1"/>
    <col min="1029" max="1029" width="16" style="53" bestFit="1" customWidth="1"/>
    <col min="1030" max="1030" width="13.7109375" style="53" bestFit="1" customWidth="1"/>
    <col min="1031" max="1031" width="15.7109375" style="53" bestFit="1" customWidth="1"/>
    <col min="1032" max="1032" width="13.140625" style="53" bestFit="1" customWidth="1"/>
    <col min="1033" max="1033" width="11.85546875" style="53" bestFit="1" customWidth="1"/>
    <col min="1034" max="1034" width="12.85546875" style="53" bestFit="1" customWidth="1"/>
    <col min="1035" max="1280" width="9.140625" style="53"/>
    <col min="1281" max="1281" width="9.28515625" style="53" customWidth="1"/>
    <col min="1282" max="1282" width="39.85546875" style="53" customWidth="1"/>
    <col min="1283" max="1283" width="18.28515625" style="53" customWidth="1"/>
    <col min="1284" max="1284" width="23.85546875" style="53" customWidth="1"/>
    <col min="1285" max="1285" width="16" style="53" bestFit="1" customWidth="1"/>
    <col min="1286" max="1286" width="13.7109375" style="53" bestFit="1" customWidth="1"/>
    <col min="1287" max="1287" width="15.7109375" style="53" bestFit="1" customWidth="1"/>
    <col min="1288" max="1288" width="13.140625" style="53" bestFit="1" customWidth="1"/>
    <col min="1289" max="1289" width="11.85546875" style="53" bestFit="1" customWidth="1"/>
    <col min="1290" max="1290" width="12.85546875" style="53" bestFit="1" customWidth="1"/>
    <col min="1291" max="1536" width="9.140625" style="53"/>
    <col min="1537" max="1537" width="9.28515625" style="53" customWidth="1"/>
    <col min="1538" max="1538" width="39.85546875" style="53" customWidth="1"/>
    <col min="1539" max="1539" width="18.28515625" style="53" customWidth="1"/>
    <col min="1540" max="1540" width="23.85546875" style="53" customWidth="1"/>
    <col min="1541" max="1541" width="16" style="53" bestFit="1" customWidth="1"/>
    <col min="1542" max="1542" width="13.7109375" style="53" bestFit="1" customWidth="1"/>
    <col min="1543" max="1543" width="15.7109375" style="53" bestFit="1" customWidth="1"/>
    <col min="1544" max="1544" width="13.140625" style="53" bestFit="1" customWidth="1"/>
    <col min="1545" max="1545" width="11.85546875" style="53" bestFit="1" customWidth="1"/>
    <col min="1546" max="1546" width="12.85546875" style="53" bestFit="1" customWidth="1"/>
    <col min="1547" max="1792" width="9.140625" style="53"/>
    <col min="1793" max="1793" width="9.28515625" style="53" customWidth="1"/>
    <col min="1794" max="1794" width="39.85546875" style="53" customWidth="1"/>
    <col min="1795" max="1795" width="18.28515625" style="53" customWidth="1"/>
    <col min="1796" max="1796" width="23.85546875" style="53" customWidth="1"/>
    <col min="1797" max="1797" width="16" style="53" bestFit="1" customWidth="1"/>
    <col min="1798" max="1798" width="13.7109375" style="53" bestFit="1" customWidth="1"/>
    <col min="1799" max="1799" width="15.7109375" style="53" bestFit="1" customWidth="1"/>
    <col min="1800" max="1800" width="13.140625" style="53" bestFit="1" customWidth="1"/>
    <col min="1801" max="1801" width="11.85546875" style="53" bestFit="1" customWidth="1"/>
    <col min="1802" max="1802" width="12.85546875" style="53" bestFit="1" customWidth="1"/>
    <col min="1803" max="2048" width="9.140625" style="53"/>
    <col min="2049" max="2049" width="9.28515625" style="53" customWidth="1"/>
    <col min="2050" max="2050" width="39.85546875" style="53" customWidth="1"/>
    <col min="2051" max="2051" width="18.28515625" style="53" customWidth="1"/>
    <col min="2052" max="2052" width="23.85546875" style="53" customWidth="1"/>
    <col min="2053" max="2053" width="16" style="53" bestFit="1" customWidth="1"/>
    <col min="2054" max="2054" width="13.7109375" style="53" bestFit="1" customWidth="1"/>
    <col min="2055" max="2055" width="15.7109375" style="53" bestFit="1" customWidth="1"/>
    <col min="2056" max="2056" width="13.140625" style="53" bestFit="1" customWidth="1"/>
    <col min="2057" max="2057" width="11.85546875" style="53" bestFit="1" customWidth="1"/>
    <col min="2058" max="2058" width="12.85546875" style="53" bestFit="1" customWidth="1"/>
    <col min="2059" max="2304" width="9.140625" style="53"/>
    <col min="2305" max="2305" width="9.28515625" style="53" customWidth="1"/>
    <col min="2306" max="2306" width="39.85546875" style="53" customWidth="1"/>
    <col min="2307" max="2307" width="18.28515625" style="53" customWidth="1"/>
    <col min="2308" max="2308" width="23.85546875" style="53" customWidth="1"/>
    <col min="2309" max="2309" width="16" style="53" bestFit="1" customWidth="1"/>
    <col min="2310" max="2310" width="13.7109375" style="53" bestFit="1" customWidth="1"/>
    <col min="2311" max="2311" width="15.7109375" style="53" bestFit="1" customWidth="1"/>
    <col min="2312" max="2312" width="13.140625" style="53" bestFit="1" customWidth="1"/>
    <col min="2313" max="2313" width="11.85546875" style="53" bestFit="1" customWidth="1"/>
    <col min="2314" max="2314" width="12.85546875" style="53" bestFit="1" customWidth="1"/>
    <col min="2315" max="2560" width="9.140625" style="53"/>
    <col min="2561" max="2561" width="9.28515625" style="53" customWidth="1"/>
    <col min="2562" max="2562" width="39.85546875" style="53" customWidth="1"/>
    <col min="2563" max="2563" width="18.28515625" style="53" customWidth="1"/>
    <col min="2564" max="2564" width="23.85546875" style="53" customWidth="1"/>
    <col min="2565" max="2565" width="16" style="53" bestFit="1" customWidth="1"/>
    <col min="2566" max="2566" width="13.7109375" style="53" bestFit="1" customWidth="1"/>
    <col min="2567" max="2567" width="15.7109375" style="53" bestFit="1" customWidth="1"/>
    <col min="2568" max="2568" width="13.140625" style="53" bestFit="1" customWidth="1"/>
    <col min="2569" max="2569" width="11.85546875" style="53" bestFit="1" customWidth="1"/>
    <col min="2570" max="2570" width="12.85546875" style="53" bestFit="1" customWidth="1"/>
    <col min="2571" max="2816" width="9.140625" style="53"/>
    <col min="2817" max="2817" width="9.28515625" style="53" customWidth="1"/>
    <col min="2818" max="2818" width="39.85546875" style="53" customWidth="1"/>
    <col min="2819" max="2819" width="18.28515625" style="53" customWidth="1"/>
    <col min="2820" max="2820" width="23.85546875" style="53" customWidth="1"/>
    <col min="2821" max="2821" width="16" style="53" bestFit="1" customWidth="1"/>
    <col min="2822" max="2822" width="13.7109375" style="53" bestFit="1" customWidth="1"/>
    <col min="2823" max="2823" width="15.7109375" style="53" bestFit="1" customWidth="1"/>
    <col min="2824" max="2824" width="13.140625" style="53" bestFit="1" customWidth="1"/>
    <col min="2825" max="2825" width="11.85546875" style="53" bestFit="1" customWidth="1"/>
    <col min="2826" max="2826" width="12.85546875" style="53" bestFit="1" customWidth="1"/>
    <col min="2827" max="3072" width="9.140625" style="53"/>
    <col min="3073" max="3073" width="9.28515625" style="53" customWidth="1"/>
    <col min="3074" max="3074" width="39.85546875" style="53" customWidth="1"/>
    <col min="3075" max="3075" width="18.28515625" style="53" customWidth="1"/>
    <col min="3076" max="3076" width="23.85546875" style="53" customWidth="1"/>
    <col min="3077" max="3077" width="16" style="53" bestFit="1" customWidth="1"/>
    <col min="3078" max="3078" width="13.7109375" style="53" bestFit="1" customWidth="1"/>
    <col min="3079" max="3079" width="15.7109375" style="53" bestFit="1" customWidth="1"/>
    <col min="3080" max="3080" width="13.140625" style="53" bestFit="1" customWidth="1"/>
    <col min="3081" max="3081" width="11.85546875" style="53" bestFit="1" customWidth="1"/>
    <col min="3082" max="3082" width="12.85546875" style="53" bestFit="1" customWidth="1"/>
    <col min="3083" max="3328" width="9.140625" style="53"/>
    <col min="3329" max="3329" width="9.28515625" style="53" customWidth="1"/>
    <col min="3330" max="3330" width="39.85546875" style="53" customWidth="1"/>
    <col min="3331" max="3331" width="18.28515625" style="53" customWidth="1"/>
    <col min="3332" max="3332" width="23.85546875" style="53" customWidth="1"/>
    <col min="3333" max="3333" width="16" style="53" bestFit="1" customWidth="1"/>
    <col min="3334" max="3334" width="13.7109375" style="53" bestFit="1" customWidth="1"/>
    <col min="3335" max="3335" width="15.7109375" style="53" bestFit="1" customWidth="1"/>
    <col min="3336" max="3336" width="13.140625" style="53" bestFit="1" customWidth="1"/>
    <col min="3337" max="3337" width="11.85546875" style="53" bestFit="1" customWidth="1"/>
    <col min="3338" max="3338" width="12.85546875" style="53" bestFit="1" customWidth="1"/>
    <col min="3339" max="3584" width="9.140625" style="53"/>
    <col min="3585" max="3585" width="9.28515625" style="53" customWidth="1"/>
    <col min="3586" max="3586" width="39.85546875" style="53" customWidth="1"/>
    <col min="3587" max="3587" width="18.28515625" style="53" customWidth="1"/>
    <col min="3588" max="3588" width="23.85546875" style="53" customWidth="1"/>
    <col min="3589" max="3589" width="16" style="53" bestFit="1" customWidth="1"/>
    <col min="3590" max="3590" width="13.7109375" style="53" bestFit="1" customWidth="1"/>
    <col min="3591" max="3591" width="15.7109375" style="53" bestFit="1" customWidth="1"/>
    <col min="3592" max="3592" width="13.140625" style="53" bestFit="1" customWidth="1"/>
    <col min="3593" max="3593" width="11.85546875" style="53" bestFit="1" customWidth="1"/>
    <col min="3594" max="3594" width="12.85546875" style="53" bestFit="1" customWidth="1"/>
    <col min="3595" max="3840" width="9.140625" style="53"/>
    <col min="3841" max="3841" width="9.28515625" style="53" customWidth="1"/>
    <col min="3842" max="3842" width="39.85546875" style="53" customWidth="1"/>
    <col min="3843" max="3843" width="18.28515625" style="53" customWidth="1"/>
    <col min="3844" max="3844" width="23.85546875" style="53" customWidth="1"/>
    <col min="3845" max="3845" width="16" style="53" bestFit="1" customWidth="1"/>
    <col min="3846" max="3846" width="13.7109375" style="53" bestFit="1" customWidth="1"/>
    <col min="3847" max="3847" width="15.7109375" style="53" bestFit="1" customWidth="1"/>
    <col min="3848" max="3848" width="13.140625" style="53" bestFit="1" customWidth="1"/>
    <col min="3849" max="3849" width="11.85546875" style="53" bestFit="1" customWidth="1"/>
    <col min="3850" max="3850" width="12.85546875" style="53" bestFit="1" customWidth="1"/>
    <col min="3851" max="4096" width="9.140625" style="53"/>
    <col min="4097" max="4097" width="9.28515625" style="53" customWidth="1"/>
    <col min="4098" max="4098" width="39.85546875" style="53" customWidth="1"/>
    <col min="4099" max="4099" width="18.28515625" style="53" customWidth="1"/>
    <col min="4100" max="4100" width="23.85546875" style="53" customWidth="1"/>
    <col min="4101" max="4101" width="16" style="53" bestFit="1" customWidth="1"/>
    <col min="4102" max="4102" width="13.7109375" style="53" bestFit="1" customWidth="1"/>
    <col min="4103" max="4103" width="15.7109375" style="53" bestFit="1" customWidth="1"/>
    <col min="4104" max="4104" width="13.140625" style="53" bestFit="1" customWidth="1"/>
    <col min="4105" max="4105" width="11.85546875" style="53" bestFit="1" customWidth="1"/>
    <col min="4106" max="4106" width="12.85546875" style="53" bestFit="1" customWidth="1"/>
    <col min="4107" max="4352" width="9.140625" style="53"/>
    <col min="4353" max="4353" width="9.28515625" style="53" customWidth="1"/>
    <col min="4354" max="4354" width="39.85546875" style="53" customWidth="1"/>
    <col min="4355" max="4355" width="18.28515625" style="53" customWidth="1"/>
    <col min="4356" max="4356" width="23.85546875" style="53" customWidth="1"/>
    <col min="4357" max="4357" width="16" style="53" bestFit="1" customWidth="1"/>
    <col min="4358" max="4358" width="13.7109375" style="53" bestFit="1" customWidth="1"/>
    <col min="4359" max="4359" width="15.7109375" style="53" bestFit="1" customWidth="1"/>
    <col min="4360" max="4360" width="13.140625" style="53" bestFit="1" customWidth="1"/>
    <col min="4361" max="4361" width="11.85546875" style="53" bestFit="1" customWidth="1"/>
    <col min="4362" max="4362" width="12.85546875" style="53" bestFit="1" customWidth="1"/>
    <col min="4363" max="4608" width="9.140625" style="53"/>
    <col min="4609" max="4609" width="9.28515625" style="53" customWidth="1"/>
    <col min="4610" max="4610" width="39.85546875" style="53" customWidth="1"/>
    <col min="4611" max="4611" width="18.28515625" style="53" customWidth="1"/>
    <col min="4612" max="4612" width="23.85546875" style="53" customWidth="1"/>
    <col min="4613" max="4613" width="16" style="53" bestFit="1" customWidth="1"/>
    <col min="4614" max="4614" width="13.7109375" style="53" bestFit="1" customWidth="1"/>
    <col min="4615" max="4615" width="15.7109375" style="53" bestFit="1" customWidth="1"/>
    <col min="4616" max="4616" width="13.140625" style="53" bestFit="1" customWidth="1"/>
    <col min="4617" max="4617" width="11.85546875" style="53" bestFit="1" customWidth="1"/>
    <col min="4618" max="4618" width="12.85546875" style="53" bestFit="1" customWidth="1"/>
    <col min="4619" max="4864" width="9.140625" style="53"/>
    <col min="4865" max="4865" width="9.28515625" style="53" customWidth="1"/>
    <col min="4866" max="4866" width="39.85546875" style="53" customWidth="1"/>
    <col min="4867" max="4867" width="18.28515625" style="53" customWidth="1"/>
    <col min="4868" max="4868" width="23.85546875" style="53" customWidth="1"/>
    <col min="4869" max="4869" width="16" style="53" bestFit="1" customWidth="1"/>
    <col min="4870" max="4870" width="13.7109375" style="53" bestFit="1" customWidth="1"/>
    <col min="4871" max="4871" width="15.7109375" style="53" bestFit="1" customWidth="1"/>
    <col min="4872" max="4872" width="13.140625" style="53" bestFit="1" customWidth="1"/>
    <col min="4873" max="4873" width="11.85546875" style="53" bestFit="1" customWidth="1"/>
    <col min="4874" max="4874" width="12.85546875" style="53" bestFit="1" customWidth="1"/>
    <col min="4875" max="5120" width="9.140625" style="53"/>
    <col min="5121" max="5121" width="9.28515625" style="53" customWidth="1"/>
    <col min="5122" max="5122" width="39.85546875" style="53" customWidth="1"/>
    <col min="5123" max="5123" width="18.28515625" style="53" customWidth="1"/>
    <col min="5124" max="5124" width="23.85546875" style="53" customWidth="1"/>
    <col min="5125" max="5125" width="16" style="53" bestFit="1" customWidth="1"/>
    <col min="5126" max="5126" width="13.7109375" style="53" bestFit="1" customWidth="1"/>
    <col min="5127" max="5127" width="15.7109375" style="53" bestFit="1" customWidth="1"/>
    <col min="5128" max="5128" width="13.140625" style="53" bestFit="1" customWidth="1"/>
    <col min="5129" max="5129" width="11.85546875" style="53" bestFit="1" customWidth="1"/>
    <col min="5130" max="5130" width="12.85546875" style="53" bestFit="1" customWidth="1"/>
    <col min="5131" max="5376" width="9.140625" style="53"/>
    <col min="5377" max="5377" width="9.28515625" style="53" customWidth="1"/>
    <col min="5378" max="5378" width="39.85546875" style="53" customWidth="1"/>
    <col min="5379" max="5379" width="18.28515625" style="53" customWidth="1"/>
    <col min="5380" max="5380" width="23.85546875" style="53" customWidth="1"/>
    <col min="5381" max="5381" width="16" style="53" bestFit="1" customWidth="1"/>
    <col min="5382" max="5382" width="13.7109375" style="53" bestFit="1" customWidth="1"/>
    <col min="5383" max="5383" width="15.7109375" style="53" bestFit="1" customWidth="1"/>
    <col min="5384" max="5384" width="13.140625" style="53" bestFit="1" customWidth="1"/>
    <col min="5385" max="5385" width="11.85546875" style="53" bestFit="1" customWidth="1"/>
    <col min="5386" max="5386" width="12.85546875" style="53" bestFit="1" customWidth="1"/>
    <col min="5387" max="5632" width="9.140625" style="53"/>
    <col min="5633" max="5633" width="9.28515625" style="53" customWidth="1"/>
    <col min="5634" max="5634" width="39.85546875" style="53" customWidth="1"/>
    <col min="5635" max="5635" width="18.28515625" style="53" customWidth="1"/>
    <col min="5636" max="5636" width="23.85546875" style="53" customWidth="1"/>
    <col min="5637" max="5637" width="16" style="53" bestFit="1" customWidth="1"/>
    <col min="5638" max="5638" width="13.7109375" style="53" bestFit="1" customWidth="1"/>
    <col min="5639" max="5639" width="15.7109375" style="53" bestFit="1" customWidth="1"/>
    <col min="5640" max="5640" width="13.140625" style="53" bestFit="1" customWidth="1"/>
    <col min="5641" max="5641" width="11.85546875" style="53" bestFit="1" customWidth="1"/>
    <col min="5642" max="5642" width="12.85546875" style="53" bestFit="1" customWidth="1"/>
    <col min="5643" max="5888" width="9.140625" style="53"/>
    <col min="5889" max="5889" width="9.28515625" style="53" customWidth="1"/>
    <col min="5890" max="5890" width="39.85546875" style="53" customWidth="1"/>
    <col min="5891" max="5891" width="18.28515625" style="53" customWidth="1"/>
    <col min="5892" max="5892" width="23.85546875" style="53" customWidth="1"/>
    <col min="5893" max="5893" width="16" style="53" bestFit="1" customWidth="1"/>
    <col min="5894" max="5894" width="13.7109375" style="53" bestFit="1" customWidth="1"/>
    <col min="5895" max="5895" width="15.7109375" style="53" bestFit="1" customWidth="1"/>
    <col min="5896" max="5896" width="13.140625" style="53" bestFit="1" customWidth="1"/>
    <col min="5897" max="5897" width="11.85546875" style="53" bestFit="1" customWidth="1"/>
    <col min="5898" max="5898" width="12.85546875" style="53" bestFit="1" customWidth="1"/>
    <col min="5899" max="6144" width="9.140625" style="53"/>
    <col min="6145" max="6145" width="9.28515625" style="53" customWidth="1"/>
    <col min="6146" max="6146" width="39.85546875" style="53" customWidth="1"/>
    <col min="6147" max="6147" width="18.28515625" style="53" customWidth="1"/>
    <col min="6148" max="6148" width="23.85546875" style="53" customWidth="1"/>
    <col min="6149" max="6149" width="16" style="53" bestFit="1" customWidth="1"/>
    <col min="6150" max="6150" width="13.7109375" style="53" bestFit="1" customWidth="1"/>
    <col min="6151" max="6151" width="15.7109375" style="53" bestFit="1" customWidth="1"/>
    <col min="6152" max="6152" width="13.140625" style="53" bestFit="1" customWidth="1"/>
    <col min="6153" max="6153" width="11.85546875" style="53" bestFit="1" customWidth="1"/>
    <col min="6154" max="6154" width="12.85546875" style="53" bestFit="1" customWidth="1"/>
    <col min="6155" max="6400" width="9.140625" style="53"/>
    <col min="6401" max="6401" width="9.28515625" style="53" customWidth="1"/>
    <col min="6402" max="6402" width="39.85546875" style="53" customWidth="1"/>
    <col min="6403" max="6403" width="18.28515625" style="53" customWidth="1"/>
    <col min="6404" max="6404" width="23.85546875" style="53" customWidth="1"/>
    <col min="6405" max="6405" width="16" style="53" bestFit="1" customWidth="1"/>
    <col min="6406" max="6406" width="13.7109375" style="53" bestFit="1" customWidth="1"/>
    <col min="6407" max="6407" width="15.7109375" style="53" bestFit="1" customWidth="1"/>
    <col min="6408" max="6408" width="13.140625" style="53" bestFit="1" customWidth="1"/>
    <col min="6409" max="6409" width="11.85546875" style="53" bestFit="1" customWidth="1"/>
    <col min="6410" max="6410" width="12.85546875" style="53" bestFit="1" customWidth="1"/>
    <col min="6411" max="6656" width="9.140625" style="53"/>
    <col min="6657" max="6657" width="9.28515625" style="53" customWidth="1"/>
    <col min="6658" max="6658" width="39.85546875" style="53" customWidth="1"/>
    <col min="6659" max="6659" width="18.28515625" style="53" customWidth="1"/>
    <col min="6660" max="6660" width="23.85546875" style="53" customWidth="1"/>
    <col min="6661" max="6661" width="16" style="53" bestFit="1" customWidth="1"/>
    <col min="6662" max="6662" width="13.7109375" style="53" bestFit="1" customWidth="1"/>
    <col min="6663" max="6663" width="15.7109375" style="53" bestFit="1" customWidth="1"/>
    <col min="6664" max="6664" width="13.140625" style="53" bestFit="1" customWidth="1"/>
    <col min="6665" max="6665" width="11.85546875" style="53" bestFit="1" customWidth="1"/>
    <col min="6666" max="6666" width="12.85546875" style="53" bestFit="1" customWidth="1"/>
    <col min="6667" max="6912" width="9.140625" style="53"/>
    <col min="6913" max="6913" width="9.28515625" style="53" customWidth="1"/>
    <col min="6914" max="6914" width="39.85546875" style="53" customWidth="1"/>
    <col min="6915" max="6915" width="18.28515625" style="53" customWidth="1"/>
    <col min="6916" max="6916" width="23.85546875" style="53" customWidth="1"/>
    <col min="6917" max="6917" width="16" style="53" bestFit="1" customWidth="1"/>
    <col min="6918" max="6918" width="13.7109375" style="53" bestFit="1" customWidth="1"/>
    <col min="6919" max="6919" width="15.7109375" style="53" bestFit="1" customWidth="1"/>
    <col min="6920" max="6920" width="13.140625" style="53" bestFit="1" customWidth="1"/>
    <col min="6921" max="6921" width="11.85546875" style="53" bestFit="1" customWidth="1"/>
    <col min="6922" max="6922" width="12.85546875" style="53" bestFit="1" customWidth="1"/>
    <col min="6923" max="7168" width="9.140625" style="53"/>
    <col min="7169" max="7169" width="9.28515625" style="53" customWidth="1"/>
    <col min="7170" max="7170" width="39.85546875" style="53" customWidth="1"/>
    <col min="7171" max="7171" width="18.28515625" style="53" customWidth="1"/>
    <col min="7172" max="7172" width="23.85546875" style="53" customWidth="1"/>
    <col min="7173" max="7173" width="16" style="53" bestFit="1" customWidth="1"/>
    <col min="7174" max="7174" width="13.7109375" style="53" bestFit="1" customWidth="1"/>
    <col min="7175" max="7175" width="15.7109375" style="53" bestFit="1" customWidth="1"/>
    <col min="7176" max="7176" width="13.140625" style="53" bestFit="1" customWidth="1"/>
    <col min="7177" max="7177" width="11.85546875" style="53" bestFit="1" customWidth="1"/>
    <col min="7178" max="7178" width="12.85546875" style="53" bestFit="1" customWidth="1"/>
    <col min="7179" max="7424" width="9.140625" style="53"/>
    <col min="7425" max="7425" width="9.28515625" style="53" customWidth="1"/>
    <col min="7426" max="7426" width="39.85546875" style="53" customWidth="1"/>
    <col min="7427" max="7427" width="18.28515625" style="53" customWidth="1"/>
    <col min="7428" max="7428" width="23.85546875" style="53" customWidth="1"/>
    <col min="7429" max="7429" width="16" style="53" bestFit="1" customWidth="1"/>
    <col min="7430" max="7430" width="13.7109375" style="53" bestFit="1" customWidth="1"/>
    <col min="7431" max="7431" width="15.7109375" style="53" bestFit="1" customWidth="1"/>
    <col min="7432" max="7432" width="13.140625" style="53" bestFit="1" customWidth="1"/>
    <col min="7433" max="7433" width="11.85546875" style="53" bestFit="1" customWidth="1"/>
    <col min="7434" max="7434" width="12.85546875" style="53" bestFit="1" customWidth="1"/>
    <col min="7435" max="7680" width="9.140625" style="53"/>
    <col min="7681" max="7681" width="9.28515625" style="53" customWidth="1"/>
    <col min="7682" max="7682" width="39.85546875" style="53" customWidth="1"/>
    <col min="7683" max="7683" width="18.28515625" style="53" customWidth="1"/>
    <col min="7684" max="7684" width="23.85546875" style="53" customWidth="1"/>
    <col min="7685" max="7685" width="16" style="53" bestFit="1" customWidth="1"/>
    <col min="7686" max="7686" width="13.7109375" style="53" bestFit="1" customWidth="1"/>
    <col min="7687" max="7687" width="15.7109375" style="53" bestFit="1" customWidth="1"/>
    <col min="7688" max="7688" width="13.140625" style="53" bestFit="1" customWidth="1"/>
    <col min="7689" max="7689" width="11.85546875" style="53" bestFit="1" customWidth="1"/>
    <col min="7690" max="7690" width="12.85546875" style="53" bestFit="1" customWidth="1"/>
    <col min="7691" max="7936" width="9.140625" style="53"/>
    <col min="7937" max="7937" width="9.28515625" style="53" customWidth="1"/>
    <col min="7938" max="7938" width="39.85546875" style="53" customWidth="1"/>
    <col min="7939" max="7939" width="18.28515625" style="53" customWidth="1"/>
    <col min="7940" max="7940" width="23.85546875" style="53" customWidth="1"/>
    <col min="7941" max="7941" width="16" style="53" bestFit="1" customWidth="1"/>
    <col min="7942" max="7942" width="13.7109375" style="53" bestFit="1" customWidth="1"/>
    <col min="7943" max="7943" width="15.7109375" style="53" bestFit="1" customWidth="1"/>
    <col min="7944" max="7944" width="13.140625" style="53" bestFit="1" customWidth="1"/>
    <col min="7945" max="7945" width="11.85546875" style="53" bestFit="1" customWidth="1"/>
    <col min="7946" max="7946" width="12.85546875" style="53" bestFit="1" customWidth="1"/>
    <col min="7947" max="8192" width="9.140625" style="53"/>
    <col min="8193" max="8193" width="9.28515625" style="53" customWidth="1"/>
    <col min="8194" max="8194" width="39.85546875" style="53" customWidth="1"/>
    <col min="8195" max="8195" width="18.28515625" style="53" customWidth="1"/>
    <col min="8196" max="8196" width="23.85546875" style="53" customWidth="1"/>
    <col min="8197" max="8197" width="16" style="53" bestFit="1" customWidth="1"/>
    <col min="8198" max="8198" width="13.7109375" style="53" bestFit="1" customWidth="1"/>
    <col min="8199" max="8199" width="15.7109375" style="53" bestFit="1" customWidth="1"/>
    <col min="8200" max="8200" width="13.140625" style="53" bestFit="1" customWidth="1"/>
    <col min="8201" max="8201" width="11.85546875" style="53" bestFit="1" customWidth="1"/>
    <col min="8202" max="8202" width="12.85546875" style="53" bestFit="1" customWidth="1"/>
    <col min="8203" max="8448" width="9.140625" style="53"/>
    <col min="8449" max="8449" width="9.28515625" style="53" customWidth="1"/>
    <col min="8450" max="8450" width="39.85546875" style="53" customWidth="1"/>
    <col min="8451" max="8451" width="18.28515625" style="53" customWidth="1"/>
    <col min="8452" max="8452" width="23.85546875" style="53" customWidth="1"/>
    <col min="8453" max="8453" width="16" style="53" bestFit="1" customWidth="1"/>
    <col min="8454" max="8454" width="13.7109375" style="53" bestFit="1" customWidth="1"/>
    <col min="8455" max="8455" width="15.7109375" style="53" bestFit="1" customWidth="1"/>
    <col min="8456" max="8456" width="13.140625" style="53" bestFit="1" customWidth="1"/>
    <col min="8457" max="8457" width="11.85546875" style="53" bestFit="1" customWidth="1"/>
    <col min="8458" max="8458" width="12.85546875" style="53" bestFit="1" customWidth="1"/>
    <col min="8459" max="8704" width="9.140625" style="53"/>
    <col min="8705" max="8705" width="9.28515625" style="53" customWidth="1"/>
    <col min="8706" max="8706" width="39.85546875" style="53" customWidth="1"/>
    <col min="8707" max="8707" width="18.28515625" style="53" customWidth="1"/>
    <col min="8708" max="8708" width="23.85546875" style="53" customWidth="1"/>
    <col min="8709" max="8709" width="16" style="53" bestFit="1" customWidth="1"/>
    <col min="8710" max="8710" width="13.7109375" style="53" bestFit="1" customWidth="1"/>
    <col min="8711" max="8711" width="15.7109375" style="53" bestFit="1" customWidth="1"/>
    <col min="8712" max="8712" width="13.140625" style="53" bestFit="1" customWidth="1"/>
    <col min="8713" max="8713" width="11.85546875" style="53" bestFit="1" customWidth="1"/>
    <col min="8714" max="8714" width="12.85546875" style="53" bestFit="1" customWidth="1"/>
    <col min="8715" max="8960" width="9.140625" style="53"/>
    <col min="8961" max="8961" width="9.28515625" style="53" customWidth="1"/>
    <col min="8962" max="8962" width="39.85546875" style="53" customWidth="1"/>
    <col min="8963" max="8963" width="18.28515625" style="53" customWidth="1"/>
    <col min="8964" max="8964" width="23.85546875" style="53" customWidth="1"/>
    <col min="8965" max="8965" width="16" style="53" bestFit="1" customWidth="1"/>
    <col min="8966" max="8966" width="13.7109375" style="53" bestFit="1" customWidth="1"/>
    <col min="8967" max="8967" width="15.7109375" style="53" bestFit="1" customWidth="1"/>
    <col min="8968" max="8968" width="13.140625" style="53" bestFit="1" customWidth="1"/>
    <col min="8969" max="8969" width="11.85546875" style="53" bestFit="1" customWidth="1"/>
    <col min="8970" max="8970" width="12.85546875" style="53" bestFit="1" customWidth="1"/>
    <col min="8971" max="9216" width="9.140625" style="53"/>
    <col min="9217" max="9217" width="9.28515625" style="53" customWidth="1"/>
    <col min="9218" max="9218" width="39.85546875" style="53" customWidth="1"/>
    <col min="9219" max="9219" width="18.28515625" style="53" customWidth="1"/>
    <col min="9220" max="9220" width="23.85546875" style="53" customWidth="1"/>
    <col min="9221" max="9221" width="16" style="53" bestFit="1" customWidth="1"/>
    <col min="9222" max="9222" width="13.7109375" style="53" bestFit="1" customWidth="1"/>
    <col min="9223" max="9223" width="15.7109375" style="53" bestFit="1" customWidth="1"/>
    <col min="9224" max="9224" width="13.140625" style="53" bestFit="1" customWidth="1"/>
    <col min="9225" max="9225" width="11.85546875" style="53" bestFit="1" customWidth="1"/>
    <col min="9226" max="9226" width="12.85546875" style="53" bestFit="1" customWidth="1"/>
    <col min="9227" max="9472" width="9.140625" style="53"/>
    <col min="9473" max="9473" width="9.28515625" style="53" customWidth="1"/>
    <col min="9474" max="9474" width="39.85546875" style="53" customWidth="1"/>
    <col min="9475" max="9475" width="18.28515625" style="53" customWidth="1"/>
    <col min="9476" max="9476" width="23.85546875" style="53" customWidth="1"/>
    <col min="9477" max="9477" width="16" style="53" bestFit="1" customWidth="1"/>
    <col min="9478" max="9478" width="13.7109375" style="53" bestFit="1" customWidth="1"/>
    <col min="9479" max="9479" width="15.7109375" style="53" bestFit="1" customWidth="1"/>
    <col min="9480" max="9480" width="13.140625" style="53" bestFit="1" customWidth="1"/>
    <col min="9481" max="9481" width="11.85546875" style="53" bestFit="1" customWidth="1"/>
    <col min="9482" max="9482" width="12.85546875" style="53" bestFit="1" customWidth="1"/>
    <col min="9483" max="9728" width="9.140625" style="53"/>
    <col min="9729" max="9729" width="9.28515625" style="53" customWidth="1"/>
    <col min="9730" max="9730" width="39.85546875" style="53" customWidth="1"/>
    <col min="9731" max="9731" width="18.28515625" style="53" customWidth="1"/>
    <col min="9732" max="9732" width="23.85546875" style="53" customWidth="1"/>
    <col min="9733" max="9733" width="16" style="53" bestFit="1" customWidth="1"/>
    <col min="9734" max="9734" width="13.7109375" style="53" bestFit="1" customWidth="1"/>
    <col min="9735" max="9735" width="15.7109375" style="53" bestFit="1" customWidth="1"/>
    <col min="9736" max="9736" width="13.140625" style="53" bestFit="1" customWidth="1"/>
    <col min="9737" max="9737" width="11.85546875" style="53" bestFit="1" customWidth="1"/>
    <col min="9738" max="9738" width="12.85546875" style="53" bestFit="1" customWidth="1"/>
    <col min="9739" max="9984" width="9.140625" style="53"/>
    <col min="9985" max="9985" width="9.28515625" style="53" customWidth="1"/>
    <col min="9986" max="9986" width="39.85546875" style="53" customWidth="1"/>
    <col min="9987" max="9987" width="18.28515625" style="53" customWidth="1"/>
    <col min="9988" max="9988" width="23.85546875" style="53" customWidth="1"/>
    <col min="9989" max="9989" width="16" style="53" bestFit="1" customWidth="1"/>
    <col min="9990" max="9990" width="13.7109375" style="53" bestFit="1" customWidth="1"/>
    <col min="9991" max="9991" width="15.7109375" style="53" bestFit="1" customWidth="1"/>
    <col min="9992" max="9992" width="13.140625" style="53" bestFit="1" customWidth="1"/>
    <col min="9993" max="9993" width="11.85546875" style="53" bestFit="1" customWidth="1"/>
    <col min="9994" max="9994" width="12.85546875" style="53" bestFit="1" customWidth="1"/>
    <col min="9995" max="10240" width="9.140625" style="53"/>
    <col min="10241" max="10241" width="9.28515625" style="53" customWidth="1"/>
    <col min="10242" max="10242" width="39.85546875" style="53" customWidth="1"/>
    <col min="10243" max="10243" width="18.28515625" style="53" customWidth="1"/>
    <col min="10244" max="10244" width="23.85546875" style="53" customWidth="1"/>
    <col min="10245" max="10245" width="16" style="53" bestFit="1" customWidth="1"/>
    <col min="10246" max="10246" width="13.7109375" style="53" bestFit="1" customWidth="1"/>
    <col min="10247" max="10247" width="15.7109375" style="53" bestFit="1" customWidth="1"/>
    <col min="10248" max="10248" width="13.140625" style="53" bestFit="1" customWidth="1"/>
    <col min="10249" max="10249" width="11.85546875" style="53" bestFit="1" customWidth="1"/>
    <col min="10250" max="10250" width="12.85546875" style="53" bestFit="1" customWidth="1"/>
    <col min="10251" max="10496" width="9.140625" style="53"/>
    <col min="10497" max="10497" width="9.28515625" style="53" customWidth="1"/>
    <col min="10498" max="10498" width="39.85546875" style="53" customWidth="1"/>
    <col min="10499" max="10499" width="18.28515625" style="53" customWidth="1"/>
    <col min="10500" max="10500" width="23.85546875" style="53" customWidth="1"/>
    <col min="10501" max="10501" width="16" style="53" bestFit="1" customWidth="1"/>
    <col min="10502" max="10502" width="13.7109375" style="53" bestFit="1" customWidth="1"/>
    <col min="10503" max="10503" width="15.7109375" style="53" bestFit="1" customWidth="1"/>
    <col min="10504" max="10504" width="13.140625" style="53" bestFit="1" customWidth="1"/>
    <col min="10505" max="10505" width="11.85546875" style="53" bestFit="1" customWidth="1"/>
    <col min="10506" max="10506" width="12.85546875" style="53" bestFit="1" customWidth="1"/>
    <col min="10507" max="10752" width="9.140625" style="53"/>
    <col min="10753" max="10753" width="9.28515625" style="53" customWidth="1"/>
    <col min="10754" max="10754" width="39.85546875" style="53" customWidth="1"/>
    <col min="10755" max="10755" width="18.28515625" style="53" customWidth="1"/>
    <col min="10756" max="10756" width="23.85546875" style="53" customWidth="1"/>
    <col min="10757" max="10757" width="16" style="53" bestFit="1" customWidth="1"/>
    <col min="10758" max="10758" width="13.7109375" style="53" bestFit="1" customWidth="1"/>
    <col min="10759" max="10759" width="15.7109375" style="53" bestFit="1" customWidth="1"/>
    <col min="10760" max="10760" width="13.140625" style="53" bestFit="1" customWidth="1"/>
    <col min="10761" max="10761" width="11.85546875" style="53" bestFit="1" customWidth="1"/>
    <col min="10762" max="10762" width="12.85546875" style="53" bestFit="1" customWidth="1"/>
    <col min="10763" max="11008" width="9.140625" style="53"/>
    <col min="11009" max="11009" width="9.28515625" style="53" customWidth="1"/>
    <col min="11010" max="11010" width="39.85546875" style="53" customWidth="1"/>
    <col min="11011" max="11011" width="18.28515625" style="53" customWidth="1"/>
    <col min="11012" max="11012" width="23.85546875" style="53" customWidth="1"/>
    <col min="11013" max="11013" width="16" style="53" bestFit="1" customWidth="1"/>
    <col min="11014" max="11014" width="13.7109375" style="53" bestFit="1" customWidth="1"/>
    <col min="11015" max="11015" width="15.7109375" style="53" bestFit="1" customWidth="1"/>
    <col min="11016" max="11016" width="13.140625" style="53" bestFit="1" customWidth="1"/>
    <col min="11017" max="11017" width="11.85546875" style="53" bestFit="1" customWidth="1"/>
    <col min="11018" max="11018" width="12.85546875" style="53" bestFit="1" customWidth="1"/>
    <col min="11019" max="11264" width="9.140625" style="53"/>
    <col min="11265" max="11265" width="9.28515625" style="53" customWidth="1"/>
    <col min="11266" max="11266" width="39.85546875" style="53" customWidth="1"/>
    <col min="11267" max="11267" width="18.28515625" style="53" customWidth="1"/>
    <col min="11268" max="11268" width="23.85546875" style="53" customWidth="1"/>
    <col min="11269" max="11269" width="16" style="53" bestFit="1" customWidth="1"/>
    <col min="11270" max="11270" width="13.7109375" style="53" bestFit="1" customWidth="1"/>
    <col min="11271" max="11271" width="15.7109375" style="53" bestFit="1" customWidth="1"/>
    <col min="11272" max="11272" width="13.140625" style="53" bestFit="1" customWidth="1"/>
    <col min="11273" max="11273" width="11.85546875" style="53" bestFit="1" customWidth="1"/>
    <col min="11274" max="11274" width="12.85546875" style="53" bestFit="1" customWidth="1"/>
    <col min="11275" max="11520" width="9.140625" style="53"/>
    <col min="11521" max="11521" width="9.28515625" style="53" customWidth="1"/>
    <col min="11522" max="11522" width="39.85546875" style="53" customWidth="1"/>
    <col min="11523" max="11523" width="18.28515625" style="53" customWidth="1"/>
    <col min="11524" max="11524" width="23.85546875" style="53" customWidth="1"/>
    <col min="11525" max="11525" width="16" style="53" bestFit="1" customWidth="1"/>
    <col min="11526" max="11526" width="13.7109375" style="53" bestFit="1" customWidth="1"/>
    <col min="11527" max="11527" width="15.7109375" style="53" bestFit="1" customWidth="1"/>
    <col min="11528" max="11528" width="13.140625" style="53" bestFit="1" customWidth="1"/>
    <col min="11529" max="11529" width="11.85546875" style="53" bestFit="1" customWidth="1"/>
    <col min="11530" max="11530" width="12.85546875" style="53" bestFit="1" customWidth="1"/>
    <col min="11531" max="11776" width="9.140625" style="53"/>
    <col min="11777" max="11777" width="9.28515625" style="53" customWidth="1"/>
    <col min="11778" max="11778" width="39.85546875" style="53" customWidth="1"/>
    <col min="11779" max="11779" width="18.28515625" style="53" customWidth="1"/>
    <col min="11780" max="11780" width="23.85546875" style="53" customWidth="1"/>
    <col min="11781" max="11781" width="16" style="53" bestFit="1" customWidth="1"/>
    <col min="11782" max="11782" width="13.7109375" style="53" bestFit="1" customWidth="1"/>
    <col min="11783" max="11783" width="15.7109375" style="53" bestFit="1" customWidth="1"/>
    <col min="11784" max="11784" width="13.140625" style="53" bestFit="1" customWidth="1"/>
    <col min="11785" max="11785" width="11.85546875" style="53" bestFit="1" customWidth="1"/>
    <col min="11786" max="11786" width="12.85546875" style="53" bestFit="1" customWidth="1"/>
    <col min="11787" max="12032" width="9.140625" style="53"/>
    <col min="12033" max="12033" width="9.28515625" style="53" customWidth="1"/>
    <col min="12034" max="12034" width="39.85546875" style="53" customWidth="1"/>
    <col min="12035" max="12035" width="18.28515625" style="53" customWidth="1"/>
    <col min="12036" max="12036" width="23.85546875" style="53" customWidth="1"/>
    <col min="12037" max="12037" width="16" style="53" bestFit="1" customWidth="1"/>
    <col min="12038" max="12038" width="13.7109375" style="53" bestFit="1" customWidth="1"/>
    <col min="12039" max="12039" width="15.7109375" style="53" bestFit="1" customWidth="1"/>
    <col min="12040" max="12040" width="13.140625" style="53" bestFit="1" customWidth="1"/>
    <col min="12041" max="12041" width="11.85546875" style="53" bestFit="1" customWidth="1"/>
    <col min="12042" max="12042" width="12.85546875" style="53" bestFit="1" customWidth="1"/>
    <col min="12043" max="12288" width="9.140625" style="53"/>
    <col min="12289" max="12289" width="9.28515625" style="53" customWidth="1"/>
    <col min="12290" max="12290" width="39.85546875" style="53" customWidth="1"/>
    <col min="12291" max="12291" width="18.28515625" style="53" customWidth="1"/>
    <col min="12292" max="12292" width="23.85546875" style="53" customWidth="1"/>
    <col min="12293" max="12293" width="16" style="53" bestFit="1" customWidth="1"/>
    <col min="12294" max="12294" width="13.7109375" style="53" bestFit="1" customWidth="1"/>
    <col min="12295" max="12295" width="15.7109375" style="53" bestFit="1" customWidth="1"/>
    <col min="12296" max="12296" width="13.140625" style="53" bestFit="1" customWidth="1"/>
    <col min="12297" max="12297" width="11.85546875" style="53" bestFit="1" customWidth="1"/>
    <col min="12298" max="12298" width="12.85546875" style="53" bestFit="1" customWidth="1"/>
    <col min="12299" max="12544" width="9.140625" style="53"/>
    <col min="12545" max="12545" width="9.28515625" style="53" customWidth="1"/>
    <col min="12546" max="12546" width="39.85546875" style="53" customWidth="1"/>
    <col min="12547" max="12547" width="18.28515625" style="53" customWidth="1"/>
    <col min="12548" max="12548" width="23.85546875" style="53" customWidth="1"/>
    <col min="12549" max="12549" width="16" style="53" bestFit="1" customWidth="1"/>
    <col min="12550" max="12550" width="13.7109375" style="53" bestFit="1" customWidth="1"/>
    <col min="12551" max="12551" width="15.7109375" style="53" bestFit="1" customWidth="1"/>
    <col min="12552" max="12552" width="13.140625" style="53" bestFit="1" customWidth="1"/>
    <col min="12553" max="12553" width="11.85546875" style="53" bestFit="1" customWidth="1"/>
    <col min="12554" max="12554" width="12.85546875" style="53" bestFit="1" customWidth="1"/>
    <col min="12555" max="12800" width="9.140625" style="53"/>
    <col min="12801" max="12801" width="9.28515625" style="53" customWidth="1"/>
    <col min="12802" max="12802" width="39.85546875" style="53" customWidth="1"/>
    <col min="12803" max="12803" width="18.28515625" style="53" customWidth="1"/>
    <col min="12804" max="12804" width="23.85546875" style="53" customWidth="1"/>
    <col min="12805" max="12805" width="16" style="53" bestFit="1" customWidth="1"/>
    <col min="12806" max="12806" width="13.7109375" style="53" bestFit="1" customWidth="1"/>
    <col min="12807" max="12807" width="15.7109375" style="53" bestFit="1" customWidth="1"/>
    <col min="12808" max="12808" width="13.140625" style="53" bestFit="1" customWidth="1"/>
    <col min="12809" max="12809" width="11.85546875" style="53" bestFit="1" customWidth="1"/>
    <col min="12810" max="12810" width="12.85546875" style="53" bestFit="1" customWidth="1"/>
    <col min="12811" max="13056" width="9.140625" style="53"/>
    <col min="13057" max="13057" width="9.28515625" style="53" customWidth="1"/>
    <col min="13058" max="13058" width="39.85546875" style="53" customWidth="1"/>
    <col min="13059" max="13059" width="18.28515625" style="53" customWidth="1"/>
    <col min="13060" max="13060" width="23.85546875" style="53" customWidth="1"/>
    <col min="13061" max="13061" width="16" style="53" bestFit="1" customWidth="1"/>
    <col min="13062" max="13062" width="13.7109375" style="53" bestFit="1" customWidth="1"/>
    <col min="13063" max="13063" width="15.7109375" style="53" bestFit="1" customWidth="1"/>
    <col min="13064" max="13064" width="13.140625" style="53" bestFit="1" customWidth="1"/>
    <col min="13065" max="13065" width="11.85546875" style="53" bestFit="1" customWidth="1"/>
    <col min="13066" max="13066" width="12.85546875" style="53" bestFit="1" customWidth="1"/>
    <col min="13067" max="13312" width="9.140625" style="53"/>
    <col min="13313" max="13313" width="9.28515625" style="53" customWidth="1"/>
    <col min="13314" max="13314" width="39.85546875" style="53" customWidth="1"/>
    <col min="13315" max="13315" width="18.28515625" style="53" customWidth="1"/>
    <col min="13316" max="13316" width="23.85546875" style="53" customWidth="1"/>
    <col min="13317" max="13317" width="16" style="53" bestFit="1" customWidth="1"/>
    <col min="13318" max="13318" width="13.7109375" style="53" bestFit="1" customWidth="1"/>
    <col min="13319" max="13319" width="15.7109375" style="53" bestFit="1" customWidth="1"/>
    <col min="13320" max="13320" width="13.140625" style="53" bestFit="1" customWidth="1"/>
    <col min="13321" max="13321" width="11.85546875" style="53" bestFit="1" customWidth="1"/>
    <col min="13322" max="13322" width="12.85546875" style="53" bestFit="1" customWidth="1"/>
    <col min="13323" max="13568" width="9.140625" style="53"/>
    <col min="13569" max="13569" width="9.28515625" style="53" customWidth="1"/>
    <col min="13570" max="13570" width="39.85546875" style="53" customWidth="1"/>
    <col min="13571" max="13571" width="18.28515625" style="53" customWidth="1"/>
    <col min="13572" max="13572" width="23.85546875" style="53" customWidth="1"/>
    <col min="13573" max="13573" width="16" style="53" bestFit="1" customWidth="1"/>
    <col min="13574" max="13574" width="13.7109375" style="53" bestFit="1" customWidth="1"/>
    <col min="13575" max="13575" width="15.7109375" style="53" bestFit="1" customWidth="1"/>
    <col min="13576" max="13576" width="13.140625" style="53" bestFit="1" customWidth="1"/>
    <col min="13577" max="13577" width="11.85546875" style="53" bestFit="1" customWidth="1"/>
    <col min="13578" max="13578" width="12.85546875" style="53" bestFit="1" customWidth="1"/>
    <col min="13579" max="13824" width="9.140625" style="53"/>
    <col min="13825" max="13825" width="9.28515625" style="53" customWidth="1"/>
    <col min="13826" max="13826" width="39.85546875" style="53" customWidth="1"/>
    <col min="13827" max="13827" width="18.28515625" style="53" customWidth="1"/>
    <col min="13828" max="13828" width="23.85546875" style="53" customWidth="1"/>
    <col min="13829" max="13829" width="16" style="53" bestFit="1" customWidth="1"/>
    <col min="13830" max="13830" width="13.7109375" style="53" bestFit="1" customWidth="1"/>
    <col min="13831" max="13831" width="15.7109375" style="53" bestFit="1" customWidth="1"/>
    <col min="13832" max="13832" width="13.140625" style="53" bestFit="1" customWidth="1"/>
    <col min="13833" max="13833" width="11.85546875" style="53" bestFit="1" customWidth="1"/>
    <col min="13834" max="13834" width="12.85546875" style="53" bestFit="1" customWidth="1"/>
    <col min="13835" max="14080" width="9.140625" style="53"/>
    <col min="14081" max="14081" width="9.28515625" style="53" customWidth="1"/>
    <col min="14082" max="14082" width="39.85546875" style="53" customWidth="1"/>
    <col min="14083" max="14083" width="18.28515625" style="53" customWidth="1"/>
    <col min="14084" max="14084" width="23.85546875" style="53" customWidth="1"/>
    <col min="14085" max="14085" width="16" style="53" bestFit="1" customWidth="1"/>
    <col min="14086" max="14086" width="13.7109375" style="53" bestFit="1" customWidth="1"/>
    <col min="14087" max="14087" width="15.7109375" style="53" bestFit="1" customWidth="1"/>
    <col min="14088" max="14088" width="13.140625" style="53" bestFit="1" customWidth="1"/>
    <col min="14089" max="14089" width="11.85546875" style="53" bestFit="1" customWidth="1"/>
    <col min="14090" max="14090" width="12.85546875" style="53" bestFit="1" customWidth="1"/>
    <col min="14091" max="14336" width="9.140625" style="53"/>
    <col min="14337" max="14337" width="9.28515625" style="53" customWidth="1"/>
    <col min="14338" max="14338" width="39.85546875" style="53" customWidth="1"/>
    <col min="14339" max="14339" width="18.28515625" style="53" customWidth="1"/>
    <col min="14340" max="14340" width="23.85546875" style="53" customWidth="1"/>
    <col min="14341" max="14341" width="16" style="53" bestFit="1" customWidth="1"/>
    <col min="14342" max="14342" width="13.7109375" style="53" bestFit="1" customWidth="1"/>
    <col min="14343" max="14343" width="15.7109375" style="53" bestFit="1" customWidth="1"/>
    <col min="14344" max="14344" width="13.140625" style="53" bestFit="1" customWidth="1"/>
    <col min="14345" max="14345" width="11.85546875" style="53" bestFit="1" customWidth="1"/>
    <col min="14346" max="14346" width="12.85546875" style="53" bestFit="1" customWidth="1"/>
    <col min="14347" max="14592" width="9.140625" style="53"/>
    <col min="14593" max="14593" width="9.28515625" style="53" customWidth="1"/>
    <col min="14594" max="14594" width="39.85546875" style="53" customWidth="1"/>
    <col min="14595" max="14595" width="18.28515625" style="53" customWidth="1"/>
    <col min="14596" max="14596" width="23.85546875" style="53" customWidth="1"/>
    <col min="14597" max="14597" width="16" style="53" bestFit="1" customWidth="1"/>
    <col min="14598" max="14598" width="13.7109375" style="53" bestFit="1" customWidth="1"/>
    <col min="14599" max="14599" width="15.7109375" style="53" bestFit="1" customWidth="1"/>
    <col min="14600" max="14600" width="13.140625" style="53" bestFit="1" customWidth="1"/>
    <col min="14601" max="14601" width="11.85546875" style="53" bestFit="1" customWidth="1"/>
    <col min="14602" max="14602" width="12.85546875" style="53" bestFit="1" customWidth="1"/>
    <col min="14603" max="14848" width="9.140625" style="53"/>
    <col min="14849" max="14849" width="9.28515625" style="53" customWidth="1"/>
    <col min="14850" max="14850" width="39.85546875" style="53" customWidth="1"/>
    <col min="14851" max="14851" width="18.28515625" style="53" customWidth="1"/>
    <col min="14852" max="14852" width="23.85546875" style="53" customWidth="1"/>
    <col min="14853" max="14853" width="16" style="53" bestFit="1" customWidth="1"/>
    <col min="14854" max="14854" width="13.7109375" style="53" bestFit="1" customWidth="1"/>
    <col min="14855" max="14855" width="15.7109375" style="53" bestFit="1" customWidth="1"/>
    <col min="14856" max="14856" width="13.140625" style="53" bestFit="1" customWidth="1"/>
    <col min="14857" max="14857" width="11.85546875" style="53" bestFit="1" customWidth="1"/>
    <col min="14858" max="14858" width="12.85546875" style="53" bestFit="1" customWidth="1"/>
    <col min="14859" max="15104" width="9.140625" style="53"/>
    <col min="15105" max="15105" width="9.28515625" style="53" customWidth="1"/>
    <col min="15106" max="15106" width="39.85546875" style="53" customWidth="1"/>
    <col min="15107" max="15107" width="18.28515625" style="53" customWidth="1"/>
    <col min="15108" max="15108" width="23.85546875" style="53" customWidth="1"/>
    <col min="15109" max="15109" width="16" style="53" bestFit="1" customWidth="1"/>
    <col min="15110" max="15110" width="13.7109375" style="53" bestFit="1" customWidth="1"/>
    <col min="15111" max="15111" width="15.7109375" style="53" bestFit="1" customWidth="1"/>
    <col min="15112" max="15112" width="13.140625" style="53" bestFit="1" customWidth="1"/>
    <col min="15113" max="15113" width="11.85546875" style="53" bestFit="1" customWidth="1"/>
    <col min="15114" max="15114" width="12.85546875" style="53" bestFit="1" customWidth="1"/>
    <col min="15115" max="15360" width="9.140625" style="53"/>
    <col min="15361" max="15361" width="9.28515625" style="53" customWidth="1"/>
    <col min="15362" max="15362" width="39.85546875" style="53" customWidth="1"/>
    <col min="15363" max="15363" width="18.28515625" style="53" customWidth="1"/>
    <col min="15364" max="15364" width="23.85546875" style="53" customWidth="1"/>
    <col min="15365" max="15365" width="16" style="53" bestFit="1" customWidth="1"/>
    <col min="15366" max="15366" width="13.7109375" style="53" bestFit="1" customWidth="1"/>
    <col min="15367" max="15367" width="15.7109375" style="53" bestFit="1" customWidth="1"/>
    <col min="15368" max="15368" width="13.140625" style="53" bestFit="1" customWidth="1"/>
    <col min="15369" max="15369" width="11.85546875" style="53" bestFit="1" customWidth="1"/>
    <col min="15370" max="15370" width="12.85546875" style="53" bestFit="1" customWidth="1"/>
    <col min="15371" max="15616" width="9.140625" style="53"/>
    <col min="15617" max="15617" width="9.28515625" style="53" customWidth="1"/>
    <col min="15618" max="15618" width="39.85546875" style="53" customWidth="1"/>
    <col min="15619" max="15619" width="18.28515625" style="53" customWidth="1"/>
    <col min="15620" max="15620" width="23.85546875" style="53" customWidth="1"/>
    <col min="15621" max="15621" width="16" style="53" bestFit="1" customWidth="1"/>
    <col min="15622" max="15622" width="13.7109375" style="53" bestFit="1" customWidth="1"/>
    <col min="15623" max="15623" width="15.7109375" style="53" bestFit="1" customWidth="1"/>
    <col min="15624" max="15624" width="13.140625" style="53" bestFit="1" customWidth="1"/>
    <col min="15625" max="15625" width="11.85546875" style="53" bestFit="1" customWidth="1"/>
    <col min="15626" max="15626" width="12.85546875" style="53" bestFit="1" customWidth="1"/>
    <col min="15627" max="15872" width="9.140625" style="53"/>
    <col min="15873" max="15873" width="9.28515625" style="53" customWidth="1"/>
    <col min="15874" max="15874" width="39.85546875" style="53" customWidth="1"/>
    <col min="15875" max="15875" width="18.28515625" style="53" customWidth="1"/>
    <col min="15876" max="15876" width="23.85546875" style="53" customWidth="1"/>
    <col min="15877" max="15877" width="16" style="53" bestFit="1" customWidth="1"/>
    <col min="15878" max="15878" width="13.7109375" style="53" bestFit="1" customWidth="1"/>
    <col min="15879" max="15879" width="15.7109375" style="53" bestFit="1" customWidth="1"/>
    <col min="15880" max="15880" width="13.140625" style="53" bestFit="1" customWidth="1"/>
    <col min="15881" max="15881" width="11.85546875" style="53" bestFit="1" customWidth="1"/>
    <col min="15882" max="15882" width="12.85546875" style="53" bestFit="1" customWidth="1"/>
    <col min="15883" max="16128" width="9.140625" style="53"/>
    <col min="16129" max="16129" width="9.28515625" style="53" customWidth="1"/>
    <col min="16130" max="16130" width="39.85546875" style="53" customWidth="1"/>
    <col min="16131" max="16131" width="18.28515625" style="53" customWidth="1"/>
    <col min="16132" max="16132" width="23.85546875" style="53" customWidth="1"/>
    <col min="16133" max="16133" width="16" style="53" bestFit="1" customWidth="1"/>
    <col min="16134" max="16134" width="13.7109375" style="53" bestFit="1" customWidth="1"/>
    <col min="16135" max="16135" width="15.7109375" style="53" bestFit="1" customWidth="1"/>
    <col min="16136" max="16136" width="13.140625" style="53" bestFit="1" customWidth="1"/>
    <col min="16137" max="16137" width="11.85546875" style="53" bestFit="1" customWidth="1"/>
    <col min="16138" max="16138" width="12.85546875" style="53" bestFit="1" customWidth="1"/>
    <col min="16139" max="16384" width="9.140625" style="53"/>
  </cols>
  <sheetData>
    <row r="3" spans="1:7" ht="15.75" customHeight="1">
      <c r="A3" s="543" t="s">
        <v>255</v>
      </c>
      <c r="B3" s="543"/>
      <c r="C3" s="543"/>
      <c r="D3" s="543"/>
      <c r="E3" s="52"/>
      <c r="F3" s="52"/>
      <c r="G3" s="52"/>
    </row>
    <row r="4" spans="1:7">
      <c r="A4" s="543"/>
      <c r="B4" s="543"/>
      <c r="C4" s="543"/>
      <c r="D4" s="543"/>
      <c r="E4" s="52"/>
      <c r="F4" s="52"/>
      <c r="G4" s="52"/>
    </row>
    <row r="5" spans="1:7">
      <c r="A5" s="54"/>
      <c r="B5" s="52"/>
      <c r="C5" s="52"/>
      <c r="D5" s="52"/>
      <c r="E5" s="52"/>
      <c r="F5" s="52"/>
      <c r="G5" s="52"/>
    </row>
    <row r="6" spans="1:7" ht="15.75" customHeight="1">
      <c r="A6" s="544" t="s">
        <v>550</v>
      </c>
      <c r="B6" s="544"/>
      <c r="C6" s="544"/>
      <c r="D6" s="544"/>
      <c r="E6" s="52"/>
      <c r="F6" s="52"/>
      <c r="G6" s="52"/>
    </row>
    <row r="7" spans="1:7">
      <c r="A7" s="522"/>
      <c r="B7" s="522"/>
      <c r="C7" s="522"/>
      <c r="D7" s="522"/>
    </row>
    <row r="8" spans="1:7">
      <c r="A8" s="237" t="s">
        <v>551</v>
      </c>
      <c r="B8" s="238"/>
      <c r="C8" s="187"/>
      <c r="D8" s="187"/>
    </row>
    <row r="9" spans="1:7">
      <c r="A9" s="522"/>
      <c r="B9" s="522"/>
      <c r="C9" s="522"/>
      <c r="D9" s="522"/>
    </row>
    <row r="10" spans="1:7">
      <c r="A10" s="57" t="s">
        <v>256</v>
      </c>
      <c r="B10" s="188"/>
      <c r="C10" s="187"/>
      <c r="D10" s="187"/>
    </row>
    <row r="11" spans="1:7">
      <c r="A11" s="59" t="s">
        <v>257</v>
      </c>
      <c r="B11" s="541" t="s">
        <v>258</v>
      </c>
      <c r="C11" s="542"/>
      <c r="D11" s="239">
        <v>42550</v>
      </c>
    </row>
    <row r="12" spans="1:7">
      <c r="A12" s="59" t="s">
        <v>259</v>
      </c>
      <c r="B12" s="62" t="s">
        <v>260</v>
      </c>
      <c r="C12" s="63"/>
      <c r="D12" s="240" t="s">
        <v>374</v>
      </c>
    </row>
    <row r="13" spans="1:7">
      <c r="A13" s="59" t="s">
        <v>261</v>
      </c>
      <c r="B13" s="541" t="s">
        <v>262</v>
      </c>
      <c r="C13" s="542"/>
      <c r="D13" s="240">
        <v>2016</v>
      </c>
    </row>
    <row r="14" spans="1:7">
      <c r="A14" s="64" t="s">
        <v>263</v>
      </c>
      <c r="B14" s="65" t="s">
        <v>555</v>
      </c>
      <c r="C14" s="66"/>
      <c r="D14" s="239">
        <v>42625</v>
      </c>
    </row>
    <row r="16" spans="1:7">
      <c r="A16" s="190"/>
    </row>
    <row r="17" spans="1:7">
      <c r="A17" s="523"/>
      <c r="B17" s="523"/>
      <c r="C17" s="523"/>
      <c r="D17" s="523"/>
      <c r="E17" s="523"/>
      <c r="F17" s="523"/>
      <c r="G17" s="523"/>
    </row>
    <row r="18" spans="1:7" ht="35.25" customHeight="1">
      <c r="A18" s="545" t="s">
        <v>264</v>
      </c>
      <c r="B18" s="545"/>
      <c r="C18" s="67" t="s">
        <v>265</v>
      </c>
      <c r="D18" s="67" t="s">
        <v>266</v>
      </c>
    </row>
    <row r="19" spans="1:7">
      <c r="A19" s="241">
        <v>1</v>
      </c>
      <c r="B19" s="242" t="s">
        <v>1</v>
      </c>
      <c r="C19" s="241" t="s">
        <v>267</v>
      </c>
      <c r="D19" s="243">
        <v>11</v>
      </c>
    </row>
    <row r="20" spans="1:7">
      <c r="A20" s="68"/>
      <c r="B20" s="69"/>
      <c r="C20" s="68"/>
      <c r="D20" s="70"/>
    </row>
    <row r="21" spans="1:7">
      <c r="A21" s="522" t="s">
        <v>268</v>
      </c>
      <c r="B21" s="522"/>
      <c r="C21" s="522"/>
      <c r="D21" s="522"/>
      <c r="E21" s="522"/>
      <c r="F21" s="522"/>
      <c r="G21" s="522"/>
    </row>
    <row r="22" spans="1:7">
      <c r="A22" s="71"/>
    </row>
    <row r="23" spans="1:7">
      <c r="A23" s="57" t="s">
        <v>269</v>
      </c>
    </row>
    <row r="24" spans="1:7">
      <c r="A24" s="57" t="s">
        <v>270</v>
      </c>
    </row>
    <row r="25" spans="1:7">
      <c r="A25" s="72" t="s">
        <v>271</v>
      </c>
      <c r="B25" s="60"/>
      <c r="C25" s="60"/>
      <c r="D25" s="61"/>
    </row>
    <row r="26" spans="1:7">
      <c r="A26" s="73">
        <v>1</v>
      </c>
      <c r="B26" s="74" t="s">
        <v>272</v>
      </c>
      <c r="C26" s="74"/>
      <c r="D26" s="244" t="str">
        <f>B19</f>
        <v>Recepcionista</v>
      </c>
    </row>
    <row r="27" spans="1:7" ht="30.75" customHeight="1">
      <c r="A27" s="73">
        <v>2</v>
      </c>
      <c r="B27" s="539" t="s">
        <v>273</v>
      </c>
      <c r="C27" s="540"/>
      <c r="D27" s="175">
        <v>1249</v>
      </c>
    </row>
    <row r="28" spans="1:7" ht="31.5" customHeight="1">
      <c r="A28" s="73">
        <v>3</v>
      </c>
      <c r="B28" s="539" t="s">
        <v>274</v>
      </c>
      <c r="C28" s="540"/>
      <c r="D28" s="176" t="s">
        <v>375</v>
      </c>
    </row>
    <row r="29" spans="1:7">
      <c r="A29" s="75">
        <v>4</v>
      </c>
      <c r="B29" s="76" t="s">
        <v>275</v>
      </c>
      <c r="C29" s="76"/>
      <c r="D29" s="77">
        <v>42401</v>
      </c>
    </row>
    <row r="30" spans="1:7">
      <c r="A30" s="71"/>
    </row>
    <row r="31" spans="1:7">
      <c r="A31" s="71"/>
    </row>
    <row r="32" spans="1:7">
      <c r="A32" s="71"/>
    </row>
    <row r="33" spans="1:7" ht="16.5" customHeight="1" thickBot="1">
      <c r="A33" s="523" t="s">
        <v>276</v>
      </c>
      <c r="B33" s="523"/>
      <c r="C33" s="523"/>
      <c r="D33" s="523"/>
      <c r="E33" s="523"/>
      <c r="F33" s="52"/>
      <c r="G33" s="52"/>
    </row>
    <row r="34" spans="1:7" ht="16.5" thickBot="1">
      <c r="A34" s="78" t="s">
        <v>277</v>
      </c>
      <c r="B34" s="79" t="s">
        <v>278</v>
      </c>
      <c r="C34" s="80"/>
      <c r="D34" s="81" t="s">
        <v>279</v>
      </c>
    </row>
    <row r="35" spans="1:7">
      <c r="A35" s="82" t="s">
        <v>257</v>
      </c>
      <c r="B35" s="83" t="s">
        <v>280</v>
      </c>
      <c r="C35" s="84"/>
      <c r="D35" s="85">
        <f>ROUND(((D27/220)*(365.25/12)*(40/6)),2)</f>
        <v>1152.01</v>
      </c>
    </row>
    <row r="36" spans="1:7">
      <c r="A36" s="191" t="s">
        <v>259</v>
      </c>
      <c r="B36" s="87" t="s">
        <v>281</v>
      </c>
      <c r="C36" s="88"/>
      <c r="D36" s="89">
        <v>0</v>
      </c>
    </row>
    <row r="37" spans="1:7">
      <c r="A37" s="191" t="s">
        <v>261</v>
      </c>
      <c r="B37" s="87" t="s">
        <v>282</v>
      </c>
      <c r="C37" s="90"/>
      <c r="D37" s="89">
        <v>0</v>
      </c>
    </row>
    <row r="38" spans="1:7">
      <c r="A38" s="191" t="s">
        <v>263</v>
      </c>
      <c r="B38" s="91" t="s">
        <v>552</v>
      </c>
      <c r="C38" s="88"/>
      <c r="D38" s="89">
        <v>21.68</v>
      </c>
    </row>
    <row r="39" spans="1:7">
      <c r="A39" s="191" t="s">
        <v>284</v>
      </c>
      <c r="B39" s="91" t="s">
        <v>285</v>
      </c>
      <c r="C39" s="92"/>
      <c r="D39" s="89">
        <v>0</v>
      </c>
    </row>
    <row r="40" spans="1:7">
      <c r="A40" s="191" t="s">
        <v>286</v>
      </c>
      <c r="B40" s="93" t="s">
        <v>287</v>
      </c>
      <c r="C40" s="92"/>
      <c r="D40" s="89">
        <v>0</v>
      </c>
    </row>
    <row r="41" spans="1:7">
      <c r="A41" s="191" t="s">
        <v>288</v>
      </c>
      <c r="B41" s="93" t="s">
        <v>289</v>
      </c>
      <c r="C41" s="92"/>
      <c r="D41" s="89">
        <v>0</v>
      </c>
    </row>
    <row r="42" spans="1:7" ht="16.5" thickBot="1">
      <c r="A42" s="191" t="s">
        <v>290</v>
      </c>
      <c r="B42" s="94" t="s">
        <v>376</v>
      </c>
      <c r="C42" s="95"/>
      <c r="D42" s="89">
        <v>0</v>
      </c>
    </row>
    <row r="43" spans="1:7" ht="16.5" thickBot="1">
      <c r="A43" s="96"/>
      <c r="B43" s="97" t="s">
        <v>292</v>
      </c>
      <c r="C43" s="98"/>
      <c r="D43" s="99">
        <f>SUM(D35:D42)</f>
        <v>1173.69</v>
      </c>
    </row>
    <row r="44" spans="1:7">
      <c r="A44" s="190"/>
    </row>
    <row r="45" spans="1:7" ht="16.5" thickBot="1">
      <c r="A45" s="523" t="s">
        <v>293</v>
      </c>
      <c r="B45" s="523"/>
      <c r="C45" s="523"/>
      <c r="D45" s="523"/>
      <c r="E45" s="523"/>
      <c r="F45" s="523"/>
      <c r="G45" s="523"/>
    </row>
    <row r="46" spans="1:7" ht="16.5" thickBot="1">
      <c r="A46" s="100">
        <v>2</v>
      </c>
      <c r="B46" s="189" t="s">
        <v>294</v>
      </c>
      <c r="C46" s="102"/>
      <c r="D46" s="100" t="s">
        <v>279</v>
      </c>
    </row>
    <row r="47" spans="1:7">
      <c r="A47" s="82" t="s">
        <v>257</v>
      </c>
      <c r="B47" s="83" t="s">
        <v>295</v>
      </c>
      <c r="C47" s="103"/>
      <c r="D47" s="104">
        <f>(3.7*44)-(D35*6%)</f>
        <v>93.679400000000015</v>
      </c>
    </row>
    <row r="48" spans="1:7" ht="31.5">
      <c r="A48" s="105" t="s">
        <v>259</v>
      </c>
      <c r="B48" s="106" t="s">
        <v>296</v>
      </c>
      <c r="C48" s="90"/>
      <c r="D48" s="107">
        <f>330*(1-20%)</f>
        <v>264</v>
      </c>
    </row>
    <row r="49" spans="1:7">
      <c r="A49" s="191" t="s">
        <v>261</v>
      </c>
      <c r="B49" s="87" t="s">
        <v>389</v>
      </c>
      <c r="C49" s="90"/>
      <c r="D49" s="107">
        <v>50</v>
      </c>
    </row>
    <row r="50" spans="1:7">
      <c r="A50" s="191" t="s">
        <v>263</v>
      </c>
      <c r="B50" s="87" t="s">
        <v>297</v>
      </c>
      <c r="C50" s="88"/>
      <c r="D50" s="107">
        <v>0</v>
      </c>
    </row>
    <row r="51" spans="1:7">
      <c r="A51" s="191" t="s">
        <v>284</v>
      </c>
      <c r="B51" s="87" t="s">
        <v>390</v>
      </c>
      <c r="C51" s="92"/>
      <c r="D51" s="108">
        <v>16</v>
      </c>
    </row>
    <row r="52" spans="1:7" ht="16.5" customHeight="1">
      <c r="A52" s="191" t="s">
        <v>286</v>
      </c>
      <c r="B52" s="535" t="s">
        <v>377</v>
      </c>
      <c r="C52" s="536"/>
      <c r="D52" s="108">
        <v>16</v>
      </c>
    </row>
    <row r="53" spans="1:7" ht="16.5" thickBot="1">
      <c r="A53" s="109" t="s">
        <v>288</v>
      </c>
      <c r="B53" s="537" t="s">
        <v>291</v>
      </c>
      <c r="C53" s="538"/>
      <c r="D53" s="110">
        <v>0</v>
      </c>
    </row>
    <row r="54" spans="1:7" ht="16.5" thickBot="1">
      <c r="A54" s="111"/>
      <c r="B54" s="189" t="s">
        <v>298</v>
      </c>
      <c r="C54" s="112"/>
      <c r="D54" s="113">
        <f>SUM(D47:D53)</f>
        <v>439.67939999999999</v>
      </c>
    </row>
    <row r="55" spans="1:7" ht="33" customHeight="1">
      <c r="A55" s="522" t="s">
        <v>299</v>
      </c>
      <c r="B55" s="522"/>
      <c r="C55" s="522"/>
      <c r="D55" s="522"/>
    </row>
    <row r="56" spans="1:7">
      <c r="A56" s="190"/>
    </row>
    <row r="57" spans="1:7" ht="16.5" thickBot="1">
      <c r="A57" s="523" t="s">
        <v>300</v>
      </c>
      <c r="B57" s="523"/>
      <c r="C57" s="523"/>
      <c r="D57" s="523"/>
      <c r="E57" s="523"/>
      <c r="F57" s="523"/>
      <c r="G57" s="523"/>
    </row>
    <row r="58" spans="1:7" ht="16.5" thickBot="1">
      <c r="A58" s="114">
        <v>3</v>
      </c>
      <c r="B58" s="189" t="s">
        <v>301</v>
      </c>
      <c r="C58" s="102"/>
      <c r="D58" s="100" t="s">
        <v>279</v>
      </c>
    </row>
    <row r="59" spans="1:7">
      <c r="A59" s="82" t="s">
        <v>257</v>
      </c>
      <c r="B59" s="83" t="s">
        <v>302</v>
      </c>
      <c r="C59" s="115"/>
      <c r="D59" s="116">
        <f>'ANEXO IV'!D19</f>
        <v>41.166666666666664</v>
      </c>
    </row>
    <row r="60" spans="1:7">
      <c r="A60" s="105" t="s">
        <v>259</v>
      </c>
      <c r="B60" s="106" t="s">
        <v>15</v>
      </c>
      <c r="C60" s="90"/>
      <c r="D60" s="107">
        <v>0</v>
      </c>
    </row>
    <row r="61" spans="1:7">
      <c r="A61" s="191" t="s">
        <v>261</v>
      </c>
      <c r="B61" s="87" t="s">
        <v>21</v>
      </c>
      <c r="C61" s="90"/>
      <c r="D61" s="107">
        <v>0</v>
      </c>
    </row>
    <row r="62" spans="1:7">
      <c r="A62" s="191" t="s">
        <v>263</v>
      </c>
      <c r="B62" s="535" t="s">
        <v>18</v>
      </c>
      <c r="C62" s="536"/>
      <c r="D62" s="108">
        <v>0</v>
      </c>
    </row>
    <row r="63" spans="1:7" ht="16.5" thickBot="1">
      <c r="A63" s="109" t="s">
        <v>284</v>
      </c>
      <c r="B63" s="537" t="s">
        <v>291</v>
      </c>
      <c r="C63" s="538"/>
      <c r="D63" s="110">
        <v>0</v>
      </c>
    </row>
    <row r="64" spans="1:7" ht="16.5" thickBot="1">
      <c r="A64" s="111"/>
      <c r="B64" s="189" t="s">
        <v>303</v>
      </c>
      <c r="C64" s="112"/>
      <c r="D64" s="113">
        <f>SUM(D59:D63)</f>
        <v>41.166666666666664</v>
      </c>
    </row>
    <row r="65" spans="1:7">
      <c r="A65" s="522" t="s">
        <v>304</v>
      </c>
      <c r="B65" s="522"/>
      <c r="C65" s="522"/>
      <c r="D65" s="522"/>
      <c r="E65" s="522"/>
      <c r="F65" s="522"/>
      <c r="G65" s="522"/>
    </row>
    <row r="66" spans="1:7">
      <c r="A66" s="190"/>
    </row>
    <row r="67" spans="1:7">
      <c r="A67" s="523" t="s">
        <v>305</v>
      </c>
      <c r="B67" s="523"/>
      <c r="C67" s="523"/>
      <c r="D67" s="523"/>
      <c r="E67" s="523"/>
      <c r="F67" s="523"/>
      <c r="G67" s="523"/>
    </row>
    <row r="68" spans="1:7" ht="16.5" thickBot="1">
      <c r="A68" s="523" t="s">
        <v>306</v>
      </c>
      <c r="B68" s="523"/>
      <c r="C68" s="523"/>
      <c r="D68" s="523"/>
      <c r="E68" s="523"/>
      <c r="F68" s="523"/>
      <c r="G68" s="523"/>
    </row>
    <row r="69" spans="1:7" ht="16.5" thickBot="1">
      <c r="A69" s="117" t="s">
        <v>307</v>
      </c>
      <c r="B69" s="118" t="s">
        <v>308</v>
      </c>
      <c r="C69" s="117" t="s">
        <v>4</v>
      </c>
      <c r="D69" s="117" t="s">
        <v>279</v>
      </c>
    </row>
    <row r="70" spans="1:7">
      <c r="A70" s="82" t="s">
        <v>257</v>
      </c>
      <c r="B70" s="119" t="s">
        <v>8</v>
      </c>
      <c r="C70" s="120">
        <v>0.2</v>
      </c>
      <c r="D70" s="104">
        <f t="shared" ref="D70:D77" si="0">ROUND($D$43*C70,2)</f>
        <v>234.74</v>
      </c>
    </row>
    <row r="71" spans="1:7">
      <c r="A71" s="105" t="s">
        <v>259</v>
      </c>
      <c r="B71" s="121" t="s">
        <v>309</v>
      </c>
      <c r="C71" s="122">
        <v>1.4999999999999999E-2</v>
      </c>
      <c r="D71" s="107">
        <f t="shared" si="0"/>
        <v>17.61</v>
      </c>
    </row>
    <row r="72" spans="1:7">
      <c r="A72" s="191" t="s">
        <v>261</v>
      </c>
      <c r="B72" s="123" t="s">
        <v>310</v>
      </c>
      <c r="C72" s="122">
        <v>0.01</v>
      </c>
      <c r="D72" s="107">
        <f t="shared" si="0"/>
        <v>11.74</v>
      </c>
    </row>
    <row r="73" spans="1:7">
      <c r="A73" s="105" t="s">
        <v>263</v>
      </c>
      <c r="B73" s="121" t="s">
        <v>9</v>
      </c>
      <c r="C73" s="122">
        <v>2E-3</v>
      </c>
      <c r="D73" s="107">
        <f t="shared" si="0"/>
        <v>2.35</v>
      </c>
    </row>
    <row r="74" spans="1:7">
      <c r="A74" s="191" t="s">
        <v>284</v>
      </c>
      <c r="B74" s="123" t="s">
        <v>10</v>
      </c>
      <c r="C74" s="122">
        <v>2.5000000000000001E-2</v>
      </c>
      <c r="D74" s="107">
        <f t="shared" si="0"/>
        <v>29.34</v>
      </c>
    </row>
    <row r="75" spans="1:7">
      <c r="A75" s="105" t="s">
        <v>286</v>
      </c>
      <c r="B75" s="121" t="s">
        <v>11</v>
      </c>
      <c r="C75" s="122">
        <v>0.08</v>
      </c>
      <c r="D75" s="107">
        <f t="shared" si="0"/>
        <v>93.9</v>
      </c>
    </row>
    <row r="76" spans="1:7" ht="31.5">
      <c r="A76" s="191" t="s">
        <v>288</v>
      </c>
      <c r="B76" s="123" t="s">
        <v>378</v>
      </c>
      <c r="C76" s="141">
        <v>3.0499999999999999E-2</v>
      </c>
      <c r="D76" s="245">
        <f t="shared" si="0"/>
        <v>35.799999999999997</v>
      </c>
    </row>
    <row r="77" spans="1:7" ht="16.5" thickBot="1">
      <c r="A77" s="124" t="s">
        <v>290</v>
      </c>
      <c r="B77" s="125" t="s">
        <v>12</v>
      </c>
      <c r="C77" s="126">
        <v>6.0000000000000001E-3</v>
      </c>
      <c r="D77" s="110">
        <f t="shared" si="0"/>
        <v>7.04</v>
      </c>
    </row>
    <row r="78" spans="1:7" ht="16.5" thickBot="1">
      <c r="A78" s="530" t="s">
        <v>7</v>
      </c>
      <c r="B78" s="531"/>
      <c r="C78" s="127">
        <f>SUM(C70:C77)</f>
        <v>0.36850000000000005</v>
      </c>
      <c r="D78" s="113">
        <f>SUM(D70:D77)</f>
        <v>432.5200000000001</v>
      </c>
    </row>
    <row r="79" spans="1:7">
      <c r="A79" s="534" t="s">
        <v>311</v>
      </c>
      <c r="B79" s="534"/>
      <c r="C79" s="534"/>
      <c r="D79" s="534"/>
    </row>
    <row r="80" spans="1:7" ht="16.5" customHeight="1">
      <c r="A80" s="534" t="s">
        <v>312</v>
      </c>
      <c r="B80" s="534"/>
      <c r="C80" s="534"/>
      <c r="D80" s="534"/>
    </row>
    <row r="81" spans="1:7">
      <c r="A81" s="190"/>
    </row>
    <row r="82" spans="1:7" ht="16.5" thickBot="1">
      <c r="A82" s="523" t="s">
        <v>313</v>
      </c>
      <c r="B82" s="523"/>
      <c r="C82" s="523"/>
      <c r="D82" s="523"/>
      <c r="E82" s="523"/>
      <c r="F82" s="523"/>
      <c r="G82" s="523"/>
    </row>
    <row r="83" spans="1:7" ht="16.5" thickBot="1">
      <c r="A83" s="117" t="s">
        <v>314</v>
      </c>
      <c r="B83" s="118" t="s">
        <v>315</v>
      </c>
      <c r="C83" s="117" t="s">
        <v>4</v>
      </c>
      <c r="D83" s="117" t="s">
        <v>279</v>
      </c>
    </row>
    <row r="84" spans="1:7">
      <c r="A84" s="82" t="s">
        <v>257</v>
      </c>
      <c r="B84" s="119" t="s">
        <v>316</v>
      </c>
      <c r="C84" s="120">
        <f>((5/56)*100)/100</f>
        <v>8.9285714285714288E-2</v>
      </c>
      <c r="D84" s="104">
        <f>ROUND($D$43*C84,2)</f>
        <v>104.79</v>
      </c>
    </row>
    <row r="85" spans="1:7">
      <c r="A85" s="105" t="s">
        <v>259</v>
      </c>
      <c r="B85" s="121" t="s">
        <v>317</v>
      </c>
      <c r="C85" s="128">
        <f>(1/3)*(5/56)</f>
        <v>2.976190476190476E-2</v>
      </c>
      <c r="D85" s="129">
        <f>ROUND($D$43*C85,2)</f>
        <v>34.93</v>
      </c>
    </row>
    <row r="86" spans="1:7">
      <c r="A86" s="130" t="s">
        <v>318</v>
      </c>
      <c r="B86" s="121"/>
      <c r="C86" s="131">
        <f>SUM(C84:C85)</f>
        <v>0.11904761904761904</v>
      </c>
      <c r="D86" s="132">
        <f>SUM(D84:D85)</f>
        <v>139.72</v>
      </c>
    </row>
    <row r="87" spans="1:7" ht="32.25" thickBot="1">
      <c r="A87" s="105" t="s">
        <v>261</v>
      </c>
      <c r="B87" s="121" t="s">
        <v>319</v>
      </c>
      <c r="C87" s="122">
        <f>D87/D43</f>
        <v>4.3870187187417461E-2</v>
      </c>
      <c r="D87" s="107">
        <f>ROUND(D78*C86,2)</f>
        <v>51.49</v>
      </c>
    </row>
    <row r="88" spans="1:7" ht="16.5" thickBot="1">
      <c r="A88" s="530" t="s">
        <v>7</v>
      </c>
      <c r="B88" s="531"/>
      <c r="C88" s="127">
        <f>C87+C86</f>
        <v>0.16291780623503649</v>
      </c>
      <c r="D88" s="113">
        <f>D86+D87</f>
        <v>191.21</v>
      </c>
    </row>
    <row r="89" spans="1:7">
      <c r="A89" s="190"/>
    </row>
    <row r="90" spans="1:7" ht="16.5" thickBot="1">
      <c r="A90" s="523" t="s">
        <v>320</v>
      </c>
      <c r="B90" s="523"/>
      <c r="C90" s="523"/>
      <c r="D90" s="523"/>
      <c r="E90" s="523"/>
      <c r="F90" s="523"/>
      <c r="G90" s="523"/>
    </row>
    <row r="91" spans="1:7" ht="16.5" thickBot="1">
      <c r="A91" s="117" t="s">
        <v>321</v>
      </c>
      <c r="B91" s="118" t="s">
        <v>322</v>
      </c>
      <c r="C91" s="117" t="s">
        <v>4</v>
      </c>
      <c r="D91" s="117" t="s">
        <v>279</v>
      </c>
    </row>
    <row r="92" spans="1:7">
      <c r="A92" s="82" t="s">
        <v>257</v>
      </c>
      <c r="B92" s="133" t="s">
        <v>323</v>
      </c>
      <c r="C92" s="120">
        <f>0.1111*0.02*0.3333</f>
        <v>7.4059259999999997E-4</v>
      </c>
      <c r="D92" s="104">
        <f>ROUND($D$43*C92,2)</f>
        <v>0.87</v>
      </c>
    </row>
    <row r="93" spans="1:7" ht="32.25" thickBot="1">
      <c r="A93" s="109" t="s">
        <v>259</v>
      </c>
      <c r="B93" s="134" t="s">
        <v>324</v>
      </c>
      <c r="C93" s="126">
        <f>D93/D43</f>
        <v>2.7264439502764785E-4</v>
      </c>
      <c r="D93" s="110">
        <f>ROUND(D78*C92,2)</f>
        <v>0.32</v>
      </c>
    </row>
    <row r="94" spans="1:7" ht="16.5" thickBot="1">
      <c r="A94" s="530" t="s">
        <v>7</v>
      </c>
      <c r="B94" s="531"/>
      <c r="C94" s="127">
        <f>SUM(C92:C93)</f>
        <v>1.0132369950276478E-3</v>
      </c>
      <c r="D94" s="113">
        <f>SUM(D92:D93)</f>
        <v>1.19</v>
      </c>
    </row>
    <row r="95" spans="1:7">
      <c r="A95" s="190"/>
    </row>
    <row r="96" spans="1:7">
      <c r="A96" s="190"/>
    </row>
    <row r="97" spans="1:7" ht="16.5" thickBot="1">
      <c r="A97" s="523" t="s">
        <v>325</v>
      </c>
      <c r="B97" s="523"/>
      <c r="C97" s="523"/>
      <c r="D97" s="523"/>
      <c r="E97" s="523"/>
      <c r="F97" s="523"/>
      <c r="G97" s="523"/>
    </row>
    <row r="98" spans="1:7" ht="16.5" thickBot="1">
      <c r="A98" s="117" t="s">
        <v>326</v>
      </c>
      <c r="B98" s="118" t="s">
        <v>327</v>
      </c>
      <c r="C98" s="117" t="s">
        <v>4</v>
      </c>
      <c r="D98" s="117" t="s">
        <v>279</v>
      </c>
    </row>
    <row r="99" spans="1:7">
      <c r="A99" s="82" t="s">
        <v>257</v>
      </c>
      <c r="B99" s="133" t="s">
        <v>328</v>
      </c>
      <c r="C99" s="135">
        <f>((1/12)*0.05)</f>
        <v>4.1666666666666666E-3</v>
      </c>
      <c r="D99" s="104">
        <f>ROUND($D$43*C99,2)</f>
        <v>4.8899999999999997</v>
      </c>
    </row>
    <row r="100" spans="1:7" ht="31.5">
      <c r="A100" s="191" t="s">
        <v>259</v>
      </c>
      <c r="B100" s="91" t="s">
        <v>329</v>
      </c>
      <c r="C100" s="136">
        <f>D100/D43</f>
        <v>3.3228535643994579E-4</v>
      </c>
      <c r="D100" s="137">
        <f>ROUND(D75*C99,2)</f>
        <v>0.39</v>
      </c>
    </row>
    <row r="101" spans="1:7">
      <c r="A101" s="191" t="s">
        <v>261</v>
      </c>
      <c r="B101" s="138" t="s">
        <v>330</v>
      </c>
      <c r="C101" s="139">
        <f>0.08*0.5*0.9*(1+(5/56)+(5/56)+(1/3)*(5/56))</f>
        <v>4.3499999999999997E-2</v>
      </c>
      <c r="D101" s="107">
        <f>ROUND($D$43*C101,2)</f>
        <v>51.06</v>
      </c>
    </row>
    <row r="102" spans="1:7">
      <c r="A102" s="191" t="s">
        <v>263</v>
      </c>
      <c r="B102" s="138" t="s">
        <v>331</v>
      </c>
      <c r="C102" s="140">
        <f>(((7/30)/12))</f>
        <v>1.9444444444444445E-2</v>
      </c>
      <c r="D102" s="107">
        <f>ROUND($D$43*C102,2)</f>
        <v>22.82</v>
      </c>
    </row>
    <row r="103" spans="1:7" ht="31.5">
      <c r="A103" s="191" t="s">
        <v>284</v>
      </c>
      <c r="B103" s="138" t="s">
        <v>332</v>
      </c>
      <c r="C103" s="141">
        <f>D103/D43</f>
        <v>7.1654355068203699E-3</v>
      </c>
      <c r="D103" s="107">
        <f>ROUND(D78*C102,2)</f>
        <v>8.41</v>
      </c>
    </row>
    <row r="104" spans="1:7" ht="16.5" thickBot="1">
      <c r="A104" s="109" t="s">
        <v>286</v>
      </c>
      <c r="B104" s="134" t="s">
        <v>333</v>
      </c>
      <c r="C104" s="142">
        <f>(40%+10%)*C75*C102</f>
        <v>7.7777777777777784E-4</v>
      </c>
      <c r="D104" s="107">
        <f>ROUND($D$43*C104,2)</f>
        <v>0.91</v>
      </c>
    </row>
    <row r="105" spans="1:7" ht="16.5" thickBot="1">
      <c r="A105" s="525" t="s">
        <v>7</v>
      </c>
      <c r="B105" s="526"/>
      <c r="C105" s="127">
        <f>SUM(C99:C104)</f>
        <v>7.5386609752149211E-2</v>
      </c>
      <c r="D105" s="143">
        <f>SUM(D99:D104)</f>
        <v>88.47999999999999</v>
      </c>
    </row>
    <row r="106" spans="1:7">
      <c r="A106" s="71"/>
    </row>
    <row r="107" spans="1:7" ht="16.5" thickBot="1">
      <c r="A107" s="523" t="s">
        <v>334</v>
      </c>
      <c r="B107" s="523"/>
      <c r="C107" s="523"/>
      <c r="D107" s="523"/>
      <c r="E107" s="523"/>
      <c r="F107" s="523"/>
      <c r="G107" s="523"/>
    </row>
    <row r="108" spans="1:7" ht="32.25" thickBot="1">
      <c r="A108" s="117" t="s">
        <v>335</v>
      </c>
      <c r="B108" s="118" t="s">
        <v>336</v>
      </c>
      <c r="C108" s="117" t="s">
        <v>4</v>
      </c>
      <c r="D108" s="117" t="s">
        <v>279</v>
      </c>
    </row>
    <row r="109" spans="1:7">
      <c r="A109" s="82" t="s">
        <v>257</v>
      </c>
      <c r="B109" s="133" t="s">
        <v>13</v>
      </c>
      <c r="C109" s="144">
        <f>(5/56)</f>
        <v>8.9285714285714288E-2</v>
      </c>
      <c r="D109" s="107">
        <f t="shared" ref="D109:D114" si="1">ROUND($D$43*C109,2)</f>
        <v>104.79</v>
      </c>
    </row>
    <row r="110" spans="1:7">
      <c r="A110" s="191" t="s">
        <v>259</v>
      </c>
      <c r="B110" s="138" t="s">
        <v>379</v>
      </c>
      <c r="C110" s="122">
        <f>(10.96/30)/12</f>
        <v>3.0444444444444444E-2</v>
      </c>
      <c r="D110" s="107">
        <f t="shared" si="1"/>
        <v>35.729999999999997</v>
      </c>
      <c r="E110" s="184"/>
    </row>
    <row r="111" spans="1:7">
      <c r="A111" s="191" t="s">
        <v>261</v>
      </c>
      <c r="B111" s="138" t="s">
        <v>337</v>
      </c>
      <c r="C111" s="122">
        <f>((5/30)/12)*0.015</f>
        <v>2.0833333333333332E-4</v>
      </c>
      <c r="D111" s="107">
        <f t="shared" si="1"/>
        <v>0.24</v>
      </c>
    </row>
    <row r="112" spans="1:7">
      <c r="A112" s="191" t="s">
        <v>263</v>
      </c>
      <c r="B112" s="138" t="s">
        <v>338</v>
      </c>
      <c r="C112" s="122">
        <f>((1/30)/12)</f>
        <v>2.7777777777777779E-3</v>
      </c>
      <c r="D112" s="107">
        <f t="shared" si="1"/>
        <v>3.26</v>
      </c>
    </row>
    <row r="113" spans="1:7">
      <c r="A113" s="191" t="s">
        <v>284</v>
      </c>
      <c r="B113" s="138" t="s">
        <v>339</v>
      </c>
      <c r="C113" s="122">
        <f>((15/30)/12)*0.0078</f>
        <v>3.2499999999999999E-4</v>
      </c>
      <c r="D113" s="107">
        <f t="shared" si="1"/>
        <v>0.38</v>
      </c>
    </row>
    <row r="114" spans="1:7">
      <c r="A114" s="191" t="s">
        <v>286</v>
      </c>
      <c r="B114" s="138" t="s">
        <v>291</v>
      </c>
      <c r="C114" s="145"/>
      <c r="D114" s="107">
        <f t="shared" si="1"/>
        <v>0</v>
      </c>
    </row>
    <row r="115" spans="1:7">
      <c r="A115" s="532" t="s">
        <v>318</v>
      </c>
      <c r="B115" s="533"/>
      <c r="C115" s="122">
        <f>SUM(C109:C114)</f>
        <v>0.12304126984126985</v>
      </c>
      <c r="D115" s="107">
        <f>SUM(D109:D114)</f>
        <v>144.4</v>
      </c>
    </row>
    <row r="116" spans="1:7" ht="32.25" thickBot="1">
      <c r="A116" s="109" t="s">
        <v>288</v>
      </c>
      <c r="B116" s="134" t="s">
        <v>340</v>
      </c>
      <c r="C116" s="142">
        <f>D116/$D$43</f>
        <v>4.5344170948035681E-2</v>
      </c>
      <c r="D116" s="107">
        <f>ROUND(D78*C115,2)</f>
        <v>53.22</v>
      </c>
    </row>
    <row r="117" spans="1:7" ht="16.5" thickBot="1">
      <c r="A117" s="525" t="s">
        <v>7</v>
      </c>
      <c r="B117" s="526"/>
      <c r="C117" s="127">
        <f>C116+C115</f>
        <v>0.16838544078930553</v>
      </c>
      <c r="D117" s="146">
        <f>D116+D115</f>
        <v>197.62</v>
      </c>
    </row>
    <row r="118" spans="1:7">
      <c r="A118" s="190" t="s">
        <v>341</v>
      </c>
    </row>
    <row r="119" spans="1:7" ht="16.5" thickBot="1">
      <c r="A119" s="522" t="s">
        <v>342</v>
      </c>
      <c r="B119" s="522"/>
      <c r="C119" s="522"/>
      <c r="D119" s="522"/>
      <c r="E119" s="522"/>
      <c r="F119" s="522"/>
      <c r="G119" s="522"/>
    </row>
    <row r="120" spans="1:7" ht="32.25" customHeight="1" thickBot="1">
      <c r="A120" s="147">
        <v>4</v>
      </c>
      <c r="B120" s="148" t="s">
        <v>343</v>
      </c>
      <c r="C120" s="149" t="s">
        <v>4</v>
      </c>
      <c r="D120" s="150" t="s">
        <v>279</v>
      </c>
    </row>
    <row r="121" spans="1:7">
      <c r="A121" s="82" t="s">
        <v>307</v>
      </c>
      <c r="B121" s="133" t="s">
        <v>344</v>
      </c>
      <c r="C121" s="142">
        <f t="shared" ref="C121:C126" si="2">D121/$D$43</f>
        <v>0.16291354616636419</v>
      </c>
      <c r="D121" s="107">
        <f>D88</f>
        <v>191.21</v>
      </c>
    </row>
    <row r="122" spans="1:7">
      <c r="A122" s="191" t="s">
        <v>314</v>
      </c>
      <c r="B122" s="138" t="s">
        <v>308</v>
      </c>
      <c r="C122" s="142">
        <f t="shared" si="2"/>
        <v>0.36851298042924457</v>
      </c>
      <c r="D122" s="107">
        <f>D78</f>
        <v>432.5200000000001</v>
      </c>
    </row>
    <row r="123" spans="1:7">
      <c r="A123" s="191" t="s">
        <v>321</v>
      </c>
      <c r="B123" s="138" t="s">
        <v>323</v>
      </c>
      <c r="C123" s="142">
        <f t="shared" si="2"/>
        <v>1.0138963440090654E-3</v>
      </c>
      <c r="D123" s="107">
        <f>D94</f>
        <v>1.19</v>
      </c>
    </row>
    <row r="124" spans="1:7">
      <c r="A124" s="151" t="s">
        <v>326</v>
      </c>
      <c r="B124" s="152" t="s">
        <v>345</v>
      </c>
      <c r="C124" s="142">
        <f t="shared" si="2"/>
        <v>7.5386175225144611E-2</v>
      </c>
      <c r="D124" s="107">
        <f>D105</f>
        <v>88.47999999999999</v>
      </c>
    </row>
    <row r="125" spans="1:7">
      <c r="A125" s="153" t="s">
        <v>335</v>
      </c>
      <c r="B125" s="154" t="s">
        <v>346</v>
      </c>
      <c r="C125" s="142">
        <f t="shared" si="2"/>
        <v>0.16837495420426177</v>
      </c>
      <c r="D125" s="107">
        <f>D117</f>
        <v>197.62</v>
      </c>
    </row>
    <row r="126" spans="1:7" ht="16.5" thickBot="1">
      <c r="A126" s="191" t="s">
        <v>347</v>
      </c>
      <c r="B126" s="138" t="s">
        <v>291</v>
      </c>
      <c r="C126" s="142">
        <f t="shared" si="2"/>
        <v>0</v>
      </c>
      <c r="D126" s="107">
        <v>0</v>
      </c>
    </row>
    <row r="127" spans="1:7" ht="37.5" customHeight="1" thickBot="1">
      <c r="A127" s="530" t="s">
        <v>348</v>
      </c>
      <c r="B127" s="531"/>
      <c r="C127" s="127">
        <f>SUM(C121:C126)</f>
        <v>0.77620155236902411</v>
      </c>
      <c r="D127" s="113">
        <f>SUM(D121:D126)</f>
        <v>911.02000000000021</v>
      </c>
    </row>
    <row r="128" spans="1:7">
      <c r="A128" s="155"/>
      <c r="B128" s="155"/>
      <c r="C128" s="156"/>
      <c r="D128" s="157"/>
      <c r="E128" s="158"/>
      <c r="F128" s="159"/>
      <c r="G128" s="159"/>
    </row>
    <row r="129" spans="1:8" ht="16.5" thickBot="1">
      <c r="A129" s="522" t="s">
        <v>349</v>
      </c>
      <c r="B129" s="522"/>
      <c r="C129" s="522"/>
      <c r="D129" s="522"/>
      <c r="E129" s="522"/>
      <c r="F129" s="522"/>
      <c r="G129" s="522"/>
      <c r="H129" s="160"/>
    </row>
    <row r="130" spans="1:8" ht="16.5" thickBot="1">
      <c r="A130" s="147" t="s">
        <v>350</v>
      </c>
      <c r="B130" s="148" t="s">
        <v>351</v>
      </c>
      <c r="C130" s="149" t="s">
        <v>4</v>
      </c>
      <c r="D130" s="114" t="s">
        <v>279</v>
      </c>
      <c r="E130" s="161">
        <f>D43+D54+D64+D78+D88+D94+D105+D117</f>
        <v>2565.556066666667</v>
      </c>
      <c r="G130" s="160"/>
    </row>
    <row r="131" spans="1:8">
      <c r="A131" s="82" t="s">
        <v>257</v>
      </c>
      <c r="B131" s="133" t="s">
        <v>352</v>
      </c>
      <c r="C131" s="162">
        <v>6.9894999999999999E-2</v>
      </c>
      <c r="D131" s="163">
        <f>E130*C131</f>
        <v>179.31954127966668</v>
      </c>
      <c r="G131" s="160"/>
    </row>
    <row r="132" spans="1:8">
      <c r="A132" s="191" t="s">
        <v>259</v>
      </c>
      <c r="B132" s="138" t="s">
        <v>353</v>
      </c>
      <c r="C132" s="142"/>
      <c r="D132" s="164"/>
      <c r="F132" s="165"/>
    </row>
    <row r="133" spans="1:8">
      <c r="A133" s="191"/>
      <c r="B133" s="138" t="s">
        <v>354</v>
      </c>
      <c r="C133" s="142"/>
      <c r="D133" s="129"/>
      <c r="F133" s="182"/>
      <c r="G133" s="160"/>
    </row>
    <row r="134" spans="1:8">
      <c r="A134" s="191"/>
      <c r="B134" s="138" t="s">
        <v>355</v>
      </c>
      <c r="C134" s="142">
        <v>7.5999999999999998E-2</v>
      </c>
      <c r="D134" s="107">
        <f>$D$152*C134</f>
        <v>241.11382006110071</v>
      </c>
      <c r="E134" s="165">
        <f>D152</f>
        <v>3172.5502639618517</v>
      </c>
      <c r="G134" s="160"/>
    </row>
    <row r="135" spans="1:8">
      <c r="A135" s="191"/>
      <c r="B135" s="138" t="s">
        <v>356</v>
      </c>
      <c r="C135" s="142">
        <v>1.6500000000000001E-2</v>
      </c>
      <c r="D135" s="107">
        <f>$D$152*C135</f>
        <v>52.347079355370553</v>
      </c>
      <c r="E135" s="246"/>
      <c r="G135" s="160"/>
    </row>
    <row r="136" spans="1:8">
      <c r="A136" s="191"/>
      <c r="B136" s="138" t="s">
        <v>357</v>
      </c>
      <c r="C136" s="142"/>
      <c r="D136" s="107"/>
    </row>
    <row r="137" spans="1:8">
      <c r="A137" s="191"/>
      <c r="B137" s="138" t="s">
        <v>358</v>
      </c>
      <c r="C137" s="142">
        <v>2.5000000000000001E-2</v>
      </c>
      <c r="D137" s="107">
        <f>$D$152*C137</f>
        <v>79.3137565990463</v>
      </c>
      <c r="G137" s="160"/>
    </row>
    <row r="138" spans="1:8">
      <c r="A138" s="191"/>
      <c r="B138" s="138" t="s">
        <v>359</v>
      </c>
      <c r="C138" s="142"/>
      <c r="D138" s="107"/>
    </row>
    <row r="139" spans="1:8" ht="16.5" thickBot="1">
      <c r="A139" s="191" t="s">
        <v>261</v>
      </c>
      <c r="B139" s="138" t="s">
        <v>360</v>
      </c>
      <c r="C139" s="142">
        <v>0.02</v>
      </c>
      <c r="D139" s="107">
        <f>ROUND(E139*C139,2)</f>
        <v>54.9</v>
      </c>
      <c r="E139" s="132">
        <f>E130+D131</f>
        <v>2744.8756079463337</v>
      </c>
    </row>
    <row r="140" spans="1:8" ht="33" customHeight="1" thickBot="1">
      <c r="A140" s="527" t="s">
        <v>361</v>
      </c>
      <c r="B140" s="528"/>
      <c r="C140" s="529"/>
      <c r="D140" s="166">
        <f>D131+D134+D135+D137+D139</f>
        <v>606.99419729518422</v>
      </c>
    </row>
    <row r="141" spans="1:8">
      <c r="A141" s="522" t="s">
        <v>362</v>
      </c>
      <c r="B141" s="522"/>
      <c r="C141" s="522"/>
      <c r="D141" s="522"/>
      <c r="E141" s="522"/>
      <c r="F141" s="522"/>
      <c r="G141" s="522"/>
    </row>
    <row r="142" spans="1:8">
      <c r="A142" s="522" t="s">
        <v>363</v>
      </c>
      <c r="B142" s="522"/>
      <c r="C142" s="522"/>
      <c r="D142" s="522"/>
      <c r="E142" s="522"/>
      <c r="F142" s="522"/>
      <c r="G142" s="522"/>
    </row>
    <row r="143" spans="1:8">
      <c r="A143" s="190"/>
    </row>
    <row r="144" spans="1:8" ht="16.5" thickBot="1">
      <c r="A144" s="523" t="s">
        <v>364</v>
      </c>
      <c r="B144" s="523"/>
      <c r="C144" s="523"/>
      <c r="D144" s="523"/>
      <c r="E144" s="523"/>
      <c r="F144" s="523"/>
      <c r="G144" s="523"/>
    </row>
    <row r="145" spans="1:8" ht="32.25" customHeight="1" thickBot="1">
      <c r="A145" s="147"/>
      <c r="B145" s="524" t="s">
        <v>365</v>
      </c>
      <c r="C145" s="524"/>
      <c r="D145" s="167" t="s">
        <v>366</v>
      </c>
    </row>
    <row r="146" spans="1:8">
      <c r="A146" s="191" t="s">
        <v>257</v>
      </c>
      <c r="B146" s="138" t="s">
        <v>367</v>
      </c>
      <c r="C146" s="122">
        <f t="shared" ref="C146:C151" si="3">D146/$D$152</f>
        <v>0.36995158542714679</v>
      </c>
      <c r="D146" s="129">
        <f>D43</f>
        <v>1173.69</v>
      </c>
    </row>
    <row r="147" spans="1:8">
      <c r="A147" s="191" t="s">
        <v>259</v>
      </c>
      <c r="B147" s="138" t="s">
        <v>368</v>
      </c>
      <c r="C147" s="122">
        <f t="shared" si="3"/>
        <v>0.13858863167417004</v>
      </c>
      <c r="D147" s="129">
        <f>D54</f>
        <v>439.67939999999999</v>
      </c>
    </row>
    <row r="148" spans="1:8" ht="31.5">
      <c r="A148" s="191" t="s">
        <v>261</v>
      </c>
      <c r="B148" s="138" t="s">
        <v>369</v>
      </c>
      <c r="C148" s="122">
        <f t="shared" si="3"/>
        <v>1.2975891078635933E-2</v>
      </c>
      <c r="D148" s="129">
        <f>D64</f>
        <v>41.166666666666664</v>
      </c>
      <c r="E148" s="165">
        <f>D150+D131+D139</f>
        <v>2799.7756079463338</v>
      </c>
    </row>
    <row r="149" spans="1:8" ht="31.5">
      <c r="A149" s="191" t="s">
        <v>263</v>
      </c>
      <c r="B149" s="138" t="s">
        <v>370</v>
      </c>
      <c r="C149" s="122">
        <f t="shared" si="3"/>
        <v>0.28715699490993307</v>
      </c>
      <c r="D149" s="129">
        <f>D127</f>
        <v>911.02000000000021</v>
      </c>
      <c r="E149" s="174">
        <f>C137+C135+C134</f>
        <v>0.11749999999999999</v>
      </c>
    </row>
    <row r="150" spans="1:8" ht="16.5" customHeight="1">
      <c r="A150" s="168" t="s">
        <v>371</v>
      </c>
      <c r="B150" s="169"/>
      <c r="C150" s="131">
        <f t="shared" si="3"/>
        <v>0.80867310308988583</v>
      </c>
      <c r="D150" s="170">
        <f>SUM(D146:D149)</f>
        <v>2565.556066666667</v>
      </c>
      <c r="E150" s="174">
        <f>100%-E149</f>
        <v>0.88250000000000006</v>
      </c>
    </row>
    <row r="151" spans="1:8" ht="32.25" thickBot="1">
      <c r="A151" s="191" t="s">
        <v>284</v>
      </c>
      <c r="B151" s="138" t="s">
        <v>372</v>
      </c>
      <c r="C151" s="122">
        <f t="shared" si="3"/>
        <v>0.19132689691011401</v>
      </c>
      <c r="D151" s="129">
        <f>D140</f>
        <v>606.99419729518422</v>
      </c>
      <c r="G151" s="171"/>
    </row>
    <row r="152" spans="1:8" ht="16.5" customHeight="1" thickBot="1">
      <c r="A152" s="525" t="s">
        <v>373</v>
      </c>
      <c r="B152" s="526"/>
      <c r="C152" s="127">
        <f>C151+C150</f>
        <v>0.99999999999999978</v>
      </c>
      <c r="D152" s="166">
        <f>(D150+D139+D131)/0.8825</f>
        <v>3172.5502639618517</v>
      </c>
      <c r="E152" s="171"/>
      <c r="F152" s="165">
        <f>D150+D151</f>
        <v>3172.5502639618512</v>
      </c>
      <c r="H152" s="172"/>
    </row>
    <row r="153" spans="1:8">
      <c r="E153" s="171"/>
    </row>
    <row r="154" spans="1:8">
      <c r="A154" s="186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1.299212598425197" right="0.51181102362204722" top="2.1653543307086616" bottom="0.98425196850393704" header="0.31496062992125984" footer="0.31496062992125984"/>
  <pageSetup paperSize="9" scale="79" fitToHeight="4" orientation="portrait" r:id="rId1"/>
  <headerFooter alignWithMargins="0"/>
  <rowBreaks count="3" manualBreakCount="3">
    <brk id="43" max="3" man="1"/>
    <brk id="88" max="3" man="1"/>
    <brk id="128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154"/>
  <sheetViews>
    <sheetView showGridLines="0" view="pageBreakPreview" topLeftCell="A142" zoomScale="90" zoomScaleSheetLayoutView="90" workbookViewId="0">
      <selection activeCell="E135" sqref="E135"/>
    </sheetView>
  </sheetViews>
  <sheetFormatPr defaultRowHeight="15.75"/>
  <cols>
    <col min="1" max="1" width="9.28515625" style="53" customWidth="1"/>
    <col min="2" max="2" width="39.85546875" style="53" customWidth="1"/>
    <col min="3" max="3" width="18.28515625" style="53" customWidth="1"/>
    <col min="4" max="4" width="23.85546875" style="53" customWidth="1"/>
    <col min="5" max="5" width="16" style="53" bestFit="1" customWidth="1"/>
    <col min="6" max="6" width="13.7109375" style="53" bestFit="1" customWidth="1"/>
    <col min="7" max="7" width="15.7109375" style="53" bestFit="1" customWidth="1"/>
    <col min="8" max="8" width="13.140625" style="53" bestFit="1" customWidth="1"/>
    <col min="9" max="9" width="11.85546875" style="53" bestFit="1" customWidth="1"/>
    <col min="10" max="10" width="12.85546875" style="53" bestFit="1" customWidth="1"/>
    <col min="11" max="256" width="9.140625" style="53"/>
    <col min="257" max="257" width="9.28515625" style="53" customWidth="1"/>
    <col min="258" max="258" width="39.85546875" style="53" customWidth="1"/>
    <col min="259" max="259" width="18.28515625" style="53" customWidth="1"/>
    <col min="260" max="260" width="23.85546875" style="53" customWidth="1"/>
    <col min="261" max="261" width="16" style="53" bestFit="1" customWidth="1"/>
    <col min="262" max="262" width="13.7109375" style="53" bestFit="1" customWidth="1"/>
    <col min="263" max="263" width="15.7109375" style="53" bestFit="1" customWidth="1"/>
    <col min="264" max="264" width="13.140625" style="53" bestFit="1" customWidth="1"/>
    <col min="265" max="265" width="11.85546875" style="53" bestFit="1" customWidth="1"/>
    <col min="266" max="266" width="12.85546875" style="53" bestFit="1" customWidth="1"/>
    <col min="267" max="512" width="9.140625" style="53"/>
    <col min="513" max="513" width="9.28515625" style="53" customWidth="1"/>
    <col min="514" max="514" width="39.85546875" style="53" customWidth="1"/>
    <col min="515" max="515" width="18.28515625" style="53" customWidth="1"/>
    <col min="516" max="516" width="23.85546875" style="53" customWidth="1"/>
    <col min="517" max="517" width="16" style="53" bestFit="1" customWidth="1"/>
    <col min="518" max="518" width="13.7109375" style="53" bestFit="1" customWidth="1"/>
    <col min="519" max="519" width="15.7109375" style="53" bestFit="1" customWidth="1"/>
    <col min="520" max="520" width="13.140625" style="53" bestFit="1" customWidth="1"/>
    <col min="521" max="521" width="11.85546875" style="53" bestFit="1" customWidth="1"/>
    <col min="522" max="522" width="12.85546875" style="53" bestFit="1" customWidth="1"/>
    <col min="523" max="768" width="9.140625" style="53"/>
    <col min="769" max="769" width="9.28515625" style="53" customWidth="1"/>
    <col min="770" max="770" width="39.85546875" style="53" customWidth="1"/>
    <col min="771" max="771" width="18.28515625" style="53" customWidth="1"/>
    <col min="772" max="772" width="23.85546875" style="53" customWidth="1"/>
    <col min="773" max="773" width="16" style="53" bestFit="1" customWidth="1"/>
    <col min="774" max="774" width="13.7109375" style="53" bestFit="1" customWidth="1"/>
    <col min="775" max="775" width="15.7109375" style="53" bestFit="1" customWidth="1"/>
    <col min="776" max="776" width="13.140625" style="53" bestFit="1" customWidth="1"/>
    <col min="777" max="777" width="11.85546875" style="53" bestFit="1" customWidth="1"/>
    <col min="778" max="778" width="12.85546875" style="53" bestFit="1" customWidth="1"/>
    <col min="779" max="1024" width="9.140625" style="53"/>
    <col min="1025" max="1025" width="9.28515625" style="53" customWidth="1"/>
    <col min="1026" max="1026" width="39.85546875" style="53" customWidth="1"/>
    <col min="1027" max="1027" width="18.28515625" style="53" customWidth="1"/>
    <col min="1028" max="1028" width="23.85546875" style="53" customWidth="1"/>
    <col min="1029" max="1029" width="16" style="53" bestFit="1" customWidth="1"/>
    <col min="1030" max="1030" width="13.7109375" style="53" bestFit="1" customWidth="1"/>
    <col min="1031" max="1031" width="15.7109375" style="53" bestFit="1" customWidth="1"/>
    <col min="1032" max="1032" width="13.140625" style="53" bestFit="1" customWidth="1"/>
    <col min="1033" max="1033" width="11.85546875" style="53" bestFit="1" customWidth="1"/>
    <col min="1034" max="1034" width="12.85546875" style="53" bestFit="1" customWidth="1"/>
    <col min="1035" max="1280" width="9.140625" style="53"/>
    <col min="1281" max="1281" width="9.28515625" style="53" customWidth="1"/>
    <col min="1282" max="1282" width="39.85546875" style="53" customWidth="1"/>
    <col min="1283" max="1283" width="18.28515625" style="53" customWidth="1"/>
    <col min="1284" max="1284" width="23.85546875" style="53" customWidth="1"/>
    <col min="1285" max="1285" width="16" style="53" bestFit="1" customWidth="1"/>
    <col min="1286" max="1286" width="13.7109375" style="53" bestFit="1" customWidth="1"/>
    <col min="1287" max="1287" width="15.7109375" style="53" bestFit="1" customWidth="1"/>
    <col min="1288" max="1288" width="13.140625" style="53" bestFit="1" customWidth="1"/>
    <col min="1289" max="1289" width="11.85546875" style="53" bestFit="1" customWidth="1"/>
    <col min="1290" max="1290" width="12.85546875" style="53" bestFit="1" customWidth="1"/>
    <col min="1291" max="1536" width="9.140625" style="53"/>
    <col min="1537" max="1537" width="9.28515625" style="53" customWidth="1"/>
    <col min="1538" max="1538" width="39.85546875" style="53" customWidth="1"/>
    <col min="1539" max="1539" width="18.28515625" style="53" customWidth="1"/>
    <col min="1540" max="1540" width="23.85546875" style="53" customWidth="1"/>
    <col min="1541" max="1541" width="16" style="53" bestFit="1" customWidth="1"/>
    <col min="1542" max="1542" width="13.7109375" style="53" bestFit="1" customWidth="1"/>
    <col min="1543" max="1543" width="15.7109375" style="53" bestFit="1" customWidth="1"/>
    <col min="1544" max="1544" width="13.140625" style="53" bestFit="1" customWidth="1"/>
    <col min="1545" max="1545" width="11.85546875" style="53" bestFit="1" customWidth="1"/>
    <col min="1546" max="1546" width="12.85546875" style="53" bestFit="1" customWidth="1"/>
    <col min="1547" max="1792" width="9.140625" style="53"/>
    <col min="1793" max="1793" width="9.28515625" style="53" customWidth="1"/>
    <col min="1794" max="1794" width="39.85546875" style="53" customWidth="1"/>
    <col min="1795" max="1795" width="18.28515625" style="53" customWidth="1"/>
    <col min="1796" max="1796" width="23.85546875" style="53" customWidth="1"/>
    <col min="1797" max="1797" width="16" style="53" bestFit="1" customWidth="1"/>
    <col min="1798" max="1798" width="13.7109375" style="53" bestFit="1" customWidth="1"/>
    <col min="1799" max="1799" width="15.7109375" style="53" bestFit="1" customWidth="1"/>
    <col min="1800" max="1800" width="13.140625" style="53" bestFit="1" customWidth="1"/>
    <col min="1801" max="1801" width="11.85546875" style="53" bestFit="1" customWidth="1"/>
    <col min="1802" max="1802" width="12.85546875" style="53" bestFit="1" customWidth="1"/>
    <col min="1803" max="2048" width="9.140625" style="53"/>
    <col min="2049" max="2049" width="9.28515625" style="53" customWidth="1"/>
    <col min="2050" max="2050" width="39.85546875" style="53" customWidth="1"/>
    <col min="2051" max="2051" width="18.28515625" style="53" customWidth="1"/>
    <col min="2052" max="2052" width="23.85546875" style="53" customWidth="1"/>
    <col min="2053" max="2053" width="16" style="53" bestFit="1" customWidth="1"/>
    <col min="2054" max="2054" width="13.7109375" style="53" bestFit="1" customWidth="1"/>
    <col min="2055" max="2055" width="15.7109375" style="53" bestFit="1" customWidth="1"/>
    <col min="2056" max="2056" width="13.140625" style="53" bestFit="1" customWidth="1"/>
    <col min="2057" max="2057" width="11.85546875" style="53" bestFit="1" customWidth="1"/>
    <col min="2058" max="2058" width="12.85546875" style="53" bestFit="1" customWidth="1"/>
    <col min="2059" max="2304" width="9.140625" style="53"/>
    <col min="2305" max="2305" width="9.28515625" style="53" customWidth="1"/>
    <col min="2306" max="2306" width="39.85546875" style="53" customWidth="1"/>
    <col min="2307" max="2307" width="18.28515625" style="53" customWidth="1"/>
    <col min="2308" max="2308" width="23.85546875" style="53" customWidth="1"/>
    <col min="2309" max="2309" width="16" style="53" bestFit="1" customWidth="1"/>
    <col min="2310" max="2310" width="13.7109375" style="53" bestFit="1" customWidth="1"/>
    <col min="2311" max="2311" width="15.7109375" style="53" bestFit="1" customWidth="1"/>
    <col min="2312" max="2312" width="13.140625" style="53" bestFit="1" customWidth="1"/>
    <col min="2313" max="2313" width="11.85546875" style="53" bestFit="1" customWidth="1"/>
    <col min="2314" max="2314" width="12.85546875" style="53" bestFit="1" customWidth="1"/>
    <col min="2315" max="2560" width="9.140625" style="53"/>
    <col min="2561" max="2561" width="9.28515625" style="53" customWidth="1"/>
    <col min="2562" max="2562" width="39.85546875" style="53" customWidth="1"/>
    <col min="2563" max="2563" width="18.28515625" style="53" customWidth="1"/>
    <col min="2564" max="2564" width="23.85546875" style="53" customWidth="1"/>
    <col min="2565" max="2565" width="16" style="53" bestFit="1" customWidth="1"/>
    <col min="2566" max="2566" width="13.7109375" style="53" bestFit="1" customWidth="1"/>
    <col min="2567" max="2567" width="15.7109375" style="53" bestFit="1" customWidth="1"/>
    <col min="2568" max="2568" width="13.140625" style="53" bestFit="1" customWidth="1"/>
    <col min="2569" max="2569" width="11.85546875" style="53" bestFit="1" customWidth="1"/>
    <col min="2570" max="2570" width="12.85546875" style="53" bestFit="1" customWidth="1"/>
    <col min="2571" max="2816" width="9.140625" style="53"/>
    <col min="2817" max="2817" width="9.28515625" style="53" customWidth="1"/>
    <col min="2818" max="2818" width="39.85546875" style="53" customWidth="1"/>
    <col min="2819" max="2819" width="18.28515625" style="53" customWidth="1"/>
    <col min="2820" max="2820" width="23.85546875" style="53" customWidth="1"/>
    <col min="2821" max="2821" width="16" style="53" bestFit="1" customWidth="1"/>
    <col min="2822" max="2822" width="13.7109375" style="53" bestFit="1" customWidth="1"/>
    <col min="2823" max="2823" width="15.7109375" style="53" bestFit="1" customWidth="1"/>
    <col min="2824" max="2824" width="13.140625" style="53" bestFit="1" customWidth="1"/>
    <col min="2825" max="2825" width="11.85546875" style="53" bestFit="1" customWidth="1"/>
    <col min="2826" max="2826" width="12.85546875" style="53" bestFit="1" customWidth="1"/>
    <col min="2827" max="3072" width="9.140625" style="53"/>
    <col min="3073" max="3073" width="9.28515625" style="53" customWidth="1"/>
    <col min="3074" max="3074" width="39.85546875" style="53" customWidth="1"/>
    <col min="3075" max="3075" width="18.28515625" style="53" customWidth="1"/>
    <col min="3076" max="3076" width="23.85546875" style="53" customWidth="1"/>
    <col min="3077" max="3077" width="16" style="53" bestFit="1" customWidth="1"/>
    <col min="3078" max="3078" width="13.7109375" style="53" bestFit="1" customWidth="1"/>
    <col min="3079" max="3079" width="15.7109375" style="53" bestFit="1" customWidth="1"/>
    <col min="3080" max="3080" width="13.140625" style="53" bestFit="1" customWidth="1"/>
    <col min="3081" max="3081" width="11.85546875" style="53" bestFit="1" customWidth="1"/>
    <col min="3082" max="3082" width="12.85546875" style="53" bestFit="1" customWidth="1"/>
    <col min="3083" max="3328" width="9.140625" style="53"/>
    <col min="3329" max="3329" width="9.28515625" style="53" customWidth="1"/>
    <col min="3330" max="3330" width="39.85546875" style="53" customWidth="1"/>
    <col min="3331" max="3331" width="18.28515625" style="53" customWidth="1"/>
    <col min="3332" max="3332" width="23.85546875" style="53" customWidth="1"/>
    <col min="3333" max="3333" width="16" style="53" bestFit="1" customWidth="1"/>
    <col min="3334" max="3334" width="13.7109375" style="53" bestFit="1" customWidth="1"/>
    <col min="3335" max="3335" width="15.7109375" style="53" bestFit="1" customWidth="1"/>
    <col min="3336" max="3336" width="13.140625" style="53" bestFit="1" customWidth="1"/>
    <col min="3337" max="3337" width="11.85546875" style="53" bestFit="1" customWidth="1"/>
    <col min="3338" max="3338" width="12.85546875" style="53" bestFit="1" customWidth="1"/>
    <col min="3339" max="3584" width="9.140625" style="53"/>
    <col min="3585" max="3585" width="9.28515625" style="53" customWidth="1"/>
    <col min="3586" max="3586" width="39.85546875" style="53" customWidth="1"/>
    <col min="3587" max="3587" width="18.28515625" style="53" customWidth="1"/>
    <col min="3588" max="3588" width="23.85546875" style="53" customWidth="1"/>
    <col min="3589" max="3589" width="16" style="53" bestFit="1" customWidth="1"/>
    <col min="3590" max="3590" width="13.7109375" style="53" bestFit="1" customWidth="1"/>
    <col min="3591" max="3591" width="15.7109375" style="53" bestFit="1" customWidth="1"/>
    <col min="3592" max="3592" width="13.140625" style="53" bestFit="1" customWidth="1"/>
    <col min="3593" max="3593" width="11.85546875" style="53" bestFit="1" customWidth="1"/>
    <col min="3594" max="3594" width="12.85546875" style="53" bestFit="1" customWidth="1"/>
    <col min="3595" max="3840" width="9.140625" style="53"/>
    <col min="3841" max="3841" width="9.28515625" style="53" customWidth="1"/>
    <col min="3842" max="3842" width="39.85546875" style="53" customWidth="1"/>
    <col min="3843" max="3843" width="18.28515625" style="53" customWidth="1"/>
    <col min="3844" max="3844" width="23.85546875" style="53" customWidth="1"/>
    <col min="3845" max="3845" width="16" style="53" bestFit="1" customWidth="1"/>
    <col min="3846" max="3846" width="13.7109375" style="53" bestFit="1" customWidth="1"/>
    <col min="3847" max="3847" width="15.7109375" style="53" bestFit="1" customWidth="1"/>
    <col min="3848" max="3848" width="13.140625" style="53" bestFit="1" customWidth="1"/>
    <col min="3849" max="3849" width="11.85546875" style="53" bestFit="1" customWidth="1"/>
    <col min="3850" max="3850" width="12.85546875" style="53" bestFit="1" customWidth="1"/>
    <col min="3851" max="4096" width="9.140625" style="53"/>
    <col min="4097" max="4097" width="9.28515625" style="53" customWidth="1"/>
    <col min="4098" max="4098" width="39.85546875" style="53" customWidth="1"/>
    <col min="4099" max="4099" width="18.28515625" style="53" customWidth="1"/>
    <col min="4100" max="4100" width="23.85546875" style="53" customWidth="1"/>
    <col min="4101" max="4101" width="16" style="53" bestFit="1" customWidth="1"/>
    <col min="4102" max="4102" width="13.7109375" style="53" bestFit="1" customWidth="1"/>
    <col min="4103" max="4103" width="15.7109375" style="53" bestFit="1" customWidth="1"/>
    <col min="4104" max="4104" width="13.140625" style="53" bestFit="1" customWidth="1"/>
    <col min="4105" max="4105" width="11.85546875" style="53" bestFit="1" customWidth="1"/>
    <col min="4106" max="4106" width="12.85546875" style="53" bestFit="1" customWidth="1"/>
    <col min="4107" max="4352" width="9.140625" style="53"/>
    <col min="4353" max="4353" width="9.28515625" style="53" customWidth="1"/>
    <col min="4354" max="4354" width="39.85546875" style="53" customWidth="1"/>
    <col min="4355" max="4355" width="18.28515625" style="53" customWidth="1"/>
    <col min="4356" max="4356" width="23.85546875" style="53" customWidth="1"/>
    <col min="4357" max="4357" width="16" style="53" bestFit="1" customWidth="1"/>
    <col min="4358" max="4358" width="13.7109375" style="53" bestFit="1" customWidth="1"/>
    <col min="4359" max="4359" width="15.7109375" style="53" bestFit="1" customWidth="1"/>
    <col min="4360" max="4360" width="13.140625" style="53" bestFit="1" customWidth="1"/>
    <col min="4361" max="4361" width="11.85546875" style="53" bestFit="1" customWidth="1"/>
    <col min="4362" max="4362" width="12.85546875" style="53" bestFit="1" customWidth="1"/>
    <col min="4363" max="4608" width="9.140625" style="53"/>
    <col min="4609" max="4609" width="9.28515625" style="53" customWidth="1"/>
    <col min="4610" max="4610" width="39.85546875" style="53" customWidth="1"/>
    <col min="4611" max="4611" width="18.28515625" style="53" customWidth="1"/>
    <col min="4612" max="4612" width="23.85546875" style="53" customWidth="1"/>
    <col min="4613" max="4613" width="16" style="53" bestFit="1" customWidth="1"/>
    <col min="4614" max="4614" width="13.7109375" style="53" bestFit="1" customWidth="1"/>
    <col min="4615" max="4615" width="15.7109375" style="53" bestFit="1" customWidth="1"/>
    <col min="4616" max="4616" width="13.140625" style="53" bestFit="1" customWidth="1"/>
    <col min="4617" max="4617" width="11.85546875" style="53" bestFit="1" customWidth="1"/>
    <col min="4618" max="4618" width="12.85546875" style="53" bestFit="1" customWidth="1"/>
    <col min="4619" max="4864" width="9.140625" style="53"/>
    <col min="4865" max="4865" width="9.28515625" style="53" customWidth="1"/>
    <col min="4866" max="4866" width="39.85546875" style="53" customWidth="1"/>
    <col min="4867" max="4867" width="18.28515625" style="53" customWidth="1"/>
    <col min="4868" max="4868" width="23.85546875" style="53" customWidth="1"/>
    <col min="4869" max="4869" width="16" style="53" bestFit="1" customWidth="1"/>
    <col min="4870" max="4870" width="13.7109375" style="53" bestFit="1" customWidth="1"/>
    <col min="4871" max="4871" width="15.7109375" style="53" bestFit="1" customWidth="1"/>
    <col min="4872" max="4872" width="13.140625" style="53" bestFit="1" customWidth="1"/>
    <col min="4873" max="4873" width="11.85546875" style="53" bestFit="1" customWidth="1"/>
    <col min="4874" max="4874" width="12.85546875" style="53" bestFit="1" customWidth="1"/>
    <col min="4875" max="5120" width="9.140625" style="53"/>
    <col min="5121" max="5121" width="9.28515625" style="53" customWidth="1"/>
    <col min="5122" max="5122" width="39.85546875" style="53" customWidth="1"/>
    <col min="5123" max="5123" width="18.28515625" style="53" customWidth="1"/>
    <col min="5124" max="5124" width="23.85546875" style="53" customWidth="1"/>
    <col min="5125" max="5125" width="16" style="53" bestFit="1" customWidth="1"/>
    <col min="5126" max="5126" width="13.7109375" style="53" bestFit="1" customWidth="1"/>
    <col min="5127" max="5127" width="15.7109375" style="53" bestFit="1" customWidth="1"/>
    <col min="5128" max="5128" width="13.140625" style="53" bestFit="1" customWidth="1"/>
    <col min="5129" max="5129" width="11.85546875" style="53" bestFit="1" customWidth="1"/>
    <col min="5130" max="5130" width="12.85546875" style="53" bestFit="1" customWidth="1"/>
    <col min="5131" max="5376" width="9.140625" style="53"/>
    <col min="5377" max="5377" width="9.28515625" style="53" customWidth="1"/>
    <col min="5378" max="5378" width="39.85546875" style="53" customWidth="1"/>
    <col min="5379" max="5379" width="18.28515625" style="53" customWidth="1"/>
    <col min="5380" max="5380" width="23.85546875" style="53" customWidth="1"/>
    <col min="5381" max="5381" width="16" style="53" bestFit="1" customWidth="1"/>
    <col min="5382" max="5382" width="13.7109375" style="53" bestFit="1" customWidth="1"/>
    <col min="5383" max="5383" width="15.7109375" style="53" bestFit="1" customWidth="1"/>
    <col min="5384" max="5384" width="13.140625" style="53" bestFit="1" customWidth="1"/>
    <col min="5385" max="5385" width="11.85546875" style="53" bestFit="1" customWidth="1"/>
    <col min="5386" max="5386" width="12.85546875" style="53" bestFit="1" customWidth="1"/>
    <col min="5387" max="5632" width="9.140625" style="53"/>
    <col min="5633" max="5633" width="9.28515625" style="53" customWidth="1"/>
    <col min="5634" max="5634" width="39.85546875" style="53" customWidth="1"/>
    <col min="5635" max="5635" width="18.28515625" style="53" customWidth="1"/>
    <col min="5636" max="5636" width="23.85546875" style="53" customWidth="1"/>
    <col min="5637" max="5637" width="16" style="53" bestFit="1" customWidth="1"/>
    <col min="5638" max="5638" width="13.7109375" style="53" bestFit="1" customWidth="1"/>
    <col min="5639" max="5639" width="15.7109375" style="53" bestFit="1" customWidth="1"/>
    <col min="5640" max="5640" width="13.140625" style="53" bestFit="1" customWidth="1"/>
    <col min="5641" max="5641" width="11.85546875" style="53" bestFit="1" customWidth="1"/>
    <col min="5642" max="5642" width="12.85546875" style="53" bestFit="1" customWidth="1"/>
    <col min="5643" max="5888" width="9.140625" style="53"/>
    <col min="5889" max="5889" width="9.28515625" style="53" customWidth="1"/>
    <col min="5890" max="5890" width="39.85546875" style="53" customWidth="1"/>
    <col min="5891" max="5891" width="18.28515625" style="53" customWidth="1"/>
    <col min="5892" max="5892" width="23.85546875" style="53" customWidth="1"/>
    <col min="5893" max="5893" width="16" style="53" bestFit="1" customWidth="1"/>
    <col min="5894" max="5894" width="13.7109375" style="53" bestFit="1" customWidth="1"/>
    <col min="5895" max="5895" width="15.7109375" style="53" bestFit="1" customWidth="1"/>
    <col min="5896" max="5896" width="13.140625" style="53" bestFit="1" customWidth="1"/>
    <col min="5897" max="5897" width="11.85546875" style="53" bestFit="1" customWidth="1"/>
    <col min="5898" max="5898" width="12.85546875" style="53" bestFit="1" customWidth="1"/>
    <col min="5899" max="6144" width="9.140625" style="53"/>
    <col min="6145" max="6145" width="9.28515625" style="53" customWidth="1"/>
    <col min="6146" max="6146" width="39.85546875" style="53" customWidth="1"/>
    <col min="6147" max="6147" width="18.28515625" style="53" customWidth="1"/>
    <col min="6148" max="6148" width="23.85546875" style="53" customWidth="1"/>
    <col min="6149" max="6149" width="16" style="53" bestFit="1" customWidth="1"/>
    <col min="6150" max="6150" width="13.7109375" style="53" bestFit="1" customWidth="1"/>
    <col min="6151" max="6151" width="15.7109375" style="53" bestFit="1" customWidth="1"/>
    <col min="6152" max="6152" width="13.140625" style="53" bestFit="1" customWidth="1"/>
    <col min="6153" max="6153" width="11.85546875" style="53" bestFit="1" customWidth="1"/>
    <col min="6154" max="6154" width="12.85546875" style="53" bestFit="1" customWidth="1"/>
    <col min="6155" max="6400" width="9.140625" style="53"/>
    <col min="6401" max="6401" width="9.28515625" style="53" customWidth="1"/>
    <col min="6402" max="6402" width="39.85546875" style="53" customWidth="1"/>
    <col min="6403" max="6403" width="18.28515625" style="53" customWidth="1"/>
    <col min="6404" max="6404" width="23.85546875" style="53" customWidth="1"/>
    <col min="6405" max="6405" width="16" style="53" bestFit="1" customWidth="1"/>
    <col min="6406" max="6406" width="13.7109375" style="53" bestFit="1" customWidth="1"/>
    <col min="6407" max="6407" width="15.7109375" style="53" bestFit="1" customWidth="1"/>
    <col min="6408" max="6408" width="13.140625" style="53" bestFit="1" customWidth="1"/>
    <col min="6409" max="6409" width="11.85546875" style="53" bestFit="1" customWidth="1"/>
    <col min="6410" max="6410" width="12.85546875" style="53" bestFit="1" customWidth="1"/>
    <col min="6411" max="6656" width="9.140625" style="53"/>
    <col min="6657" max="6657" width="9.28515625" style="53" customWidth="1"/>
    <col min="6658" max="6658" width="39.85546875" style="53" customWidth="1"/>
    <col min="6659" max="6659" width="18.28515625" style="53" customWidth="1"/>
    <col min="6660" max="6660" width="23.85546875" style="53" customWidth="1"/>
    <col min="6661" max="6661" width="16" style="53" bestFit="1" customWidth="1"/>
    <col min="6662" max="6662" width="13.7109375" style="53" bestFit="1" customWidth="1"/>
    <col min="6663" max="6663" width="15.7109375" style="53" bestFit="1" customWidth="1"/>
    <col min="6664" max="6664" width="13.140625" style="53" bestFit="1" customWidth="1"/>
    <col min="6665" max="6665" width="11.85546875" style="53" bestFit="1" customWidth="1"/>
    <col min="6666" max="6666" width="12.85546875" style="53" bestFit="1" customWidth="1"/>
    <col min="6667" max="6912" width="9.140625" style="53"/>
    <col min="6913" max="6913" width="9.28515625" style="53" customWidth="1"/>
    <col min="6914" max="6914" width="39.85546875" style="53" customWidth="1"/>
    <col min="6915" max="6915" width="18.28515625" style="53" customWidth="1"/>
    <col min="6916" max="6916" width="23.85546875" style="53" customWidth="1"/>
    <col min="6917" max="6917" width="16" style="53" bestFit="1" customWidth="1"/>
    <col min="6918" max="6918" width="13.7109375" style="53" bestFit="1" customWidth="1"/>
    <col min="6919" max="6919" width="15.7109375" style="53" bestFit="1" customWidth="1"/>
    <col min="6920" max="6920" width="13.140625" style="53" bestFit="1" customWidth="1"/>
    <col min="6921" max="6921" width="11.85546875" style="53" bestFit="1" customWidth="1"/>
    <col min="6922" max="6922" width="12.85546875" style="53" bestFit="1" customWidth="1"/>
    <col min="6923" max="7168" width="9.140625" style="53"/>
    <col min="7169" max="7169" width="9.28515625" style="53" customWidth="1"/>
    <col min="7170" max="7170" width="39.85546875" style="53" customWidth="1"/>
    <col min="7171" max="7171" width="18.28515625" style="53" customWidth="1"/>
    <col min="7172" max="7172" width="23.85546875" style="53" customWidth="1"/>
    <col min="7173" max="7173" width="16" style="53" bestFit="1" customWidth="1"/>
    <col min="7174" max="7174" width="13.7109375" style="53" bestFit="1" customWidth="1"/>
    <col min="7175" max="7175" width="15.7109375" style="53" bestFit="1" customWidth="1"/>
    <col min="7176" max="7176" width="13.140625" style="53" bestFit="1" customWidth="1"/>
    <col min="7177" max="7177" width="11.85546875" style="53" bestFit="1" customWidth="1"/>
    <col min="7178" max="7178" width="12.85546875" style="53" bestFit="1" customWidth="1"/>
    <col min="7179" max="7424" width="9.140625" style="53"/>
    <col min="7425" max="7425" width="9.28515625" style="53" customWidth="1"/>
    <col min="7426" max="7426" width="39.85546875" style="53" customWidth="1"/>
    <col min="7427" max="7427" width="18.28515625" style="53" customWidth="1"/>
    <col min="7428" max="7428" width="23.85546875" style="53" customWidth="1"/>
    <col min="7429" max="7429" width="16" style="53" bestFit="1" customWidth="1"/>
    <col min="7430" max="7430" width="13.7109375" style="53" bestFit="1" customWidth="1"/>
    <col min="7431" max="7431" width="15.7109375" style="53" bestFit="1" customWidth="1"/>
    <col min="7432" max="7432" width="13.140625" style="53" bestFit="1" customWidth="1"/>
    <col min="7433" max="7433" width="11.85546875" style="53" bestFit="1" customWidth="1"/>
    <col min="7434" max="7434" width="12.85546875" style="53" bestFit="1" customWidth="1"/>
    <col min="7435" max="7680" width="9.140625" style="53"/>
    <col min="7681" max="7681" width="9.28515625" style="53" customWidth="1"/>
    <col min="7682" max="7682" width="39.85546875" style="53" customWidth="1"/>
    <col min="7683" max="7683" width="18.28515625" style="53" customWidth="1"/>
    <col min="7684" max="7684" width="23.85546875" style="53" customWidth="1"/>
    <col min="7685" max="7685" width="16" style="53" bestFit="1" customWidth="1"/>
    <col min="7686" max="7686" width="13.7109375" style="53" bestFit="1" customWidth="1"/>
    <col min="7687" max="7687" width="15.7109375" style="53" bestFit="1" customWidth="1"/>
    <col min="7688" max="7688" width="13.140625" style="53" bestFit="1" customWidth="1"/>
    <col min="7689" max="7689" width="11.85546875" style="53" bestFit="1" customWidth="1"/>
    <col min="7690" max="7690" width="12.85546875" style="53" bestFit="1" customWidth="1"/>
    <col min="7691" max="7936" width="9.140625" style="53"/>
    <col min="7937" max="7937" width="9.28515625" style="53" customWidth="1"/>
    <col min="7938" max="7938" width="39.85546875" style="53" customWidth="1"/>
    <col min="7939" max="7939" width="18.28515625" style="53" customWidth="1"/>
    <col min="7940" max="7940" width="23.85546875" style="53" customWidth="1"/>
    <col min="7941" max="7941" width="16" style="53" bestFit="1" customWidth="1"/>
    <col min="7942" max="7942" width="13.7109375" style="53" bestFit="1" customWidth="1"/>
    <col min="7943" max="7943" width="15.7109375" style="53" bestFit="1" customWidth="1"/>
    <col min="7944" max="7944" width="13.140625" style="53" bestFit="1" customWidth="1"/>
    <col min="7945" max="7945" width="11.85546875" style="53" bestFit="1" customWidth="1"/>
    <col min="7946" max="7946" width="12.85546875" style="53" bestFit="1" customWidth="1"/>
    <col min="7947" max="8192" width="9.140625" style="53"/>
    <col min="8193" max="8193" width="9.28515625" style="53" customWidth="1"/>
    <col min="8194" max="8194" width="39.85546875" style="53" customWidth="1"/>
    <col min="8195" max="8195" width="18.28515625" style="53" customWidth="1"/>
    <col min="8196" max="8196" width="23.85546875" style="53" customWidth="1"/>
    <col min="8197" max="8197" width="16" style="53" bestFit="1" customWidth="1"/>
    <col min="8198" max="8198" width="13.7109375" style="53" bestFit="1" customWidth="1"/>
    <col min="8199" max="8199" width="15.7109375" style="53" bestFit="1" customWidth="1"/>
    <col min="8200" max="8200" width="13.140625" style="53" bestFit="1" customWidth="1"/>
    <col min="8201" max="8201" width="11.85546875" style="53" bestFit="1" customWidth="1"/>
    <col min="8202" max="8202" width="12.85546875" style="53" bestFit="1" customWidth="1"/>
    <col min="8203" max="8448" width="9.140625" style="53"/>
    <col min="8449" max="8449" width="9.28515625" style="53" customWidth="1"/>
    <col min="8450" max="8450" width="39.85546875" style="53" customWidth="1"/>
    <col min="8451" max="8451" width="18.28515625" style="53" customWidth="1"/>
    <col min="8452" max="8452" width="23.85546875" style="53" customWidth="1"/>
    <col min="8453" max="8453" width="16" style="53" bestFit="1" customWidth="1"/>
    <col min="8454" max="8454" width="13.7109375" style="53" bestFit="1" customWidth="1"/>
    <col min="8455" max="8455" width="15.7109375" style="53" bestFit="1" customWidth="1"/>
    <col min="8456" max="8456" width="13.140625" style="53" bestFit="1" customWidth="1"/>
    <col min="8457" max="8457" width="11.85546875" style="53" bestFit="1" customWidth="1"/>
    <col min="8458" max="8458" width="12.85546875" style="53" bestFit="1" customWidth="1"/>
    <col min="8459" max="8704" width="9.140625" style="53"/>
    <col min="8705" max="8705" width="9.28515625" style="53" customWidth="1"/>
    <col min="8706" max="8706" width="39.85546875" style="53" customWidth="1"/>
    <col min="8707" max="8707" width="18.28515625" style="53" customWidth="1"/>
    <col min="8708" max="8708" width="23.85546875" style="53" customWidth="1"/>
    <col min="8709" max="8709" width="16" style="53" bestFit="1" customWidth="1"/>
    <col min="8710" max="8710" width="13.7109375" style="53" bestFit="1" customWidth="1"/>
    <col min="8711" max="8711" width="15.7109375" style="53" bestFit="1" customWidth="1"/>
    <col min="8712" max="8712" width="13.140625" style="53" bestFit="1" customWidth="1"/>
    <col min="8713" max="8713" width="11.85546875" style="53" bestFit="1" customWidth="1"/>
    <col min="8714" max="8714" width="12.85546875" style="53" bestFit="1" customWidth="1"/>
    <col min="8715" max="8960" width="9.140625" style="53"/>
    <col min="8961" max="8961" width="9.28515625" style="53" customWidth="1"/>
    <col min="8962" max="8962" width="39.85546875" style="53" customWidth="1"/>
    <col min="8963" max="8963" width="18.28515625" style="53" customWidth="1"/>
    <col min="8964" max="8964" width="23.85546875" style="53" customWidth="1"/>
    <col min="8965" max="8965" width="16" style="53" bestFit="1" customWidth="1"/>
    <col min="8966" max="8966" width="13.7109375" style="53" bestFit="1" customWidth="1"/>
    <col min="8967" max="8967" width="15.7109375" style="53" bestFit="1" customWidth="1"/>
    <col min="8968" max="8968" width="13.140625" style="53" bestFit="1" customWidth="1"/>
    <col min="8969" max="8969" width="11.85546875" style="53" bestFit="1" customWidth="1"/>
    <col min="8970" max="8970" width="12.85546875" style="53" bestFit="1" customWidth="1"/>
    <col min="8971" max="9216" width="9.140625" style="53"/>
    <col min="9217" max="9217" width="9.28515625" style="53" customWidth="1"/>
    <col min="9218" max="9218" width="39.85546875" style="53" customWidth="1"/>
    <col min="9219" max="9219" width="18.28515625" style="53" customWidth="1"/>
    <col min="9220" max="9220" width="23.85546875" style="53" customWidth="1"/>
    <col min="9221" max="9221" width="16" style="53" bestFit="1" customWidth="1"/>
    <col min="9222" max="9222" width="13.7109375" style="53" bestFit="1" customWidth="1"/>
    <col min="9223" max="9223" width="15.7109375" style="53" bestFit="1" customWidth="1"/>
    <col min="9224" max="9224" width="13.140625" style="53" bestFit="1" customWidth="1"/>
    <col min="9225" max="9225" width="11.85546875" style="53" bestFit="1" customWidth="1"/>
    <col min="9226" max="9226" width="12.85546875" style="53" bestFit="1" customWidth="1"/>
    <col min="9227" max="9472" width="9.140625" style="53"/>
    <col min="9473" max="9473" width="9.28515625" style="53" customWidth="1"/>
    <col min="9474" max="9474" width="39.85546875" style="53" customWidth="1"/>
    <col min="9475" max="9475" width="18.28515625" style="53" customWidth="1"/>
    <col min="9476" max="9476" width="23.85546875" style="53" customWidth="1"/>
    <col min="9477" max="9477" width="16" style="53" bestFit="1" customWidth="1"/>
    <col min="9478" max="9478" width="13.7109375" style="53" bestFit="1" customWidth="1"/>
    <col min="9479" max="9479" width="15.7109375" style="53" bestFit="1" customWidth="1"/>
    <col min="9480" max="9480" width="13.140625" style="53" bestFit="1" customWidth="1"/>
    <col min="9481" max="9481" width="11.85546875" style="53" bestFit="1" customWidth="1"/>
    <col min="9482" max="9482" width="12.85546875" style="53" bestFit="1" customWidth="1"/>
    <col min="9483" max="9728" width="9.140625" style="53"/>
    <col min="9729" max="9729" width="9.28515625" style="53" customWidth="1"/>
    <col min="9730" max="9730" width="39.85546875" style="53" customWidth="1"/>
    <col min="9731" max="9731" width="18.28515625" style="53" customWidth="1"/>
    <col min="9732" max="9732" width="23.85546875" style="53" customWidth="1"/>
    <col min="9733" max="9733" width="16" style="53" bestFit="1" customWidth="1"/>
    <col min="9734" max="9734" width="13.7109375" style="53" bestFit="1" customWidth="1"/>
    <col min="9735" max="9735" width="15.7109375" style="53" bestFit="1" customWidth="1"/>
    <col min="9736" max="9736" width="13.140625" style="53" bestFit="1" customWidth="1"/>
    <col min="9737" max="9737" width="11.85546875" style="53" bestFit="1" customWidth="1"/>
    <col min="9738" max="9738" width="12.85546875" style="53" bestFit="1" customWidth="1"/>
    <col min="9739" max="9984" width="9.140625" style="53"/>
    <col min="9985" max="9985" width="9.28515625" style="53" customWidth="1"/>
    <col min="9986" max="9986" width="39.85546875" style="53" customWidth="1"/>
    <col min="9987" max="9987" width="18.28515625" style="53" customWidth="1"/>
    <col min="9988" max="9988" width="23.85546875" style="53" customWidth="1"/>
    <col min="9989" max="9989" width="16" style="53" bestFit="1" customWidth="1"/>
    <col min="9990" max="9990" width="13.7109375" style="53" bestFit="1" customWidth="1"/>
    <col min="9991" max="9991" width="15.7109375" style="53" bestFit="1" customWidth="1"/>
    <col min="9992" max="9992" width="13.140625" style="53" bestFit="1" customWidth="1"/>
    <col min="9993" max="9993" width="11.85546875" style="53" bestFit="1" customWidth="1"/>
    <col min="9994" max="9994" width="12.85546875" style="53" bestFit="1" customWidth="1"/>
    <col min="9995" max="10240" width="9.140625" style="53"/>
    <col min="10241" max="10241" width="9.28515625" style="53" customWidth="1"/>
    <col min="10242" max="10242" width="39.85546875" style="53" customWidth="1"/>
    <col min="10243" max="10243" width="18.28515625" style="53" customWidth="1"/>
    <col min="10244" max="10244" width="23.85546875" style="53" customWidth="1"/>
    <col min="10245" max="10245" width="16" style="53" bestFit="1" customWidth="1"/>
    <col min="10246" max="10246" width="13.7109375" style="53" bestFit="1" customWidth="1"/>
    <col min="10247" max="10247" width="15.7109375" style="53" bestFit="1" customWidth="1"/>
    <col min="10248" max="10248" width="13.140625" style="53" bestFit="1" customWidth="1"/>
    <col min="10249" max="10249" width="11.85546875" style="53" bestFit="1" customWidth="1"/>
    <col min="10250" max="10250" width="12.85546875" style="53" bestFit="1" customWidth="1"/>
    <col min="10251" max="10496" width="9.140625" style="53"/>
    <col min="10497" max="10497" width="9.28515625" style="53" customWidth="1"/>
    <col min="10498" max="10498" width="39.85546875" style="53" customWidth="1"/>
    <col min="10499" max="10499" width="18.28515625" style="53" customWidth="1"/>
    <col min="10500" max="10500" width="23.85546875" style="53" customWidth="1"/>
    <col min="10501" max="10501" width="16" style="53" bestFit="1" customWidth="1"/>
    <col min="10502" max="10502" width="13.7109375" style="53" bestFit="1" customWidth="1"/>
    <col min="10503" max="10503" width="15.7109375" style="53" bestFit="1" customWidth="1"/>
    <col min="10504" max="10504" width="13.140625" style="53" bestFit="1" customWidth="1"/>
    <col min="10505" max="10505" width="11.85546875" style="53" bestFit="1" customWidth="1"/>
    <col min="10506" max="10506" width="12.85546875" style="53" bestFit="1" customWidth="1"/>
    <col min="10507" max="10752" width="9.140625" style="53"/>
    <col min="10753" max="10753" width="9.28515625" style="53" customWidth="1"/>
    <col min="10754" max="10754" width="39.85546875" style="53" customWidth="1"/>
    <col min="10755" max="10755" width="18.28515625" style="53" customWidth="1"/>
    <col min="10756" max="10756" width="23.85546875" style="53" customWidth="1"/>
    <col min="10757" max="10757" width="16" style="53" bestFit="1" customWidth="1"/>
    <col min="10758" max="10758" width="13.7109375" style="53" bestFit="1" customWidth="1"/>
    <col min="10759" max="10759" width="15.7109375" style="53" bestFit="1" customWidth="1"/>
    <col min="10760" max="10760" width="13.140625" style="53" bestFit="1" customWidth="1"/>
    <col min="10761" max="10761" width="11.85546875" style="53" bestFit="1" customWidth="1"/>
    <col min="10762" max="10762" width="12.85546875" style="53" bestFit="1" customWidth="1"/>
    <col min="10763" max="11008" width="9.140625" style="53"/>
    <col min="11009" max="11009" width="9.28515625" style="53" customWidth="1"/>
    <col min="11010" max="11010" width="39.85546875" style="53" customWidth="1"/>
    <col min="11011" max="11011" width="18.28515625" style="53" customWidth="1"/>
    <col min="11012" max="11012" width="23.85546875" style="53" customWidth="1"/>
    <col min="11013" max="11013" width="16" style="53" bestFit="1" customWidth="1"/>
    <col min="11014" max="11014" width="13.7109375" style="53" bestFit="1" customWidth="1"/>
    <col min="11015" max="11015" width="15.7109375" style="53" bestFit="1" customWidth="1"/>
    <col min="11016" max="11016" width="13.140625" style="53" bestFit="1" customWidth="1"/>
    <col min="11017" max="11017" width="11.85546875" style="53" bestFit="1" customWidth="1"/>
    <col min="11018" max="11018" width="12.85546875" style="53" bestFit="1" customWidth="1"/>
    <col min="11019" max="11264" width="9.140625" style="53"/>
    <col min="11265" max="11265" width="9.28515625" style="53" customWidth="1"/>
    <col min="11266" max="11266" width="39.85546875" style="53" customWidth="1"/>
    <col min="11267" max="11267" width="18.28515625" style="53" customWidth="1"/>
    <col min="11268" max="11268" width="23.85546875" style="53" customWidth="1"/>
    <col min="11269" max="11269" width="16" style="53" bestFit="1" customWidth="1"/>
    <col min="11270" max="11270" width="13.7109375" style="53" bestFit="1" customWidth="1"/>
    <col min="11271" max="11271" width="15.7109375" style="53" bestFit="1" customWidth="1"/>
    <col min="11272" max="11272" width="13.140625" style="53" bestFit="1" customWidth="1"/>
    <col min="11273" max="11273" width="11.85546875" style="53" bestFit="1" customWidth="1"/>
    <col min="11274" max="11274" width="12.85546875" style="53" bestFit="1" customWidth="1"/>
    <col min="11275" max="11520" width="9.140625" style="53"/>
    <col min="11521" max="11521" width="9.28515625" style="53" customWidth="1"/>
    <col min="11522" max="11522" width="39.85546875" style="53" customWidth="1"/>
    <col min="11523" max="11523" width="18.28515625" style="53" customWidth="1"/>
    <col min="11524" max="11524" width="23.85546875" style="53" customWidth="1"/>
    <col min="11525" max="11525" width="16" style="53" bestFit="1" customWidth="1"/>
    <col min="11526" max="11526" width="13.7109375" style="53" bestFit="1" customWidth="1"/>
    <col min="11527" max="11527" width="15.7109375" style="53" bestFit="1" customWidth="1"/>
    <col min="11528" max="11528" width="13.140625" style="53" bestFit="1" customWidth="1"/>
    <col min="11529" max="11529" width="11.85546875" style="53" bestFit="1" customWidth="1"/>
    <col min="11530" max="11530" width="12.85546875" style="53" bestFit="1" customWidth="1"/>
    <col min="11531" max="11776" width="9.140625" style="53"/>
    <col min="11777" max="11777" width="9.28515625" style="53" customWidth="1"/>
    <col min="11778" max="11778" width="39.85546875" style="53" customWidth="1"/>
    <col min="11779" max="11779" width="18.28515625" style="53" customWidth="1"/>
    <col min="11780" max="11780" width="23.85546875" style="53" customWidth="1"/>
    <col min="11781" max="11781" width="16" style="53" bestFit="1" customWidth="1"/>
    <col min="11782" max="11782" width="13.7109375" style="53" bestFit="1" customWidth="1"/>
    <col min="11783" max="11783" width="15.7109375" style="53" bestFit="1" customWidth="1"/>
    <col min="11784" max="11784" width="13.140625" style="53" bestFit="1" customWidth="1"/>
    <col min="11785" max="11785" width="11.85546875" style="53" bestFit="1" customWidth="1"/>
    <col min="11786" max="11786" width="12.85546875" style="53" bestFit="1" customWidth="1"/>
    <col min="11787" max="12032" width="9.140625" style="53"/>
    <col min="12033" max="12033" width="9.28515625" style="53" customWidth="1"/>
    <col min="12034" max="12034" width="39.85546875" style="53" customWidth="1"/>
    <col min="12035" max="12035" width="18.28515625" style="53" customWidth="1"/>
    <col min="12036" max="12036" width="23.85546875" style="53" customWidth="1"/>
    <col min="12037" max="12037" width="16" style="53" bestFit="1" customWidth="1"/>
    <col min="12038" max="12038" width="13.7109375" style="53" bestFit="1" customWidth="1"/>
    <col min="12039" max="12039" width="15.7109375" style="53" bestFit="1" customWidth="1"/>
    <col min="12040" max="12040" width="13.140625" style="53" bestFit="1" customWidth="1"/>
    <col min="12041" max="12041" width="11.85546875" style="53" bestFit="1" customWidth="1"/>
    <col min="12042" max="12042" width="12.85546875" style="53" bestFit="1" customWidth="1"/>
    <col min="12043" max="12288" width="9.140625" style="53"/>
    <col min="12289" max="12289" width="9.28515625" style="53" customWidth="1"/>
    <col min="12290" max="12290" width="39.85546875" style="53" customWidth="1"/>
    <col min="12291" max="12291" width="18.28515625" style="53" customWidth="1"/>
    <col min="12292" max="12292" width="23.85546875" style="53" customWidth="1"/>
    <col min="12293" max="12293" width="16" style="53" bestFit="1" customWidth="1"/>
    <col min="12294" max="12294" width="13.7109375" style="53" bestFit="1" customWidth="1"/>
    <col min="12295" max="12295" width="15.7109375" style="53" bestFit="1" customWidth="1"/>
    <col min="12296" max="12296" width="13.140625" style="53" bestFit="1" customWidth="1"/>
    <col min="12297" max="12297" width="11.85546875" style="53" bestFit="1" customWidth="1"/>
    <col min="12298" max="12298" width="12.85546875" style="53" bestFit="1" customWidth="1"/>
    <col min="12299" max="12544" width="9.140625" style="53"/>
    <col min="12545" max="12545" width="9.28515625" style="53" customWidth="1"/>
    <col min="12546" max="12546" width="39.85546875" style="53" customWidth="1"/>
    <col min="12547" max="12547" width="18.28515625" style="53" customWidth="1"/>
    <col min="12548" max="12548" width="23.85546875" style="53" customWidth="1"/>
    <col min="12549" max="12549" width="16" style="53" bestFit="1" customWidth="1"/>
    <col min="12550" max="12550" width="13.7109375" style="53" bestFit="1" customWidth="1"/>
    <col min="12551" max="12551" width="15.7109375" style="53" bestFit="1" customWidth="1"/>
    <col min="12552" max="12552" width="13.140625" style="53" bestFit="1" customWidth="1"/>
    <col min="12553" max="12553" width="11.85546875" style="53" bestFit="1" customWidth="1"/>
    <col min="12554" max="12554" width="12.85546875" style="53" bestFit="1" customWidth="1"/>
    <col min="12555" max="12800" width="9.140625" style="53"/>
    <col min="12801" max="12801" width="9.28515625" style="53" customWidth="1"/>
    <col min="12802" max="12802" width="39.85546875" style="53" customWidth="1"/>
    <col min="12803" max="12803" width="18.28515625" style="53" customWidth="1"/>
    <col min="12804" max="12804" width="23.85546875" style="53" customWidth="1"/>
    <col min="12805" max="12805" width="16" style="53" bestFit="1" customWidth="1"/>
    <col min="12806" max="12806" width="13.7109375" style="53" bestFit="1" customWidth="1"/>
    <col min="12807" max="12807" width="15.7109375" style="53" bestFit="1" customWidth="1"/>
    <col min="12808" max="12808" width="13.140625" style="53" bestFit="1" customWidth="1"/>
    <col min="12809" max="12809" width="11.85546875" style="53" bestFit="1" customWidth="1"/>
    <col min="12810" max="12810" width="12.85546875" style="53" bestFit="1" customWidth="1"/>
    <col min="12811" max="13056" width="9.140625" style="53"/>
    <col min="13057" max="13057" width="9.28515625" style="53" customWidth="1"/>
    <col min="13058" max="13058" width="39.85546875" style="53" customWidth="1"/>
    <col min="13059" max="13059" width="18.28515625" style="53" customWidth="1"/>
    <col min="13060" max="13060" width="23.85546875" style="53" customWidth="1"/>
    <col min="13061" max="13061" width="16" style="53" bestFit="1" customWidth="1"/>
    <col min="13062" max="13062" width="13.7109375" style="53" bestFit="1" customWidth="1"/>
    <col min="13063" max="13063" width="15.7109375" style="53" bestFit="1" customWidth="1"/>
    <col min="13064" max="13064" width="13.140625" style="53" bestFit="1" customWidth="1"/>
    <col min="13065" max="13065" width="11.85546875" style="53" bestFit="1" customWidth="1"/>
    <col min="13066" max="13066" width="12.85546875" style="53" bestFit="1" customWidth="1"/>
    <col min="13067" max="13312" width="9.140625" style="53"/>
    <col min="13313" max="13313" width="9.28515625" style="53" customWidth="1"/>
    <col min="13314" max="13314" width="39.85546875" style="53" customWidth="1"/>
    <col min="13315" max="13315" width="18.28515625" style="53" customWidth="1"/>
    <col min="13316" max="13316" width="23.85546875" style="53" customWidth="1"/>
    <col min="13317" max="13317" width="16" style="53" bestFit="1" customWidth="1"/>
    <col min="13318" max="13318" width="13.7109375" style="53" bestFit="1" customWidth="1"/>
    <col min="13319" max="13319" width="15.7109375" style="53" bestFit="1" customWidth="1"/>
    <col min="13320" max="13320" width="13.140625" style="53" bestFit="1" customWidth="1"/>
    <col min="13321" max="13321" width="11.85546875" style="53" bestFit="1" customWidth="1"/>
    <col min="13322" max="13322" width="12.85546875" style="53" bestFit="1" customWidth="1"/>
    <col min="13323" max="13568" width="9.140625" style="53"/>
    <col min="13569" max="13569" width="9.28515625" style="53" customWidth="1"/>
    <col min="13570" max="13570" width="39.85546875" style="53" customWidth="1"/>
    <col min="13571" max="13571" width="18.28515625" style="53" customWidth="1"/>
    <col min="13572" max="13572" width="23.85546875" style="53" customWidth="1"/>
    <col min="13573" max="13573" width="16" style="53" bestFit="1" customWidth="1"/>
    <col min="13574" max="13574" width="13.7109375" style="53" bestFit="1" customWidth="1"/>
    <col min="13575" max="13575" width="15.7109375" style="53" bestFit="1" customWidth="1"/>
    <col min="13576" max="13576" width="13.140625" style="53" bestFit="1" customWidth="1"/>
    <col min="13577" max="13577" width="11.85546875" style="53" bestFit="1" customWidth="1"/>
    <col min="13578" max="13578" width="12.85546875" style="53" bestFit="1" customWidth="1"/>
    <col min="13579" max="13824" width="9.140625" style="53"/>
    <col min="13825" max="13825" width="9.28515625" style="53" customWidth="1"/>
    <col min="13826" max="13826" width="39.85546875" style="53" customWidth="1"/>
    <col min="13827" max="13827" width="18.28515625" style="53" customWidth="1"/>
    <col min="13828" max="13828" width="23.85546875" style="53" customWidth="1"/>
    <col min="13829" max="13829" width="16" style="53" bestFit="1" customWidth="1"/>
    <col min="13830" max="13830" width="13.7109375" style="53" bestFit="1" customWidth="1"/>
    <col min="13831" max="13831" width="15.7109375" style="53" bestFit="1" customWidth="1"/>
    <col min="13832" max="13832" width="13.140625" style="53" bestFit="1" customWidth="1"/>
    <col min="13833" max="13833" width="11.85546875" style="53" bestFit="1" customWidth="1"/>
    <col min="13834" max="13834" width="12.85546875" style="53" bestFit="1" customWidth="1"/>
    <col min="13835" max="14080" width="9.140625" style="53"/>
    <col min="14081" max="14081" width="9.28515625" style="53" customWidth="1"/>
    <col min="14082" max="14082" width="39.85546875" style="53" customWidth="1"/>
    <col min="14083" max="14083" width="18.28515625" style="53" customWidth="1"/>
    <col min="14084" max="14084" width="23.85546875" style="53" customWidth="1"/>
    <col min="14085" max="14085" width="16" style="53" bestFit="1" customWidth="1"/>
    <col min="14086" max="14086" width="13.7109375" style="53" bestFit="1" customWidth="1"/>
    <col min="14087" max="14087" width="15.7109375" style="53" bestFit="1" customWidth="1"/>
    <col min="14088" max="14088" width="13.140625" style="53" bestFit="1" customWidth="1"/>
    <col min="14089" max="14089" width="11.85546875" style="53" bestFit="1" customWidth="1"/>
    <col min="14090" max="14090" width="12.85546875" style="53" bestFit="1" customWidth="1"/>
    <col min="14091" max="14336" width="9.140625" style="53"/>
    <col min="14337" max="14337" width="9.28515625" style="53" customWidth="1"/>
    <col min="14338" max="14338" width="39.85546875" style="53" customWidth="1"/>
    <col min="14339" max="14339" width="18.28515625" style="53" customWidth="1"/>
    <col min="14340" max="14340" width="23.85546875" style="53" customWidth="1"/>
    <col min="14341" max="14341" width="16" style="53" bestFit="1" customWidth="1"/>
    <col min="14342" max="14342" width="13.7109375" style="53" bestFit="1" customWidth="1"/>
    <col min="14343" max="14343" width="15.7109375" style="53" bestFit="1" customWidth="1"/>
    <col min="14344" max="14344" width="13.140625" style="53" bestFit="1" customWidth="1"/>
    <col min="14345" max="14345" width="11.85546875" style="53" bestFit="1" customWidth="1"/>
    <col min="14346" max="14346" width="12.85546875" style="53" bestFit="1" customWidth="1"/>
    <col min="14347" max="14592" width="9.140625" style="53"/>
    <col min="14593" max="14593" width="9.28515625" style="53" customWidth="1"/>
    <col min="14594" max="14594" width="39.85546875" style="53" customWidth="1"/>
    <col min="14595" max="14595" width="18.28515625" style="53" customWidth="1"/>
    <col min="14596" max="14596" width="23.85546875" style="53" customWidth="1"/>
    <col min="14597" max="14597" width="16" style="53" bestFit="1" customWidth="1"/>
    <col min="14598" max="14598" width="13.7109375" style="53" bestFit="1" customWidth="1"/>
    <col min="14599" max="14599" width="15.7109375" style="53" bestFit="1" customWidth="1"/>
    <col min="14600" max="14600" width="13.140625" style="53" bestFit="1" customWidth="1"/>
    <col min="14601" max="14601" width="11.85546875" style="53" bestFit="1" customWidth="1"/>
    <col min="14602" max="14602" width="12.85546875" style="53" bestFit="1" customWidth="1"/>
    <col min="14603" max="14848" width="9.140625" style="53"/>
    <col min="14849" max="14849" width="9.28515625" style="53" customWidth="1"/>
    <col min="14850" max="14850" width="39.85546875" style="53" customWidth="1"/>
    <col min="14851" max="14851" width="18.28515625" style="53" customWidth="1"/>
    <col min="14852" max="14852" width="23.85546875" style="53" customWidth="1"/>
    <col min="14853" max="14853" width="16" style="53" bestFit="1" customWidth="1"/>
    <col min="14854" max="14854" width="13.7109375" style="53" bestFit="1" customWidth="1"/>
    <col min="14855" max="14855" width="15.7109375" style="53" bestFit="1" customWidth="1"/>
    <col min="14856" max="14856" width="13.140625" style="53" bestFit="1" customWidth="1"/>
    <col min="14857" max="14857" width="11.85546875" style="53" bestFit="1" customWidth="1"/>
    <col min="14858" max="14858" width="12.85546875" style="53" bestFit="1" customWidth="1"/>
    <col min="14859" max="15104" width="9.140625" style="53"/>
    <col min="15105" max="15105" width="9.28515625" style="53" customWidth="1"/>
    <col min="15106" max="15106" width="39.85546875" style="53" customWidth="1"/>
    <col min="15107" max="15107" width="18.28515625" style="53" customWidth="1"/>
    <col min="15108" max="15108" width="23.85546875" style="53" customWidth="1"/>
    <col min="15109" max="15109" width="16" style="53" bestFit="1" customWidth="1"/>
    <col min="15110" max="15110" width="13.7109375" style="53" bestFit="1" customWidth="1"/>
    <col min="15111" max="15111" width="15.7109375" style="53" bestFit="1" customWidth="1"/>
    <col min="15112" max="15112" width="13.140625" style="53" bestFit="1" customWidth="1"/>
    <col min="15113" max="15113" width="11.85546875" style="53" bestFit="1" customWidth="1"/>
    <col min="15114" max="15114" width="12.85546875" style="53" bestFit="1" customWidth="1"/>
    <col min="15115" max="15360" width="9.140625" style="53"/>
    <col min="15361" max="15361" width="9.28515625" style="53" customWidth="1"/>
    <col min="15362" max="15362" width="39.85546875" style="53" customWidth="1"/>
    <col min="15363" max="15363" width="18.28515625" style="53" customWidth="1"/>
    <col min="15364" max="15364" width="23.85546875" style="53" customWidth="1"/>
    <col min="15365" max="15365" width="16" style="53" bestFit="1" customWidth="1"/>
    <col min="15366" max="15366" width="13.7109375" style="53" bestFit="1" customWidth="1"/>
    <col min="15367" max="15367" width="15.7109375" style="53" bestFit="1" customWidth="1"/>
    <col min="15368" max="15368" width="13.140625" style="53" bestFit="1" customWidth="1"/>
    <col min="15369" max="15369" width="11.85546875" style="53" bestFit="1" customWidth="1"/>
    <col min="15370" max="15370" width="12.85546875" style="53" bestFit="1" customWidth="1"/>
    <col min="15371" max="15616" width="9.140625" style="53"/>
    <col min="15617" max="15617" width="9.28515625" style="53" customWidth="1"/>
    <col min="15618" max="15618" width="39.85546875" style="53" customWidth="1"/>
    <col min="15619" max="15619" width="18.28515625" style="53" customWidth="1"/>
    <col min="15620" max="15620" width="23.85546875" style="53" customWidth="1"/>
    <col min="15621" max="15621" width="16" style="53" bestFit="1" customWidth="1"/>
    <col min="15622" max="15622" width="13.7109375" style="53" bestFit="1" customWidth="1"/>
    <col min="15623" max="15623" width="15.7109375" style="53" bestFit="1" customWidth="1"/>
    <col min="15624" max="15624" width="13.140625" style="53" bestFit="1" customWidth="1"/>
    <col min="15625" max="15625" width="11.85546875" style="53" bestFit="1" customWidth="1"/>
    <col min="15626" max="15626" width="12.85546875" style="53" bestFit="1" customWidth="1"/>
    <col min="15627" max="15872" width="9.140625" style="53"/>
    <col min="15873" max="15873" width="9.28515625" style="53" customWidth="1"/>
    <col min="15874" max="15874" width="39.85546875" style="53" customWidth="1"/>
    <col min="15875" max="15875" width="18.28515625" style="53" customWidth="1"/>
    <col min="15876" max="15876" width="23.85546875" style="53" customWidth="1"/>
    <col min="15877" max="15877" width="16" style="53" bestFit="1" customWidth="1"/>
    <col min="15878" max="15878" width="13.7109375" style="53" bestFit="1" customWidth="1"/>
    <col min="15879" max="15879" width="15.7109375" style="53" bestFit="1" customWidth="1"/>
    <col min="15880" max="15880" width="13.140625" style="53" bestFit="1" customWidth="1"/>
    <col min="15881" max="15881" width="11.85546875" style="53" bestFit="1" customWidth="1"/>
    <col min="15882" max="15882" width="12.85546875" style="53" bestFit="1" customWidth="1"/>
    <col min="15883" max="16128" width="9.140625" style="53"/>
    <col min="16129" max="16129" width="9.28515625" style="53" customWidth="1"/>
    <col min="16130" max="16130" width="39.85546875" style="53" customWidth="1"/>
    <col min="16131" max="16131" width="18.28515625" style="53" customWidth="1"/>
    <col min="16132" max="16132" width="23.85546875" style="53" customWidth="1"/>
    <col min="16133" max="16133" width="16" style="53" bestFit="1" customWidth="1"/>
    <col min="16134" max="16134" width="13.7109375" style="53" bestFit="1" customWidth="1"/>
    <col min="16135" max="16135" width="15.7109375" style="53" bestFit="1" customWidth="1"/>
    <col min="16136" max="16136" width="13.140625" style="53" bestFit="1" customWidth="1"/>
    <col min="16137" max="16137" width="11.85546875" style="53" bestFit="1" customWidth="1"/>
    <col min="16138" max="16138" width="12.85546875" style="53" bestFit="1" customWidth="1"/>
    <col min="16139" max="16384" width="9.140625" style="53"/>
  </cols>
  <sheetData>
    <row r="3" spans="1:7" ht="15.75" customHeight="1">
      <c r="A3" s="543" t="s">
        <v>255</v>
      </c>
      <c r="B3" s="543"/>
      <c r="C3" s="543"/>
      <c r="D3" s="543"/>
      <c r="E3" s="52"/>
      <c r="F3" s="52"/>
      <c r="G3" s="52"/>
    </row>
    <row r="4" spans="1:7">
      <c r="A4" s="543"/>
      <c r="B4" s="543"/>
      <c r="C4" s="543"/>
      <c r="D4" s="543"/>
      <c r="E4" s="52"/>
      <c r="F4" s="52"/>
      <c r="G4" s="52"/>
    </row>
    <row r="5" spans="1:7">
      <c r="A5" s="54"/>
      <c r="B5" s="52"/>
      <c r="C5" s="52"/>
      <c r="D5" s="52"/>
      <c r="E5" s="52"/>
      <c r="F5" s="52"/>
      <c r="G5" s="52"/>
    </row>
    <row r="6" spans="1:7" ht="15.75" customHeight="1">
      <c r="A6" s="544" t="s">
        <v>550</v>
      </c>
      <c r="B6" s="544"/>
      <c r="C6" s="544"/>
      <c r="D6" s="544"/>
      <c r="E6" s="52"/>
      <c r="F6" s="52"/>
      <c r="G6" s="52"/>
    </row>
    <row r="7" spans="1:7">
      <c r="A7" s="522"/>
      <c r="B7" s="522"/>
      <c r="C7" s="522"/>
      <c r="D7" s="522"/>
    </row>
    <row r="8" spans="1:7">
      <c r="A8" s="237" t="s">
        <v>551</v>
      </c>
      <c r="B8" s="238"/>
      <c r="C8" s="187"/>
      <c r="D8" s="187"/>
    </row>
    <row r="9" spans="1:7">
      <c r="A9" s="522"/>
      <c r="B9" s="522"/>
      <c r="C9" s="522"/>
      <c r="D9" s="522"/>
    </row>
    <row r="10" spans="1:7">
      <c r="A10" s="57" t="s">
        <v>256</v>
      </c>
      <c r="B10" s="188"/>
      <c r="C10" s="187"/>
      <c r="D10" s="187"/>
    </row>
    <row r="11" spans="1:7">
      <c r="A11" s="59" t="s">
        <v>257</v>
      </c>
      <c r="B11" s="541" t="s">
        <v>258</v>
      </c>
      <c r="C11" s="542"/>
      <c r="D11" s="239">
        <v>42550</v>
      </c>
    </row>
    <row r="12" spans="1:7">
      <c r="A12" s="59" t="s">
        <v>259</v>
      </c>
      <c r="B12" s="62" t="s">
        <v>260</v>
      </c>
      <c r="C12" s="63"/>
      <c r="D12" s="240" t="s">
        <v>374</v>
      </c>
    </row>
    <row r="13" spans="1:7">
      <c r="A13" s="59" t="s">
        <v>261</v>
      </c>
      <c r="B13" s="541" t="s">
        <v>262</v>
      </c>
      <c r="C13" s="542"/>
      <c r="D13" s="240">
        <v>2016</v>
      </c>
    </row>
    <row r="14" spans="1:7">
      <c r="A14" s="64" t="s">
        <v>263</v>
      </c>
      <c r="B14" s="65" t="s">
        <v>555</v>
      </c>
      <c r="C14" s="66"/>
      <c r="D14" s="239">
        <v>42625</v>
      </c>
    </row>
    <row r="16" spans="1:7">
      <c r="A16" s="190"/>
    </row>
    <row r="17" spans="1:7">
      <c r="A17" s="523"/>
      <c r="B17" s="523"/>
      <c r="C17" s="523"/>
      <c r="D17" s="523"/>
      <c r="E17" s="523"/>
      <c r="F17" s="523"/>
      <c r="G17" s="523"/>
    </row>
    <row r="18" spans="1:7" ht="35.25" customHeight="1">
      <c r="A18" s="545" t="s">
        <v>264</v>
      </c>
      <c r="B18" s="545"/>
      <c r="C18" s="67" t="s">
        <v>265</v>
      </c>
      <c r="D18" s="67" t="s">
        <v>266</v>
      </c>
    </row>
    <row r="19" spans="1:7">
      <c r="A19" s="241">
        <v>1</v>
      </c>
      <c r="B19" s="242" t="s">
        <v>1</v>
      </c>
      <c r="C19" s="241" t="s">
        <v>267</v>
      </c>
      <c r="D19" s="243">
        <v>6</v>
      </c>
    </row>
    <row r="20" spans="1:7">
      <c r="A20" s="68"/>
      <c r="B20" s="69"/>
      <c r="C20" s="68"/>
      <c r="D20" s="70"/>
    </row>
    <row r="21" spans="1:7">
      <c r="A21" s="522" t="s">
        <v>268</v>
      </c>
      <c r="B21" s="522"/>
      <c r="C21" s="522"/>
      <c r="D21" s="522"/>
      <c r="E21" s="522"/>
      <c r="F21" s="522"/>
      <c r="G21" s="522"/>
    </row>
    <row r="22" spans="1:7">
      <c r="A22" s="71"/>
    </row>
    <row r="23" spans="1:7">
      <c r="A23" s="57" t="s">
        <v>269</v>
      </c>
    </row>
    <row r="24" spans="1:7">
      <c r="A24" s="57" t="s">
        <v>270</v>
      </c>
    </row>
    <row r="25" spans="1:7">
      <c r="A25" s="72" t="s">
        <v>271</v>
      </c>
      <c r="B25" s="60"/>
      <c r="C25" s="60"/>
      <c r="D25" s="61"/>
    </row>
    <row r="26" spans="1:7">
      <c r="A26" s="73">
        <v>1</v>
      </c>
      <c r="B26" s="74" t="s">
        <v>272</v>
      </c>
      <c r="C26" s="74"/>
      <c r="D26" s="244" t="str">
        <f>B19</f>
        <v>Recepcionista</v>
      </c>
    </row>
    <row r="27" spans="1:7" ht="30.75" customHeight="1">
      <c r="A27" s="73">
        <v>2</v>
      </c>
      <c r="B27" s="539" t="s">
        <v>273</v>
      </c>
      <c r="C27" s="540"/>
      <c r="D27" s="175">
        <v>1249</v>
      </c>
    </row>
    <row r="28" spans="1:7" ht="31.5" customHeight="1">
      <c r="A28" s="73">
        <v>3</v>
      </c>
      <c r="B28" s="539" t="s">
        <v>274</v>
      </c>
      <c r="C28" s="540"/>
      <c r="D28" s="176" t="s">
        <v>375</v>
      </c>
    </row>
    <row r="29" spans="1:7">
      <c r="A29" s="75">
        <v>4</v>
      </c>
      <c r="B29" s="76" t="s">
        <v>275</v>
      </c>
      <c r="C29" s="76"/>
      <c r="D29" s="77">
        <v>42401</v>
      </c>
    </row>
    <row r="30" spans="1:7">
      <c r="A30" s="71"/>
    </row>
    <row r="31" spans="1:7">
      <c r="A31" s="71"/>
    </row>
    <row r="32" spans="1:7">
      <c r="A32" s="71"/>
    </row>
    <row r="33" spans="1:7" ht="16.5" customHeight="1" thickBot="1">
      <c r="A33" s="523" t="s">
        <v>276</v>
      </c>
      <c r="B33" s="523"/>
      <c r="C33" s="523"/>
      <c r="D33" s="523"/>
      <c r="E33" s="523"/>
      <c r="F33" s="52"/>
      <c r="G33" s="52"/>
    </row>
    <row r="34" spans="1:7" ht="16.5" thickBot="1">
      <c r="A34" s="78" t="s">
        <v>277</v>
      </c>
      <c r="B34" s="79" t="s">
        <v>278</v>
      </c>
      <c r="C34" s="80"/>
      <c r="D34" s="81" t="s">
        <v>279</v>
      </c>
    </row>
    <row r="35" spans="1:7">
      <c r="A35" s="82" t="s">
        <v>257</v>
      </c>
      <c r="B35" s="83" t="s">
        <v>280</v>
      </c>
      <c r="C35" s="84"/>
      <c r="D35" s="85">
        <f>ROUND(((D27/220)*(365.25/12)*(40/6)),2)</f>
        <v>1152.01</v>
      </c>
    </row>
    <row r="36" spans="1:7">
      <c r="A36" s="191" t="s">
        <v>259</v>
      </c>
      <c r="B36" s="87" t="s">
        <v>281</v>
      </c>
      <c r="C36" s="88"/>
      <c r="D36" s="89">
        <v>0</v>
      </c>
    </row>
    <row r="37" spans="1:7">
      <c r="A37" s="191" t="s">
        <v>261</v>
      </c>
      <c r="B37" s="87" t="s">
        <v>282</v>
      </c>
      <c r="C37" s="90"/>
      <c r="D37" s="89">
        <v>0</v>
      </c>
    </row>
    <row r="38" spans="1:7">
      <c r="A38" s="191" t="s">
        <v>263</v>
      </c>
      <c r="B38" s="91" t="s">
        <v>552</v>
      </c>
      <c r="C38" s="88"/>
      <c r="D38" s="89">
        <v>21.68</v>
      </c>
    </row>
    <row r="39" spans="1:7">
      <c r="A39" s="191" t="s">
        <v>284</v>
      </c>
      <c r="B39" s="91" t="s">
        <v>285</v>
      </c>
      <c r="C39" s="92"/>
      <c r="D39" s="89">
        <v>0</v>
      </c>
    </row>
    <row r="40" spans="1:7">
      <c r="A40" s="191" t="s">
        <v>286</v>
      </c>
      <c r="B40" s="93" t="s">
        <v>287</v>
      </c>
      <c r="C40" s="92"/>
      <c r="D40" s="89">
        <v>0</v>
      </c>
    </row>
    <row r="41" spans="1:7">
      <c r="A41" s="191" t="s">
        <v>288</v>
      </c>
      <c r="B41" s="93" t="s">
        <v>289</v>
      </c>
      <c r="C41" s="92"/>
      <c r="D41" s="89">
        <v>0</v>
      </c>
    </row>
    <row r="42" spans="1:7" ht="16.5" thickBot="1">
      <c r="A42" s="191" t="s">
        <v>290</v>
      </c>
      <c r="B42" s="94" t="s">
        <v>376</v>
      </c>
      <c r="C42" s="95"/>
      <c r="D42" s="89">
        <v>0</v>
      </c>
    </row>
    <row r="43" spans="1:7" ht="16.5" thickBot="1">
      <c r="A43" s="96"/>
      <c r="B43" s="97" t="s">
        <v>292</v>
      </c>
      <c r="C43" s="98"/>
      <c r="D43" s="99">
        <f>SUM(D35:D42)</f>
        <v>1173.69</v>
      </c>
    </row>
    <row r="44" spans="1:7">
      <c r="A44" s="190"/>
    </row>
    <row r="45" spans="1:7" ht="16.5" thickBot="1">
      <c r="A45" s="523" t="s">
        <v>293</v>
      </c>
      <c r="B45" s="523"/>
      <c r="C45" s="523"/>
      <c r="D45" s="523"/>
      <c r="E45" s="523"/>
      <c r="F45" s="523"/>
      <c r="G45" s="523"/>
    </row>
    <row r="46" spans="1:7" ht="16.5" thickBot="1">
      <c r="A46" s="100">
        <v>2</v>
      </c>
      <c r="B46" s="189" t="s">
        <v>294</v>
      </c>
      <c r="C46" s="102"/>
      <c r="D46" s="100" t="s">
        <v>279</v>
      </c>
    </row>
    <row r="47" spans="1:7">
      <c r="A47" s="82" t="s">
        <v>257</v>
      </c>
      <c r="B47" s="83" t="s">
        <v>295</v>
      </c>
      <c r="C47" s="103"/>
      <c r="D47" s="104">
        <f>(3.7*44)-(D35*6%)</f>
        <v>93.679400000000015</v>
      </c>
    </row>
    <row r="48" spans="1:7" ht="31.5">
      <c r="A48" s="105" t="s">
        <v>259</v>
      </c>
      <c r="B48" s="106" t="s">
        <v>296</v>
      </c>
      <c r="C48" s="90"/>
      <c r="D48" s="107">
        <f>330*(1-20%)</f>
        <v>264</v>
      </c>
    </row>
    <row r="49" spans="1:7">
      <c r="A49" s="191" t="s">
        <v>261</v>
      </c>
      <c r="B49" s="87" t="s">
        <v>389</v>
      </c>
      <c r="C49" s="90"/>
      <c r="D49" s="107">
        <v>50</v>
      </c>
    </row>
    <row r="50" spans="1:7">
      <c r="A50" s="191" t="s">
        <v>263</v>
      </c>
      <c r="B50" s="87" t="s">
        <v>297</v>
      </c>
      <c r="C50" s="88"/>
      <c r="D50" s="107">
        <v>0</v>
      </c>
    </row>
    <row r="51" spans="1:7">
      <c r="A51" s="191" t="s">
        <v>284</v>
      </c>
      <c r="B51" s="87" t="s">
        <v>390</v>
      </c>
      <c r="C51" s="92"/>
      <c r="D51" s="108">
        <v>16</v>
      </c>
    </row>
    <row r="52" spans="1:7" ht="16.5" customHeight="1">
      <c r="A52" s="191" t="s">
        <v>286</v>
      </c>
      <c r="B52" s="535" t="s">
        <v>377</v>
      </c>
      <c r="C52" s="536"/>
      <c r="D52" s="108">
        <v>16</v>
      </c>
    </row>
    <row r="53" spans="1:7" ht="16.5" thickBot="1">
      <c r="A53" s="109" t="s">
        <v>288</v>
      </c>
      <c r="B53" s="537" t="s">
        <v>291</v>
      </c>
      <c r="C53" s="538"/>
      <c r="D53" s="110">
        <v>0</v>
      </c>
    </row>
    <row r="54" spans="1:7" ht="16.5" thickBot="1">
      <c r="A54" s="111"/>
      <c r="B54" s="189" t="s">
        <v>298</v>
      </c>
      <c r="C54" s="112"/>
      <c r="D54" s="113">
        <f>SUM(D47:D53)</f>
        <v>439.67939999999999</v>
      </c>
    </row>
    <row r="55" spans="1:7" ht="33" customHeight="1">
      <c r="A55" s="522" t="s">
        <v>299</v>
      </c>
      <c r="B55" s="522"/>
      <c r="C55" s="522"/>
      <c r="D55" s="522"/>
    </row>
    <row r="56" spans="1:7">
      <c r="A56" s="190"/>
    </row>
    <row r="57" spans="1:7" ht="16.5" thickBot="1">
      <c r="A57" s="523" t="s">
        <v>300</v>
      </c>
      <c r="B57" s="523"/>
      <c r="C57" s="523"/>
      <c r="D57" s="523"/>
      <c r="E57" s="523"/>
      <c r="F57" s="523"/>
      <c r="G57" s="523"/>
    </row>
    <row r="58" spans="1:7" ht="16.5" thickBot="1">
      <c r="A58" s="114">
        <v>3</v>
      </c>
      <c r="B58" s="189" t="s">
        <v>301</v>
      </c>
      <c r="C58" s="102"/>
      <c r="D58" s="100" t="s">
        <v>279</v>
      </c>
    </row>
    <row r="59" spans="1:7">
      <c r="A59" s="82" t="s">
        <v>257</v>
      </c>
      <c r="B59" s="83" t="s">
        <v>302</v>
      </c>
      <c r="C59" s="115"/>
      <c r="D59" s="116">
        <f>'ANEXO IV'!D19</f>
        <v>41.166666666666664</v>
      </c>
    </row>
    <row r="60" spans="1:7">
      <c r="A60" s="105" t="s">
        <v>259</v>
      </c>
      <c r="B60" s="106" t="s">
        <v>15</v>
      </c>
      <c r="C60" s="90"/>
      <c r="D60" s="107">
        <v>0</v>
      </c>
    </row>
    <row r="61" spans="1:7">
      <c r="A61" s="191" t="s">
        <v>261</v>
      </c>
      <c r="B61" s="87" t="s">
        <v>21</v>
      </c>
      <c r="C61" s="90"/>
      <c r="D61" s="107">
        <v>0</v>
      </c>
    </row>
    <row r="62" spans="1:7">
      <c r="A62" s="191" t="s">
        <v>263</v>
      </c>
      <c r="B62" s="535" t="s">
        <v>18</v>
      </c>
      <c r="C62" s="536"/>
      <c r="D62" s="108">
        <v>0</v>
      </c>
    </row>
    <row r="63" spans="1:7" ht="16.5" thickBot="1">
      <c r="A63" s="109" t="s">
        <v>284</v>
      </c>
      <c r="B63" s="537" t="s">
        <v>291</v>
      </c>
      <c r="C63" s="538"/>
      <c r="D63" s="110">
        <v>0</v>
      </c>
    </row>
    <row r="64" spans="1:7" ht="16.5" thickBot="1">
      <c r="A64" s="111"/>
      <c r="B64" s="189" t="s">
        <v>303</v>
      </c>
      <c r="C64" s="112"/>
      <c r="D64" s="113">
        <f>SUM(D59:D63)</f>
        <v>41.166666666666664</v>
      </c>
    </row>
    <row r="65" spans="1:7">
      <c r="A65" s="522" t="s">
        <v>304</v>
      </c>
      <c r="B65" s="522"/>
      <c r="C65" s="522"/>
      <c r="D65" s="522"/>
      <c r="E65" s="522"/>
      <c r="F65" s="522"/>
      <c r="G65" s="522"/>
    </row>
    <row r="66" spans="1:7">
      <c r="A66" s="190"/>
    </row>
    <row r="67" spans="1:7">
      <c r="A67" s="523" t="s">
        <v>305</v>
      </c>
      <c r="B67" s="523"/>
      <c r="C67" s="523"/>
      <c r="D67" s="523"/>
      <c r="E67" s="523"/>
      <c r="F67" s="523"/>
      <c r="G67" s="523"/>
    </row>
    <row r="68" spans="1:7" ht="16.5" thickBot="1">
      <c r="A68" s="523" t="s">
        <v>306</v>
      </c>
      <c r="B68" s="523"/>
      <c r="C68" s="523"/>
      <c r="D68" s="523"/>
      <c r="E68" s="523"/>
      <c r="F68" s="523"/>
      <c r="G68" s="523"/>
    </row>
    <row r="69" spans="1:7" ht="16.5" thickBot="1">
      <c r="A69" s="117" t="s">
        <v>307</v>
      </c>
      <c r="B69" s="118" t="s">
        <v>308</v>
      </c>
      <c r="C69" s="117" t="s">
        <v>4</v>
      </c>
      <c r="D69" s="117" t="s">
        <v>279</v>
      </c>
    </row>
    <row r="70" spans="1:7">
      <c r="A70" s="82" t="s">
        <v>257</v>
      </c>
      <c r="B70" s="119" t="s">
        <v>8</v>
      </c>
      <c r="C70" s="120">
        <v>0.2</v>
      </c>
      <c r="D70" s="104">
        <f t="shared" ref="D70:D77" si="0">ROUND($D$43*C70,2)</f>
        <v>234.74</v>
      </c>
    </row>
    <row r="71" spans="1:7">
      <c r="A71" s="105" t="s">
        <v>259</v>
      </c>
      <c r="B71" s="121" t="s">
        <v>309</v>
      </c>
      <c r="C71" s="122">
        <v>1.4999999999999999E-2</v>
      </c>
      <c r="D71" s="107">
        <f t="shared" si="0"/>
        <v>17.61</v>
      </c>
    </row>
    <row r="72" spans="1:7">
      <c r="A72" s="191" t="s">
        <v>261</v>
      </c>
      <c r="B72" s="123" t="s">
        <v>310</v>
      </c>
      <c r="C72" s="122">
        <v>0.01</v>
      </c>
      <c r="D72" s="107">
        <f t="shared" si="0"/>
        <v>11.74</v>
      </c>
    </row>
    <row r="73" spans="1:7">
      <c r="A73" s="105" t="s">
        <v>263</v>
      </c>
      <c r="B73" s="121" t="s">
        <v>9</v>
      </c>
      <c r="C73" s="122">
        <v>2E-3</v>
      </c>
      <c r="D73" s="107">
        <f t="shared" si="0"/>
        <v>2.35</v>
      </c>
    </row>
    <row r="74" spans="1:7">
      <c r="A74" s="191" t="s">
        <v>284</v>
      </c>
      <c r="B74" s="123" t="s">
        <v>10</v>
      </c>
      <c r="C74" s="122">
        <v>2.5000000000000001E-2</v>
      </c>
      <c r="D74" s="107">
        <f t="shared" si="0"/>
        <v>29.34</v>
      </c>
    </row>
    <row r="75" spans="1:7">
      <c r="A75" s="105" t="s">
        <v>286</v>
      </c>
      <c r="B75" s="121" t="s">
        <v>11</v>
      </c>
      <c r="C75" s="122">
        <v>0.08</v>
      </c>
      <c r="D75" s="107">
        <f t="shared" si="0"/>
        <v>93.9</v>
      </c>
    </row>
    <row r="76" spans="1:7" ht="31.5">
      <c r="A76" s="191" t="s">
        <v>288</v>
      </c>
      <c r="B76" s="123" t="s">
        <v>378</v>
      </c>
      <c r="C76" s="141">
        <v>3.0499999999999999E-2</v>
      </c>
      <c r="D76" s="245">
        <f t="shared" si="0"/>
        <v>35.799999999999997</v>
      </c>
    </row>
    <row r="77" spans="1:7" ht="16.5" thickBot="1">
      <c r="A77" s="124" t="s">
        <v>290</v>
      </c>
      <c r="B77" s="125" t="s">
        <v>12</v>
      </c>
      <c r="C77" s="126">
        <v>6.0000000000000001E-3</v>
      </c>
      <c r="D77" s="110">
        <f t="shared" si="0"/>
        <v>7.04</v>
      </c>
    </row>
    <row r="78" spans="1:7" ht="16.5" thickBot="1">
      <c r="A78" s="530" t="s">
        <v>7</v>
      </c>
      <c r="B78" s="531"/>
      <c r="C78" s="127">
        <f>SUM(C70:C77)</f>
        <v>0.36850000000000005</v>
      </c>
      <c r="D78" s="113">
        <f>SUM(D70:D77)</f>
        <v>432.5200000000001</v>
      </c>
    </row>
    <row r="79" spans="1:7">
      <c r="A79" s="534" t="s">
        <v>311</v>
      </c>
      <c r="B79" s="534"/>
      <c r="C79" s="534"/>
      <c r="D79" s="534"/>
    </row>
    <row r="80" spans="1:7" ht="16.5" customHeight="1">
      <c r="A80" s="534" t="s">
        <v>312</v>
      </c>
      <c r="B80" s="534"/>
      <c r="C80" s="534"/>
      <c r="D80" s="534"/>
    </row>
    <row r="81" spans="1:7">
      <c r="A81" s="190"/>
    </row>
    <row r="82" spans="1:7" ht="16.5" thickBot="1">
      <c r="A82" s="523" t="s">
        <v>313</v>
      </c>
      <c r="B82" s="523"/>
      <c r="C82" s="523"/>
      <c r="D82" s="523"/>
      <c r="E82" s="523"/>
      <c r="F82" s="523"/>
      <c r="G82" s="523"/>
    </row>
    <row r="83" spans="1:7" ht="16.5" thickBot="1">
      <c r="A83" s="117" t="s">
        <v>314</v>
      </c>
      <c r="B83" s="118" t="s">
        <v>315</v>
      </c>
      <c r="C83" s="117" t="s">
        <v>4</v>
      </c>
      <c r="D83" s="117" t="s">
        <v>279</v>
      </c>
    </row>
    <row r="84" spans="1:7">
      <c r="A84" s="82" t="s">
        <v>257</v>
      </c>
      <c r="B84" s="119" t="s">
        <v>316</v>
      </c>
      <c r="C84" s="120">
        <f>((5/56)*100)/100</f>
        <v>8.9285714285714288E-2</v>
      </c>
      <c r="D84" s="104">
        <f>ROUND($D$43*C84,2)</f>
        <v>104.79</v>
      </c>
    </row>
    <row r="85" spans="1:7">
      <c r="A85" s="105" t="s">
        <v>259</v>
      </c>
      <c r="B85" s="121" t="s">
        <v>317</v>
      </c>
      <c r="C85" s="128">
        <f>(1/3)*(5/56)</f>
        <v>2.976190476190476E-2</v>
      </c>
      <c r="D85" s="129">
        <f>ROUND($D$43*C85,2)</f>
        <v>34.93</v>
      </c>
    </row>
    <row r="86" spans="1:7">
      <c r="A86" s="130" t="s">
        <v>318</v>
      </c>
      <c r="B86" s="121"/>
      <c r="C86" s="131">
        <f>SUM(C84:C85)</f>
        <v>0.11904761904761904</v>
      </c>
      <c r="D86" s="132">
        <f>SUM(D84:D85)</f>
        <v>139.72</v>
      </c>
    </row>
    <row r="87" spans="1:7" ht="32.25" thickBot="1">
      <c r="A87" s="105" t="s">
        <v>261</v>
      </c>
      <c r="B87" s="121" t="s">
        <v>319</v>
      </c>
      <c r="C87" s="122">
        <f>D87/D43</f>
        <v>4.3870187187417461E-2</v>
      </c>
      <c r="D87" s="107">
        <f>ROUND(D78*C86,2)</f>
        <v>51.49</v>
      </c>
    </row>
    <row r="88" spans="1:7" ht="16.5" thickBot="1">
      <c r="A88" s="530" t="s">
        <v>7</v>
      </c>
      <c r="B88" s="531"/>
      <c r="C88" s="127">
        <f>C87+C86</f>
        <v>0.16291780623503649</v>
      </c>
      <c r="D88" s="113">
        <f>D86+D87</f>
        <v>191.21</v>
      </c>
    </row>
    <row r="89" spans="1:7">
      <c r="A89" s="190"/>
    </row>
    <row r="90" spans="1:7" ht="16.5" thickBot="1">
      <c r="A90" s="523" t="s">
        <v>320</v>
      </c>
      <c r="B90" s="523"/>
      <c r="C90" s="523"/>
      <c r="D90" s="523"/>
      <c r="E90" s="523"/>
      <c r="F90" s="523"/>
      <c r="G90" s="523"/>
    </row>
    <row r="91" spans="1:7" ht="16.5" thickBot="1">
      <c r="A91" s="117" t="s">
        <v>321</v>
      </c>
      <c r="B91" s="118" t="s">
        <v>322</v>
      </c>
      <c r="C91" s="117" t="s">
        <v>4</v>
      </c>
      <c r="D91" s="117" t="s">
        <v>279</v>
      </c>
    </row>
    <row r="92" spans="1:7">
      <c r="A92" s="82" t="s">
        <v>257</v>
      </c>
      <c r="B92" s="133" t="s">
        <v>323</v>
      </c>
      <c r="C92" s="120">
        <f>0.1111*0.02*0.3333</f>
        <v>7.4059259999999997E-4</v>
      </c>
      <c r="D92" s="104">
        <f>ROUND($D$43*C92,2)</f>
        <v>0.87</v>
      </c>
    </row>
    <row r="93" spans="1:7" ht="32.25" thickBot="1">
      <c r="A93" s="109" t="s">
        <v>259</v>
      </c>
      <c r="B93" s="134" t="s">
        <v>324</v>
      </c>
      <c r="C93" s="126">
        <f>D93/D43</f>
        <v>2.7264439502764785E-4</v>
      </c>
      <c r="D93" s="110">
        <f>ROUND(D78*C92,2)</f>
        <v>0.32</v>
      </c>
    </row>
    <row r="94" spans="1:7" ht="16.5" thickBot="1">
      <c r="A94" s="530" t="s">
        <v>7</v>
      </c>
      <c r="B94" s="531"/>
      <c r="C94" s="127">
        <f>SUM(C92:C93)</f>
        <v>1.0132369950276478E-3</v>
      </c>
      <c r="D94" s="113">
        <f>SUM(D92:D93)</f>
        <v>1.19</v>
      </c>
    </row>
    <row r="95" spans="1:7">
      <c r="A95" s="190"/>
    </row>
    <row r="96" spans="1:7">
      <c r="A96" s="190"/>
    </row>
    <row r="97" spans="1:7" ht="16.5" thickBot="1">
      <c r="A97" s="523" t="s">
        <v>325</v>
      </c>
      <c r="B97" s="523"/>
      <c r="C97" s="523"/>
      <c r="D97" s="523"/>
      <c r="E97" s="523"/>
      <c r="F97" s="523"/>
      <c r="G97" s="523"/>
    </row>
    <row r="98" spans="1:7" ht="16.5" thickBot="1">
      <c r="A98" s="117" t="s">
        <v>326</v>
      </c>
      <c r="B98" s="118" t="s">
        <v>327</v>
      </c>
      <c r="C98" s="117" t="s">
        <v>4</v>
      </c>
      <c r="D98" s="117" t="s">
        <v>279</v>
      </c>
    </row>
    <row r="99" spans="1:7">
      <c r="A99" s="82" t="s">
        <v>257</v>
      </c>
      <c r="B99" s="133" t="s">
        <v>328</v>
      </c>
      <c r="C99" s="135">
        <f>((1/12)*0.05)</f>
        <v>4.1666666666666666E-3</v>
      </c>
      <c r="D99" s="104">
        <f>ROUND($D$43*C99,2)</f>
        <v>4.8899999999999997</v>
      </c>
    </row>
    <row r="100" spans="1:7" ht="31.5">
      <c r="A100" s="191" t="s">
        <v>259</v>
      </c>
      <c r="B100" s="91" t="s">
        <v>329</v>
      </c>
      <c r="C100" s="136">
        <f>D100/D43</f>
        <v>3.3228535643994579E-4</v>
      </c>
      <c r="D100" s="137">
        <f>ROUND(D75*C99,2)</f>
        <v>0.39</v>
      </c>
    </row>
    <row r="101" spans="1:7">
      <c r="A101" s="191" t="s">
        <v>261</v>
      </c>
      <c r="B101" s="138" t="s">
        <v>330</v>
      </c>
      <c r="C101" s="139">
        <f>0.08*0.5*0.9*(1+(5/56)+(5/56)+(1/3)*(5/56))</f>
        <v>4.3499999999999997E-2</v>
      </c>
      <c r="D101" s="107">
        <f>ROUND($D$43*C101,2)</f>
        <v>51.06</v>
      </c>
    </row>
    <row r="102" spans="1:7">
      <c r="A102" s="191" t="s">
        <v>263</v>
      </c>
      <c r="B102" s="138" t="s">
        <v>331</v>
      </c>
      <c r="C102" s="140">
        <f>(((7/30)/12))</f>
        <v>1.9444444444444445E-2</v>
      </c>
      <c r="D102" s="107">
        <f>ROUND($D$43*C102,2)</f>
        <v>22.82</v>
      </c>
    </row>
    <row r="103" spans="1:7" ht="31.5">
      <c r="A103" s="191" t="s">
        <v>284</v>
      </c>
      <c r="B103" s="138" t="s">
        <v>332</v>
      </c>
      <c r="C103" s="141">
        <f>D103/D43</f>
        <v>7.1654355068203699E-3</v>
      </c>
      <c r="D103" s="107">
        <f>ROUND(D78*C102,2)</f>
        <v>8.41</v>
      </c>
    </row>
    <row r="104" spans="1:7" ht="16.5" thickBot="1">
      <c r="A104" s="109" t="s">
        <v>286</v>
      </c>
      <c r="B104" s="134" t="s">
        <v>333</v>
      </c>
      <c r="C104" s="142">
        <f>(40%+10%)*C75*C102</f>
        <v>7.7777777777777784E-4</v>
      </c>
      <c r="D104" s="107">
        <f>ROUND($D$43*C104,2)</f>
        <v>0.91</v>
      </c>
    </row>
    <row r="105" spans="1:7" ht="16.5" thickBot="1">
      <c r="A105" s="525" t="s">
        <v>7</v>
      </c>
      <c r="B105" s="526"/>
      <c r="C105" s="127">
        <f>SUM(C99:C104)</f>
        <v>7.5386609752149211E-2</v>
      </c>
      <c r="D105" s="143">
        <f>SUM(D99:D104)</f>
        <v>88.47999999999999</v>
      </c>
    </row>
    <row r="106" spans="1:7">
      <c r="A106" s="71"/>
    </row>
    <row r="107" spans="1:7" ht="16.5" thickBot="1">
      <c r="A107" s="523" t="s">
        <v>334</v>
      </c>
      <c r="B107" s="523"/>
      <c r="C107" s="523"/>
      <c r="D107" s="523"/>
      <c r="E107" s="523"/>
      <c r="F107" s="523"/>
      <c r="G107" s="523"/>
    </row>
    <row r="108" spans="1:7" ht="32.25" thickBot="1">
      <c r="A108" s="117" t="s">
        <v>335</v>
      </c>
      <c r="B108" s="118" t="s">
        <v>336</v>
      </c>
      <c r="C108" s="117" t="s">
        <v>4</v>
      </c>
      <c r="D108" s="117" t="s">
        <v>279</v>
      </c>
    </row>
    <row r="109" spans="1:7">
      <c r="A109" s="82" t="s">
        <v>257</v>
      </c>
      <c r="B109" s="133" t="s">
        <v>13</v>
      </c>
      <c r="C109" s="144">
        <f>(5/56)</f>
        <v>8.9285714285714288E-2</v>
      </c>
      <c r="D109" s="107">
        <f t="shared" ref="D109:D114" si="1">ROUND($D$43*C109,2)</f>
        <v>104.79</v>
      </c>
    </row>
    <row r="110" spans="1:7">
      <c r="A110" s="191" t="s">
        <v>259</v>
      </c>
      <c r="B110" s="138" t="s">
        <v>379</v>
      </c>
      <c r="C110" s="122">
        <f>(10.96/30)/12</f>
        <v>3.0444444444444444E-2</v>
      </c>
      <c r="D110" s="107">
        <f t="shared" si="1"/>
        <v>35.729999999999997</v>
      </c>
      <c r="E110" s="184"/>
    </row>
    <row r="111" spans="1:7">
      <c r="A111" s="191" t="s">
        <v>261</v>
      </c>
      <c r="B111" s="138" t="s">
        <v>337</v>
      </c>
      <c r="C111" s="122">
        <f>((5/30)/12)*0.015</f>
        <v>2.0833333333333332E-4</v>
      </c>
      <c r="D111" s="107">
        <f t="shared" si="1"/>
        <v>0.24</v>
      </c>
    </row>
    <row r="112" spans="1:7">
      <c r="A112" s="191" t="s">
        <v>263</v>
      </c>
      <c r="B112" s="138" t="s">
        <v>338</v>
      </c>
      <c r="C112" s="122">
        <f>((1/30)/12)</f>
        <v>2.7777777777777779E-3</v>
      </c>
      <c r="D112" s="107">
        <f t="shared" si="1"/>
        <v>3.26</v>
      </c>
    </row>
    <row r="113" spans="1:7">
      <c r="A113" s="191" t="s">
        <v>284</v>
      </c>
      <c r="B113" s="138" t="s">
        <v>339</v>
      </c>
      <c r="C113" s="122">
        <f>((15/30)/12)*0.0078</f>
        <v>3.2499999999999999E-4</v>
      </c>
      <c r="D113" s="107">
        <f t="shared" si="1"/>
        <v>0.38</v>
      </c>
    </row>
    <row r="114" spans="1:7">
      <c r="A114" s="191" t="s">
        <v>286</v>
      </c>
      <c r="B114" s="138" t="s">
        <v>291</v>
      </c>
      <c r="C114" s="145"/>
      <c r="D114" s="107">
        <f t="shared" si="1"/>
        <v>0</v>
      </c>
    </row>
    <row r="115" spans="1:7">
      <c r="A115" s="532" t="s">
        <v>318</v>
      </c>
      <c r="B115" s="533"/>
      <c r="C115" s="122">
        <f>SUM(C109:C114)</f>
        <v>0.12304126984126985</v>
      </c>
      <c r="D115" s="107">
        <f>SUM(D109:D114)</f>
        <v>144.4</v>
      </c>
    </row>
    <row r="116" spans="1:7" ht="32.25" thickBot="1">
      <c r="A116" s="109" t="s">
        <v>288</v>
      </c>
      <c r="B116" s="134" t="s">
        <v>340</v>
      </c>
      <c r="C116" s="142">
        <f>D116/$D$43</f>
        <v>4.5344170948035681E-2</v>
      </c>
      <c r="D116" s="107">
        <f>ROUND(D78*C115,2)</f>
        <v>53.22</v>
      </c>
    </row>
    <row r="117" spans="1:7" ht="16.5" thickBot="1">
      <c r="A117" s="525" t="s">
        <v>7</v>
      </c>
      <c r="B117" s="526"/>
      <c r="C117" s="127">
        <f>C116+C115</f>
        <v>0.16838544078930553</v>
      </c>
      <c r="D117" s="146">
        <f>D116+D115</f>
        <v>197.62</v>
      </c>
    </row>
    <row r="118" spans="1:7">
      <c r="A118" s="190" t="s">
        <v>341</v>
      </c>
    </row>
    <row r="119" spans="1:7" ht="16.5" thickBot="1">
      <c r="A119" s="522" t="s">
        <v>342</v>
      </c>
      <c r="B119" s="522"/>
      <c r="C119" s="522"/>
      <c r="D119" s="522"/>
      <c r="E119" s="522"/>
      <c r="F119" s="522"/>
      <c r="G119" s="522"/>
    </row>
    <row r="120" spans="1:7" ht="32.25" customHeight="1" thickBot="1">
      <c r="A120" s="147">
        <v>4</v>
      </c>
      <c r="B120" s="148" t="s">
        <v>343</v>
      </c>
      <c r="C120" s="149" t="s">
        <v>4</v>
      </c>
      <c r="D120" s="150" t="s">
        <v>279</v>
      </c>
    </row>
    <row r="121" spans="1:7">
      <c r="A121" s="82" t="s">
        <v>307</v>
      </c>
      <c r="B121" s="133" t="s">
        <v>344</v>
      </c>
      <c r="C121" s="142">
        <f t="shared" ref="C121:C126" si="2">D121/$D$43</f>
        <v>0.16291354616636419</v>
      </c>
      <c r="D121" s="107">
        <f>D88</f>
        <v>191.21</v>
      </c>
    </row>
    <row r="122" spans="1:7">
      <c r="A122" s="191" t="s">
        <v>314</v>
      </c>
      <c r="B122" s="138" t="s">
        <v>308</v>
      </c>
      <c r="C122" s="142">
        <f t="shared" si="2"/>
        <v>0.36851298042924457</v>
      </c>
      <c r="D122" s="107">
        <f>D78</f>
        <v>432.5200000000001</v>
      </c>
    </row>
    <row r="123" spans="1:7">
      <c r="A123" s="191" t="s">
        <v>321</v>
      </c>
      <c r="B123" s="138" t="s">
        <v>323</v>
      </c>
      <c r="C123" s="142">
        <f t="shared" si="2"/>
        <v>1.0138963440090654E-3</v>
      </c>
      <c r="D123" s="107">
        <f>D94</f>
        <v>1.19</v>
      </c>
    </row>
    <row r="124" spans="1:7">
      <c r="A124" s="151" t="s">
        <v>326</v>
      </c>
      <c r="B124" s="152" t="s">
        <v>345</v>
      </c>
      <c r="C124" s="142">
        <f t="shared" si="2"/>
        <v>7.5386175225144611E-2</v>
      </c>
      <c r="D124" s="107">
        <f>D105</f>
        <v>88.47999999999999</v>
      </c>
    </row>
    <row r="125" spans="1:7">
      <c r="A125" s="153" t="s">
        <v>335</v>
      </c>
      <c r="B125" s="154" t="s">
        <v>346</v>
      </c>
      <c r="C125" s="142">
        <f t="shared" si="2"/>
        <v>0.16837495420426177</v>
      </c>
      <c r="D125" s="107">
        <f>D117</f>
        <v>197.62</v>
      </c>
    </row>
    <row r="126" spans="1:7" ht="16.5" thickBot="1">
      <c r="A126" s="191" t="s">
        <v>347</v>
      </c>
      <c r="B126" s="138" t="s">
        <v>291</v>
      </c>
      <c r="C126" s="142">
        <f t="shared" si="2"/>
        <v>0</v>
      </c>
      <c r="D126" s="107">
        <v>0</v>
      </c>
    </row>
    <row r="127" spans="1:7" ht="37.5" customHeight="1" thickBot="1">
      <c r="A127" s="530" t="s">
        <v>348</v>
      </c>
      <c r="B127" s="531"/>
      <c r="C127" s="127">
        <f>SUM(C121:C126)</f>
        <v>0.77620155236902411</v>
      </c>
      <c r="D127" s="113">
        <f>SUM(D121:D126)</f>
        <v>911.02000000000021</v>
      </c>
    </row>
    <row r="128" spans="1:7">
      <c r="A128" s="155"/>
      <c r="B128" s="155"/>
      <c r="C128" s="156"/>
      <c r="D128" s="157"/>
      <c r="E128" s="158"/>
      <c r="F128" s="159"/>
      <c r="G128" s="159"/>
    </row>
    <row r="129" spans="1:8" ht="16.5" thickBot="1">
      <c r="A129" s="522" t="s">
        <v>349</v>
      </c>
      <c r="B129" s="522"/>
      <c r="C129" s="522"/>
      <c r="D129" s="522"/>
      <c r="E129" s="522"/>
      <c r="F129" s="522"/>
      <c r="G129" s="522"/>
      <c r="H129" s="160"/>
    </row>
    <row r="130" spans="1:8" ht="16.5" thickBot="1">
      <c r="A130" s="147" t="s">
        <v>350</v>
      </c>
      <c r="B130" s="148" t="s">
        <v>351</v>
      </c>
      <c r="C130" s="149" t="s">
        <v>4</v>
      </c>
      <c r="D130" s="114" t="s">
        <v>279</v>
      </c>
      <c r="E130" s="161">
        <f>D43+D54+D64+D78+D88+D94+D105+D117</f>
        <v>2565.556066666667</v>
      </c>
      <c r="G130" s="160"/>
    </row>
    <row r="131" spans="1:8">
      <c r="A131" s="82" t="s">
        <v>257</v>
      </c>
      <c r="B131" s="133" t="s">
        <v>352</v>
      </c>
      <c r="C131" s="162">
        <v>6.9940000000000002E-2</v>
      </c>
      <c r="D131" s="163">
        <f>E130*C131</f>
        <v>179.4349913026667</v>
      </c>
      <c r="G131" s="160"/>
    </row>
    <row r="132" spans="1:8">
      <c r="A132" s="191" t="s">
        <v>259</v>
      </c>
      <c r="B132" s="138" t="s">
        <v>353</v>
      </c>
      <c r="C132" s="142"/>
      <c r="D132" s="164"/>
      <c r="F132" s="165"/>
    </row>
    <row r="133" spans="1:8">
      <c r="A133" s="191"/>
      <c r="B133" s="138" t="s">
        <v>354</v>
      </c>
      <c r="C133" s="142"/>
      <c r="D133" s="129"/>
      <c r="F133" s="182"/>
      <c r="G133" s="160"/>
    </row>
    <row r="134" spans="1:8">
      <c r="A134" s="191"/>
      <c r="B134" s="138" t="s">
        <v>355</v>
      </c>
      <c r="C134" s="142">
        <v>7.5999999999999998E-2</v>
      </c>
      <c r="D134" s="107">
        <f>$D$152*C134</f>
        <v>242.49768707198791</v>
      </c>
      <c r="E134" s="165">
        <f>D152</f>
        <v>3190.7590404208936</v>
      </c>
      <c r="G134" s="160"/>
    </row>
    <row r="135" spans="1:8">
      <c r="A135" s="191"/>
      <c r="B135" s="138" t="s">
        <v>356</v>
      </c>
      <c r="C135" s="142">
        <v>1.6500000000000001E-2</v>
      </c>
      <c r="D135" s="107">
        <f>$D$152*C135</f>
        <v>52.647524166944748</v>
      </c>
      <c r="E135" s="246"/>
      <c r="G135" s="160"/>
    </row>
    <row r="136" spans="1:8">
      <c r="A136" s="191"/>
      <c r="B136" s="138" t="s">
        <v>357</v>
      </c>
      <c r="C136" s="142"/>
      <c r="D136" s="107"/>
    </row>
    <row r="137" spans="1:8">
      <c r="A137" s="191"/>
      <c r="B137" s="138" t="s">
        <v>358</v>
      </c>
      <c r="C137" s="142">
        <v>0.03</v>
      </c>
      <c r="D137" s="107">
        <f>$D$152*C137</f>
        <v>95.72277121262681</v>
      </c>
      <c r="G137" s="160"/>
    </row>
    <row r="138" spans="1:8">
      <c r="A138" s="191"/>
      <c r="B138" s="138" t="s">
        <v>359</v>
      </c>
      <c r="C138" s="142"/>
      <c r="D138" s="107"/>
    </row>
    <row r="139" spans="1:8" ht="16.5" thickBot="1">
      <c r="A139" s="191" t="s">
        <v>261</v>
      </c>
      <c r="B139" s="138" t="s">
        <v>360</v>
      </c>
      <c r="C139" s="142">
        <v>0.02</v>
      </c>
      <c r="D139" s="107">
        <f>ROUND(E139*C139,2)</f>
        <v>54.9</v>
      </c>
      <c r="E139" s="132">
        <f>E130+D131</f>
        <v>2744.9910579693337</v>
      </c>
    </row>
    <row r="140" spans="1:8" ht="33" customHeight="1" thickBot="1">
      <c r="A140" s="527" t="s">
        <v>361</v>
      </c>
      <c r="B140" s="528"/>
      <c r="C140" s="529"/>
      <c r="D140" s="166">
        <f>D131+D134+D135+D137+D139</f>
        <v>625.20297375422626</v>
      </c>
    </row>
    <row r="141" spans="1:8">
      <c r="A141" s="522" t="s">
        <v>362</v>
      </c>
      <c r="B141" s="522"/>
      <c r="C141" s="522"/>
      <c r="D141" s="522"/>
      <c r="E141" s="522"/>
      <c r="F141" s="522"/>
      <c r="G141" s="522"/>
    </row>
    <row r="142" spans="1:8">
      <c r="A142" s="522" t="s">
        <v>363</v>
      </c>
      <c r="B142" s="522"/>
      <c r="C142" s="522"/>
      <c r="D142" s="522"/>
      <c r="E142" s="522"/>
      <c r="F142" s="522"/>
      <c r="G142" s="522"/>
    </row>
    <row r="143" spans="1:8">
      <c r="A143" s="190"/>
    </row>
    <row r="144" spans="1:8" ht="16.5" thickBot="1">
      <c r="A144" s="523" t="s">
        <v>364</v>
      </c>
      <c r="B144" s="523"/>
      <c r="C144" s="523"/>
      <c r="D144" s="523"/>
      <c r="E144" s="523"/>
      <c r="F144" s="523"/>
      <c r="G144" s="523"/>
    </row>
    <row r="145" spans="1:8" ht="32.25" customHeight="1" thickBot="1">
      <c r="A145" s="147"/>
      <c r="B145" s="524" t="s">
        <v>365</v>
      </c>
      <c r="C145" s="524"/>
      <c r="D145" s="167" t="s">
        <v>366</v>
      </c>
    </row>
    <row r="146" spans="1:8">
      <c r="A146" s="191" t="s">
        <v>257</v>
      </c>
      <c r="B146" s="138" t="s">
        <v>367</v>
      </c>
      <c r="C146" s="122">
        <f t="shared" ref="C146:C151" si="3">D146/$D$152</f>
        <v>0.36784037438476658</v>
      </c>
      <c r="D146" s="129">
        <f>D43</f>
        <v>1173.69</v>
      </c>
    </row>
    <row r="147" spans="1:8">
      <c r="A147" s="191" t="s">
        <v>259</v>
      </c>
      <c r="B147" s="138" t="s">
        <v>368</v>
      </c>
      <c r="C147" s="122">
        <f t="shared" si="3"/>
        <v>0.13779774480933596</v>
      </c>
      <c r="D147" s="129">
        <f>D54</f>
        <v>439.67939999999999</v>
      </c>
    </row>
    <row r="148" spans="1:8" ht="31.5">
      <c r="A148" s="191" t="s">
        <v>261</v>
      </c>
      <c r="B148" s="138" t="s">
        <v>369</v>
      </c>
      <c r="C148" s="122">
        <f t="shared" si="3"/>
        <v>1.2901841268852555E-2</v>
      </c>
      <c r="D148" s="129">
        <f>D64</f>
        <v>41.166666666666664</v>
      </c>
      <c r="E148" s="165">
        <f>D150+D131+D139</f>
        <v>2799.8910579693338</v>
      </c>
    </row>
    <row r="149" spans="1:8" ht="31.5">
      <c r="A149" s="191" t="s">
        <v>263</v>
      </c>
      <c r="B149" s="138" t="s">
        <v>370</v>
      </c>
      <c r="C149" s="122">
        <f t="shared" si="3"/>
        <v>0.28551826962145893</v>
      </c>
      <c r="D149" s="129">
        <f>D127</f>
        <v>911.02000000000021</v>
      </c>
      <c r="E149" s="174">
        <f>C137+C135+C134</f>
        <v>0.1225</v>
      </c>
    </row>
    <row r="150" spans="1:8" ht="16.5" customHeight="1">
      <c r="A150" s="168" t="s">
        <v>371</v>
      </c>
      <c r="B150" s="169"/>
      <c r="C150" s="131">
        <f t="shared" si="3"/>
        <v>0.80405823008441402</v>
      </c>
      <c r="D150" s="170">
        <f>SUM(D146:D149)</f>
        <v>2565.556066666667</v>
      </c>
      <c r="E150" s="174">
        <f>100%-E149</f>
        <v>0.87749999999999995</v>
      </c>
    </row>
    <row r="151" spans="1:8" ht="32.25" thickBot="1">
      <c r="A151" s="191" t="s">
        <v>284</v>
      </c>
      <c r="B151" s="138" t="s">
        <v>372</v>
      </c>
      <c r="C151" s="122">
        <f t="shared" si="3"/>
        <v>0.19594176991558587</v>
      </c>
      <c r="D151" s="129">
        <f>D140</f>
        <v>625.20297375422626</v>
      </c>
      <c r="G151" s="171"/>
    </row>
    <row r="152" spans="1:8" ht="16.5" customHeight="1" thickBot="1">
      <c r="A152" s="525" t="s">
        <v>373</v>
      </c>
      <c r="B152" s="526"/>
      <c r="C152" s="127">
        <f>C151+C150</f>
        <v>0.99999999999999989</v>
      </c>
      <c r="D152" s="166">
        <f>(D150+D139+D131)/0.8775</f>
        <v>3190.7590404208936</v>
      </c>
      <c r="E152" s="171"/>
      <c r="F152" s="165">
        <f>D150+D151</f>
        <v>3190.7590404208931</v>
      </c>
      <c r="H152" s="172"/>
    </row>
    <row r="153" spans="1:8">
      <c r="E153" s="171"/>
    </row>
    <row r="154" spans="1:8">
      <c r="A154" s="186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1.299212598425197" right="0.51181102362204722" top="2.1653543307086616" bottom="0.98425196850393704" header="0.31496062992125984" footer="0.31496062992125984"/>
  <pageSetup paperSize="9" scale="79" fitToHeight="4" orientation="portrait" r:id="rId1"/>
  <headerFooter alignWithMargins="0"/>
  <rowBreaks count="3" manualBreakCount="3">
    <brk id="43" max="3" man="1"/>
    <brk id="88" max="3" man="1"/>
    <brk id="12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154"/>
  <sheetViews>
    <sheetView showGridLines="0" view="pageBreakPreview" zoomScale="90" zoomScaleSheetLayoutView="90" workbookViewId="0">
      <selection activeCell="E135" sqref="E135"/>
    </sheetView>
  </sheetViews>
  <sheetFormatPr defaultRowHeight="15.75"/>
  <cols>
    <col min="1" max="1" width="9.28515625" style="53" customWidth="1"/>
    <col min="2" max="2" width="39.85546875" style="53" customWidth="1"/>
    <col min="3" max="3" width="18.28515625" style="53" customWidth="1"/>
    <col min="4" max="4" width="23.85546875" style="53" customWidth="1"/>
    <col min="5" max="5" width="16" style="53" bestFit="1" customWidth="1"/>
    <col min="6" max="6" width="13.7109375" style="53" bestFit="1" customWidth="1"/>
    <col min="7" max="7" width="15.7109375" style="53" bestFit="1" customWidth="1"/>
    <col min="8" max="8" width="13.140625" style="53" bestFit="1" customWidth="1"/>
    <col min="9" max="9" width="11.85546875" style="53" bestFit="1" customWidth="1"/>
    <col min="10" max="10" width="12.85546875" style="53" bestFit="1" customWidth="1"/>
    <col min="11" max="256" width="9.140625" style="53"/>
    <col min="257" max="257" width="9.28515625" style="53" customWidth="1"/>
    <col min="258" max="258" width="39.85546875" style="53" customWidth="1"/>
    <col min="259" max="259" width="18.28515625" style="53" customWidth="1"/>
    <col min="260" max="260" width="23.85546875" style="53" customWidth="1"/>
    <col min="261" max="261" width="16" style="53" bestFit="1" customWidth="1"/>
    <col min="262" max="262" width="13.7109375" style="53" bestFit="1" customWidth="1"/>
    <col min="263" max="263" width="15.7109375" style="53" bestFit="1" customWidth="1"/>
    <col min="264" max="264" width="13.140625" style="53" bestFit="1" customWidth="1"/>
    <col min="265" max="265" width="11.85546875" style="53" bestFit="1" customWidth="1"/>
    <col min="266" max="266" width="12.85546875" style="53" bestFit="1" customWidth="1"/>
    <col min="267" max="512" width="9.140625" style="53"/>
    <col min="513" max="513" width="9.28515625" style="53" customWidth="1"/>
    <col min="514" max="514" width="39.85546875" style="53" customWidth="1"/>
    <col min="515" max="515" width="18.28515625" style="53" customWidth="1"/>
    <col min="516" max="516" width="23.85546875" style="53" customWidth="1"/>
    <col min="517" max="517" width="16" style="53" bestFit="1" customWidth="1"/>
    <col min="518" max="518" width="13.7109375" style="53" bestFit="1" customWidth="1"/>
    <col min="519" max="519" width="15.7109375" style="53" bestFit="1" customWidth="1"/>
    <col min="520" max="520" width="13.140625" style="53" bestFit="1" customWidth="1"/>
    <col min="521" max="521" width="11.85546875" style="53" bestFit="1" customWidth="1"/>
    <col min="522" max="522" width="12.85546875" style="53" bestFit="1" customWidth="1"/>
    <col min="523" max="768" width="9.140625" style="53"/>
    <col min="769" max="769" width="9.28515625" style="53" customWidth="1"/>
    <col min="770" max="770" width="39.85546875" style="53" customWidth="1"/>
    <col min="771" max="771" width="18.28515625" style="53" customWidth="1"/>
    <col min="772" max="772" width="23.85546875" style="53" customWidth="1"/>
    <col min="773" max="773" width="16" style="53" bestFit="1" customWidth="1"/>
    <col min="774" max="774" width="13.7109375" style="53" bestFit="1" customWidth="1"/>
    <col min="775" max="775" width="15.7109375" style="53" bestFit="1" customWidth="1"/>
    <col min="776" max="776" width="13.140625" style="53" bestFit="1" customWidth="1"/>
    <col min="777" max="777" width="11.85546875" style="53" bestFit="1" customWidth="1"/>
    <col min="778" max="778" width="12.85546875" style="53" bestFit="1" customWidth="1"/>
    <col min="779" max="1024" width="9.140625" style="53"/>
    <col min="1025" max="1025" width="9.28515625" style="53" customWidth="1"/>
    <col min="1026" max="1026" width="39.85546875" style="53" customWidth="1"/>
    <col min="1027" max="1027" width="18.28515625" style="53" customWidth="1"/>
    <col min="1028" max="1028" width="23.85546875" style="53" customWidth="1"/>
    <col min="1029" max="1029" width="16" style="53" bestFit="1" customWidth="1"/>
    <col min="1030" max="1030" width="13.7109375" style="53" bestFit="1" customWidth="1"/>
    <col min="1031" max="1031" width="15.7109375" style="53" bestFit="1" customWidth="1"/>
    <col min="1032" max="1032" width="13.140625" style="53" bestFit="1" customWidth="1"/>
    <col min="1033" max="1033" width="11.85546875" style="53" bestFit="1" customWidth="1"/>
    <col min="1034" max="1034" width="12.85546875" style="53" bestFit="1" customWidth="1"/>
    <col min="1035" max="1280" width="9.140625" style="53"/>
    <col min="1281" max="1281" width="9.28515625" style="53" customWidth="1"/>
    <col min="1282" max="1282" width="39.85546875" style="53" customWidth="1"/>
    <col min="1283" max="1283" width="18.28515625" style="53" customWidth="1"/>
    <col min="1284" max="1284" width="23.85546875" style="53" customWidth="1"/>
    <col min="1285" max="1285" width="16" style="53" bestFit="1" customWidth="1"/>
    <col min="1286" max="1286" width="13.7109375" style="53" bestFit="1" customWidth="1"/>
    <col min="1287" max="1287" width="15.7109375" style="53" bestFit="1" customWidth="1"/>
    <col min="1288" max="1288" width="13.140625" style="53" bestFit="1" customWidth="1"/>
    <col min="1289" max="1289" width="11.85546875" style="53" bestFit="1" customWidth="1"/>
    <col min="1290" max="1290" width="12.85546875" style="53" bestFit="1" customWidth="1"/>
    <col min="1291" max="1536" width="9.140625" style="53"/>
    <col min="1537" max="1537" width="9.28515625" style="53" customWidth="1"/>
    <col min="1538" max="1538" width="39.85546875" style="53" customWidth="1"/>
    <col min="1539" max="1539" width="18.28515625" style="53" customWidth="1"/>
    <col min="1540" max="1540" width="23.85546875" style="53" customWidth="1"/>
    <col min="1541" max="1541" width="16" style="53" bestFit="1" customWidth="1"/>
    <col min="1542" max="1542" width="13.7109375" style="53" bestFit="1" customWidth="1"/>
    <col min="1543" max="1543" width="15.7109375" style="53" bestFit="1" customWidth="1"/>
    <col min="1544" max="1544" width="13.140625" style="53" bestFit="1" customWidth="1"/>
    <col min="1545" max="1545" width="11.85546875" style="53" bestFit="1" customWidth="1"/>
    <col min="1546" max="1546" width="12.85546875" style="53" bestFit="1" customWidth="1"/>
    <col min="1547" max="1792" width="9.140625" style="53"/>
    <col min="1793" max="1793" width="9.28515625" style="53" customWidth="1"/>
    <col min="1794" max="1794" width="39.85546875" style="53" customWidth="1"/>
    <col min="1795" max="1795" width="18.28515625" style="53" customWidth="1"/>
    <col min="1796" max="1796" width="23.85546875" style="53" customWidth="1"/>
    <col min="1797" max="1797" width="16" style="53" bestFit="1" customWidth="1"/>
    <col min="1798" max="1798" width="13.7109375" style="53" bestFit="1" customWidth="1"/>
    <col min="1799" max="1799" width="15.7109375" style="53" bestFit="1" customWidth="1"/>
    <col min="1800" max="1800" width="13.140625" style="53" bestFit="1" customWidth="1"/>
    <col min="1801" max="1801" width="11.85546875" style="53" bestFit="1" customWidth="1"/>
    <col min="1802" max="1802" width="12.85546875" style="53" bestFit="1" customWidth="1"/>
    <col min="1803" max="2048" width="9.140625" style="53"/>
    <col min="2049" max="2049" width="9.28515625" style="53" customWidth="1"/>
    <col min="2050" max="2050" width="39.85546875" style="53" customWidth="1"/>
    <col min="2051" max="2051" width="18.28515625" style="53" customWidth="1"/>
    <col min="2052" max="2052" width="23.85546875" style="53" customWidth="1"/>
    <col min="2053" max="2053" width="16" style="53" bestFit="1" customWidth="1"/>
    <col min="2054" max="2054" width="13.7109375" style="53" bestFit="1" customWidth="1"/>
    <col min="2055" max="2055" width="15.7109375" style="53" bestFit="1" customWidth="1"/>
    <col min="2056" max="2056" width="13.140625" style="53" bestFit="1" customWidth="1"/>
    <col min="2057" max="2057" width="11.85546875" style="53" bestFit="1" customWidth="1"/>
    <col min="2058" max="2058" width="12.85546875" style="53" bestFit="1" customWidth="1"/>
    <col min="2059" max="2304" width="9.140625" style="53"/>
    <col min="2305" max="2305" width="9.28515625" style="53" customWidth="1"/>
    <col min="2306" max="2306" width="39.85546875" style="53" customWidth="1"/>
    <col min="2307" max="2307" width="18.28515625" style="53" customWidth="1"/>
    <col min="2308" max="2308" width="23.85546875" style="53" customWidth="1"/>
    <col min="2309" max="2309" width="16" style="53" bestFit="1" customWidth="1"/>
    <col min="2310" max="2310" width="13.7109375" style="53" bestFit="1" customWidth="1"/>
    <col min="2311" max="2311" width="15.7109375" style="53" bestFit="1" customWidth="1"/>
    <col min="2312" max="2312" width="13.140625" style="53" bestFit="1" customWidth="1"/>
    <col min="2313" max="2313" width="11.85546875" style="53" bestFit="1" customWidth="1"/>
    <col min="2314" max="2314" width="12.85546875" style="53" bestFit="1" customWidth="1"/>
    <col min="2315" max="2560" width="9.140625" style="53"/>
    <col min="2561" max="2561" width="9.28515625" style="53" customWidth="1"/>
    <col min="2562" max="2562" width="39.85546875" style="53" customWidth="1"/>
    <col min="2563" max="2563" width="18.28515625" style="53" customWidth="1"/>
    <col min="2564" max="2564" width="23.85546875" style="53" customWidth="1"/>
    <col min="2565" max="2565" width="16" style="53" bestFit="1" customWidth="1"/>
    <col min="2566" max="2566" width="13.7109375" style="53" bestFit="1" customWidth="1"/>
    <col min="2567" max="2567" width="15.7109375" style="53" bestFit="1" customWidth="1"/>
    <col min="2568" max="2568" width="13.140625" style="53" bestFit="1" customWidth="1"/>
    <col min="2569" max="2569" width="11.85546875" style="53" bestFit="1" customWidth="1"/>
    <col min="2570" max="2570" width="12.85546875" style="53" bestFit="1" customWidth="1"/>
    <col min="2571" max="2816" width="9.140625" style="53"/>
    <col min="2817" max="2817" width="9.28515625" style="53" customWidth="1"/>
    <col min="2818" max="2818" width="39.85546875" style="53" customWidth="1"/>
    <col min="2819" max="2819" width="18.28515625" style="53" customWidth="1"/>
    <col min="2820" max="2820" width="23.85546875" style="53" customWidth="1"/>
    <col min="2821" max="2821" width="16" style="53" bestFit="1" customWidth="1"/>
    <col min="2822" max="2822" width="13.7109375" style="53" bestFit="1" customWidth="1"/>
    <col min="2823" max="2823" width="15.7109375" style="53" bestFit="1" customWidth="1"/>
    <col min="2824" max="2824" width="13.140625" style="53" bestFit="1" customWidth="1"/>
    <col min="2825" max="2825" width="11.85546875" style="53" bestFit="1" customWidth="1"/>
    <col min="2826" max="2826" width="12.85546875" style="53" bestFit="1" customWidth="1"/>
    <col min="2827" max="3072" width="9.140625" style="53"/>
    <col min="3073" max="3073" width="9.28515625" style="53" customWidth="1"/>
    <col min="3074" max="3074" width="39.85546875" style="53" customWidth="1"/>
    <col min="3075" max="3075" width="18.28515625" style="53" customWidth="1"/>
    <col min="3076" max="3076" width="23.85546875" style="53" customWidth="1"/>
    <col min="3077" max="3077" width="16" style="53" bestFit="1" customWidth="1"/>
    <col min="3078" max="3078" width="13.7109375" style="53" bestFit="1" customWidth="1"/>
    <col min="3079" max="3079" width="15.7109375" style="53" bestFit="1" customWidth="1"/>
    <col min="3080" max="3080" width="13.140625" style="53" bestFit="1" customWidth="1"/>
    <col min="3081" max="3081" width="11.85546875" style="53" bestFit="1" customWidth="1"/>
    <col min="3082" max="3082" width="12.85546875" style="53" bestFit="1" customWidth="1"/>
    <col min="3083" max="3328" width="9.140625" style="53"/>
    <col min="3329" max="3329" width="9.28515625" style="53" customWidth="1"/>
    <col min="3330" max="3330" width="39.85546875" style="53" customWidth="1"/>
    <col min="3331" max="3331" width="18.28515625" style="53" customWidth="1"/>
    <col min="3332" max="3332" width="23.85546875" style="53" customWidth="1"/>
    <col min="3333" max="3333" width="16" style="53" bestFit="1" customWidth="1"/>
    <col min="3334" max="3334" width="13.7109375" style="53" bestFit="1" customWidth="1"/>
    <col min="3335" max="3335" width="15.7109375" style="53" bestFit="1" customWidth="1"/>
    <col min="3336" max="3336" width="13.140625" style="53" bestFit="1" customWidth="1"/>
    <col min="3337" max="3337" width="11.85546875" style="53" bestFit="1" customWidth="1"/>
    <col min="3338" max="3338" width="12.85546875" style="53" bestFit="1" customWidth="1"/>
    <col min="3339" max="3584" width="9.140625" style="53"/>
    <col min="3585" max="3585" width="9.28515625" style="53" customWidth="1"/>
    <col min="3586" max="3586" width="39.85546875" style="53" customWidth="1"/>
    <col min="3587" max="3587" width="18.28515625" style="53" customWidth="1"/>
    <col min="3588" max="3588" width="23.85546875" style="53" customWidth="1"/>
    <col min="3589" max="3589" width="16" style="53" bestFit="1" customWidth="1"/>
    <col min="3590" max="3590" width="13.7109375" style="53" bestFit="1" customWidth="1"/>
    <col min="3591" max="3591" width="15.7109375" style="53" bestFit="1" customWidth="1"/>
    <col min="3592" max="3592" width="13.140625" style="53" bestFit="1" customWidth="1"/>
    <col min="3593" max="3593" width="11.85546875" style="53" bestFit="1" customWidth="1"/>
    <col min="3594" max="3594" width="12.85546875" style="53" bestFit="1" customWidth="1"/>
    <col min="3595" max="3840" width="9.140625" style="53"/>
    <col min="3841" max="3841" width="9.28515625" style="53" customWidth="1"/>
    <col min="3842" max="3842" width="39.85546875" style="53" customWidth="1"/>
    <col min="3843" max="3843" width="18.28515625" style="53" customWidth="1"/>
    <col min="3844" max="3844" width="23.85546875" style="53" customWidth="1"/>
    <col min="3845" max="3845" width="16" style="53" bestFit="1" customWidth="1"/>
    <col min="3846" max="3846" width="13.7109375" style="53" bestFit="1" customWidth="1"/>
    <col min="3847" max="3847" width="15.7109375" style="53" bestFit="1" customWidth="1"/>
    <col min="3848" max="3848" width="13.140625" style="53" bestFit="1" customWidth="1"/>
    <col min="3849" max="3849" width="11.85546875" style="53" bestFit="1" customWidth="1"/>
    <col min="3850" max="3850" width="12.85546875" style="53" bestFit="1" customWidth="1"/>
    <col min="3851" max="4096" width="9.140625" style="53"/>
    <col min="4097" max="4097" width="9.28515625" style="53" customWidth="1"/>
    <col min="4098" max="4098" width="39.85546875" style="53" customWidth="1"/>
    <col min="4099" max="4099" width="18.28515625" style="53" customWidth="1"/>
    <col min="4100" max="4100" width="23.85546875" style="53" customWidth="1"/>
    <col min="4101" max="4101" width="16" style="53" bestFit="1" customWidth="1"/>
    <col min="4102" max="4102" width="13.7109375" style="53" bestFit="1" customWidth="1"/>
    <col min="4103" max="4103" width="15.7109375" style="53" bestFit="1" customWidth="1"/>
    <col min="4104" max="4104" width="13.140625" style="53" bestFit="1" customWidth="1"/>
    <col min="4105" max="4105" width="11.85546875" style="53" bestFit="1" customWidth="1"/>
    <col min="4106" max="4106" width="12.85546875" style="53" bestFit="1" customWidth="1"/>
    <col min="4107" max="4352" width="9.140625" style="53"/>
    <col min="4353" max="4353" width="9.28515625" style="53" customWidth="1"/>
    <col min="4354" max="4354" width="39.85546875" style="53" customWidth="1"/>
    <col min="4355" max="4355" width="18.28515625" style="53" customWidth="1"/>
    <col min="4356" max="4356" width="23.85546875" style="53" customWidth="1"/>
    <col min="4357" max="4357" width="16" style="53" bestFit="1" customWidth="1"/>
    <col min="4358" max="4358" width="13.7109375" style="53" bestFit="1" customWidth="1"/>
    <col min="4359" max="4359" width="15.7109375" style="53" bestFit="1" customWidth="1"/>
    <col min="4360" max="4360" width="13.140625" style="53" bestFit="1" customWidth="1"/>
    <col min="4361" max="4361" width="11.85546875" style="53" bestFit="1" customWidth="1"/>
    <col min="4362" max="4362" width="12.85546875" style="53" bestFit="1" customWidth="1"/>
    <col min="4363" max="4608" width="9.140625" style="53"/>
    <col min="4609" max="4609" width="9.28515625" style="53" customWidth="1"/>
    <col min="4610" max="4610" width="39.85546875" style="53" customWidth="1"/>
    <col min="4611" max="4611" width="18.28515625" style="53" customWidth="1"/>
    <col min="4612" max="4612" width="23.85546875" style="53" customWidth="1"/>
    <col min="4613" max="4613" width="16" style="53" bestFit="1" customWidth="1"/>
    <col min="4614" max="4614" width="13.7109375" style="53" bestFit="1" customWidth="1"/>
    <col min="4615" max="4615" width="15.7109375" style="53" bestFit="1" customWidth="1"/>
    <col min="4616" max="4616" width="13.140625" style="53" bestFit="1" customWidth="1"/>
    <col min="4617" max="4617" width="11.85546875" style="53" bestFit="1" customWidth="1"/>
    <col min="4618" max="4618" width="12.85546875" style="53" bestFit="1" customWidth="1"/>
    <col min="4619" max="4864" width="9.140625" style="53"/>
    <col min="4865" max="4865" width="9.28515625" style="53" customWidth="1"/>
    <col min="4866" max="4866" width="39.85546875" style="53" customWidth="1"/>
    <col min="4867" max="4867" width="18.28515625" style="53" customWidth="1"/>
    <col min="4868" max="4868" width="23.85546875" style="53" customWidth="1"/>
    <col min="4869" max="4869" width="16" style="53" bestFit="1" customWidth="1"/>
    <col min="4870" max="4870" width="13.7109375" style="53" bestFit="1" customWidth="1"/>
    <col min="4871" max="4871" width="15.7109375" style="53" bestFit="1" customWidth="1"/>
    <col min="4872" max="4872" width="13.140625" style="53" bestFit="1" customWidth="1"/>
    <col min="4873" max="4873" width="11.85546875" style="53" bestFit="1" customWidth="1"/>
    <col min="4874" max="4874" width="12.85546875" style="53" bestFit="1" customWidth="1"/>
    <col min="4875" max="5120" width="9.140625" style="53"/>
    <col min="5121" max="5121" width="9.28515625" style="53" customWidth="1"/>
    <col min="5122" max="5122" width="39.85546875" style="53" customWidth="1"/>
    <col min="5123" max="5123" width="18.28515625" style="53" customWidth="1"/>
    <col min="5124" max="5124" width="23.85546875" style="53" customWidth="1"/>
    <col min="5125" max="5125" width="16" style="53" bestFit="1" customWidth="1"/>
    <col min="5126" max="5126" width="13.7109375" style="53" bestFit="1" customWidth="1"/>
    <col min="5127" max="5127" width="15.7109375" style="53" bestFit="1" customWidth="1"/>
    <col min="5128" max="5128" width="13.140625" style="53" bestFit="1" customWidth="1"/>
    <col min="5129" max="5129" width="11.85546875" style="53" bestFit="1" customWidth="1"/>
    <col min="5130" max="5130" width="12.85546875" style="53" bestFit="1" customWidth="1"/>
    <col min="5131" max="5376" width="9.140625" style="53"/>
    <col min="5377" max="5377" width="9.28515625" style="53" customWidth="1"/>
    <col min="5378" max="5378" width="39.85546875" style="53" customWidth="1"/>
    <col min="5379" max="5379" width="18.28515625" style="53" customWidth="1"/>
    <col min="5380" max="5380" width="23.85546875" style="53" customWidth="1"/>
    <col min="5381" max="5381" width="16" style="53" bestFit="1" customWidth="1"/>
    <col min="5382" max="5382" width="13.7109375" style="53" bestFit="1" customWidth="1"/>
    <col min="5383" max="5383" width="15.7109375" style="53" bestFit="1" customWidth="1"/>
    <col min="5384" max="5384" width="13.140625" style="53" bestFit="1" customWidth="1"/>
    <col min="5385" max="5385" width="11.85546875" style="53" bestFit="1" customWidth="1"/>
    <col min="5386" max="5386" width="12.85546875" style="53" bestFit="1" customWidth="1"/>
    <col min="5387" max="5632" width="9.140625" style="53"/>
    <col min="5633" max="5633" width="9.28515625" style="53" customWidth="1"/>
    <col min="5634" max="5634" width="39.85546875" style="53" customWidth="1"/>
    <col min="5635" max="5635" width="18.28515625" style="53" customWidth="1"/>
    <col min="5636" max="5636" width="23.85546875" style="53" customWidth="1"/>
    <col min="5637" max="5637" width="16" style="53" bestFit="1" customWidth="1"/>
    <col min="5638" max="5638" width="13.7109375" style="53" bestFit="1" customWidth="1"/>
    <col min="5639" max="5639" width="15.7109375" style="53" bestFit="1" customWidth="1"/>
    <col min="5640" max="5640" width="13.140625" style="53" bestFit="1" customWidth="1"/>
    <col min="5641" max="5641" width="11.85546875" style="53" bestFit="1" customWidth="1"/>
    <col min="5642" max="5642" width="12.85546875" style="53" bestFit="1" customWidth="1"/>
    <col min="5643" max="5888" width="9.140625" style="53"/>
    <col min="5889" max="5889" width="9.28515625" style="53" customWidth="1"/>
    <col min="5890" max="5890" width="39.85546875" style="53" customWidth="1"/>
    <col min="5891" max="5891" width="18.28515625" style="53" customWidth="1"/>
    <col min="5892" max="5892" width="23.85546875" style="53" customWidth="1"/>
    <col min="5893" max="5893" width="16" style="53" bestFit="1" customWidth="1"/>
    <col min="5894" max="5894" width="13.7109375" style="53" bestFit="1" customWidth="1"/>
    <col min="5895" max="5895" width="15.7109375" style="53" bestFit="1" customWidth="1"/>
    <col min="5896" max="5896" width="13.140625" style="53" bestFit="1" customWidth="1"/>
    <col min="5897" max="5897" width="11.85546875" style="53" bestFit="1" customWidth="1"/>
    <col min="5898" max="5898" width="12.85546875" style="53" bestFit="1" customWidth="1"/>
    <col min="5899" max="6144" width="9.140625" style="53"/>
    <col min="6145" max="6145" width="9.28515625" style="53" customWidth="1"/>
    <col min="6146" max="6146" width="39.85546875" style="53" customWidth="1"/>
    <col min="6147" max="6147" width="18.28515625" style="53" customWidth="1"/>
    <col min="6148" max="6148" width="23.85546875" style="53" customWidth="1"/>
    <col min="6149" max="6149" width="16" style="53" bestFit="1" customWidth="1"/>
    <col min="6150" max="6150" width="13.7109375" style="53" bestFit="1" customWidth="1"/>
    <col min="6151" max="6151" width="15.7109375" style="53" bestFit="1" customWidth="1"/>
    <col min="6152" max="6152" width="13.140625" style="53" bestFit="1" customWidth="1"/>
    <col min="6153" max="6153" width="11.85546875" style="53" bestFit="1" customWidth="1"/>
    <col min="6154" max="6154" width="12.85546875" style="53" bestFit="1" customWidth="1"/>
    <col min="6155" max="6400" width="9.140625" style="53"/>
    <col min="6401" max="6401" width="9.28515625" style="53" customWidth="1"/>
    <col min="6402" max="6402" width="39.85546875" style="53" customWidth="1"/>
    <col min="6403" max="6403" width="18.28515625" style="53" customWidth="1"/>
    <col min="6404" max="6404" width="23.85546875" style="53" customWidth="1"/>
    <col min="6405" max="6405" width="16" style="53" bestFit="1" customWidth="1"/>
    <col min="6406" max="6406" width="13.7109375" style="53" bestFit="1" customWidth="1"/>
    <col min="6407" max="6407" width="15.7109375" style="53" bestFit="1" customWidth="1"/>
    <col min="6408" max="6408" width="13.140625" style="53" bestFit="1" customWidth="1"/>
    <col min="6409" max="6409" width="11.85546875" style="53" bestFit="1" customWidth="1"/>
    <col min="6410" max="6410" width="12.85546875" style="53" bestFit="1" customWidth="1"/>
    <col min="6411" max="6656" width="9.140625" style="53"/>
    <col min="6657" max="6657" width="9.28515625" style="53" customWidth="1"/>
    <col min="6658" max="6658" width="39.85546875" style="53" customWidth="1"/>
    <col min="6659" max="6659" width="18.28515625" style="53" customWidth="1"/>
    <col min="6660" max="6660" width="23.85546875" style="53" customWidth="1"/>
    <col min="6661" max="6661" width="16" style="53" bestFit="1" customWidth="1"/>
    <col min="6662" max="6662" width="13.7109375" style="53" bestFit="1" customWidth="1"/>
    <col min="6663" max="6663" width="15.7109375" style="53" bestFit="1" customWidth="1"/>
    <col min="6664" max="6664" width="13.140625" style="53" bestFit="1" customWidth="1"/>
    <col min="6665" max="6665" width="11.85546875" style="53" bestFit="1" customWidth="1"/>
    <col min="6666" max="6666" width="12.85546875" style="53" bestFit="1" customWidth="1"/>
    <col min="6667" max="6912" width="9.140625" style="53"/>
    <col min="6913" max="6913" width="9.28515625" style="53" customWidth="1"/>
    <col min="6914" max="6914" width="39.85546875" style="53" customWidth="1"/>
    <col min="6915" max="6915" width="18.28515625" style="53" customWidth="1"/>
    <col min="6916" max="6916" width="23.85546875" style="53" customWidth="1"/>
    <col min="6917" max="6917" width="16" style="53" bestFit="1" customWidth="1"/>
    <col min="6918" max="6918" width="13.7109375" style="53" bestFit="1" customWidth="1"/>
    <col min="6919" max="6919" width="15.7109375" style="53" bestFit="1" customWidth="1"/>
    <col min="6920" max="6920" width="13.140625" style="53" bestFit="1" customWidth="1"/>
    <col min="6921" max="6921" width="11.85546875" style="53" bestFit="1" customWidth="1"/>
    <col min="6922" max="6922" width="12.85546875" style="53" bestFit="1" customWidth="1"/>
    <col min="6923" max="7168" width="9.140625" style="53"/>
    <col min="7169" max="7169" width="9.28515625" style="53" customWidth="1"/>
    <col min="7170" max="7170" width="39.85546875" style="53" customWidth="1"/>
    <col min="7171" max="7171" width="18.28515625" style="53" customWidth="1"/>
    <col min="7172" max="7172" width="23.85546875" style="53" customWidth="1"/>
    <col min="7173" max="7173" width="16" style="53" bestFit="1" customWidth="1"/>
    <col min="7174" max="7174" width="13.7109375" style="53" bestFit="1" customWidth="1"/>
    <col min="7175" max="7175" width="15.7109375" style="53" bestFit="1" customWidth="1"/>
    <col min="7176" max="7176" width="13.140625" style="53" bestFit="1" customWidth="1"/>
    <col min="7177" max="7177" width="11.85546875" style="53" bestFit="1" customWidth="1"/>
    <col min="7178" max="7178" width="12.85546875" style="53" bestFit="1" customWidth="1"/>
    <col min="7179" max="7424" width="9.140625" style="53"/>
    <col min="7425" max="7425" width="9.28515625" style="53" customWidth="1"/>
    <col min="7426" max="7426" width="39.85546875" style="53" customWidth="1"/>
    <col min="7427" max="7427" width="18.28515625" style="53" customWidth="1"/>
    <col min="7428" max="7428" width="23.85546875" style="53" customWidth="1"/>
    <col min="7429" max="7429" width="16" style="53" bestFit="1" customWidth="1"/>
    <col min="7430" max="7430" width="13.7109375" style="53" bestFit="1" customWidth="1"/>
    <col min="7431" max="7431" width="15.7109375" style="53" bestFit="1" customWidth="1"/>
    <col min="7432" max="7432" width="13.140625" style="53" bestFit="1" customWidth="1"/>
    <col min="7433" max="7433" width="11.85546875" style="53" bestFit="1" customWidth="1"/>
    <col min="7434" max="7434" width="12.85546875" style="53" bestFit="1" customWidth="1"/>
    <col min="7435" max="7680" width="9.140625" style="53"/>
    <col min="7681" max="7681" width="9.28515625" style="53" customWidth="1"/>
    <col min="7682" max="7682" width="39.85546875" style="53" customWidth="1"/>
    <col min="7683" max="7683" width="18.28515625" style="53" customWidth="1"/>
    <col min="7684" max="7684" width="23.85546875" style="53" customWidth="1"/>
    <col min="7685" max="7685" width="16" style="53" bestFit="1" customWidth="1"/>
    <col min="7686" max="7686" width="13.7109375" style="53" bestFit="1" customWidth="1"/>
    <col min="7687" max="7687" width="15.7109375" style="53" bestFit="1" customWidth="1"/>
    <col min="7688" max="7688" width="13.140625" style="53" bestFit="1" customWidth="1"/>
    <col min="7689" max="7689" width="11.85546875" style="53" bestFit="1" customWidth="1"/>
    <col min="7690" max="7690" width="12.85546875" style="53" bestFit="1" customWidth="1"/>
    <col min="7691" max="7936" width="9.140625" style="53"/>
    <col min="7937" max="7937" width="9.28515625" style="53" customWidth="1"/>
    <col min="7938" max="7938" width="39.85546875" style="53" customWidth="1"/>
    <col min="7939" max="7939" width="18.28515625" style="53" customWidth="1"/>
    <col min="7940" max="7940" width="23.85546875" style="53" customWidth="1"/>
    <col min="7941" max="7941" width="16" style="53" bestFit="1" customWidth="1"/>
    <col min="7942" max="7942" width="13.7109375" style="53" bestFit="1" customWidth="1"/>
    <col min="7943" max="7943" width="15.7109375" style="53" bestFit="1" customWidth="1"/>
    <col min="7944" max="7944" width="13.140625" style="53" bestFit="1" customWidth="1"/>
    <col min="7945" max="7945" width="11.85546875" style="53" bestFit="1" customWidth="1"/>
    <col min="7946" max="7946" width="12.85546875" style="53" bestFit="1" customWidth="1"/>
    <col min="7947" max="8192" width="9.140625" style="53"/>
    <col min="8193" max="8193" width="9.28515625" style="53" customWidth="1"/>
    <col min="8194" max="8194" width="39.85546875" style="53" customWidth="1"/>
    <col min="8195" max="8195" width="18.28515625" style="53" customWidth="1"/>
    <col min="8196" max="8196" width="23.85546875" style="53" customWidth="1"/>
    <col min="8197" max="8197" width="16" style="53" bestFit="1" customWidth="1"/>
    <col min="8198" max="8198" width="13.7109375" style="53" bestFit="1" customWidth="1"/>
    <col min="8199" max="8199" width="15.7109375" style="53" bestFit="1" customWidth="1"/>
    <col min="8200" max="8200" width="13.140625" style="53" bestFit="1" customWidth="1"/>
    <col min="8201" max="8201" width="11.85546875" style="53" bestFit="1" customWidth="1"/>
    <col min="8202" max="8202" width="12.85546875" style="53" bestFit="1" customWidth="1"/>
    <col min="8203" max="8448" width="9.140625" style="53"/>
    <col min="8449" max="8449" width="9.28515625" style="53" customWidth="1"/>
    <col min="8450" max="8450" width="39.85546875" style="53" customWidth="1"/>
    <col min="8451" max="8451" width="18.28515625" style="53" customWidth="1"/>
    <col min="8452" max="8452" width="23.85546875" style="53" customWidth="1"/>
    <col min="8453" max="8453" width="16" style="53" bestFit="1" customWidth="1"/>
    <col min="8454" max="8454" width="13.7109375" style="53" bestFit="1" customWidth="1"/>
    <col min="8455" max="8455" width="15.7109375" style="53" bestFit="1" customWidth="1"/>
    <col min="8456" max="8456" width="13.140625" style="53" bestFit="1" customWidth="1"/>
    <col min="8457" max="8457" width="11.85546875" style="53" bestFit="1" customWidth="1"/>
    <col min="8458" max="8458" width="12.85546875" style="53" bestFit="1" customWidth="1"/>
    <col min="8459" max="8704" width="9.140625" style="53"/>
    <col min="8705" max="8705" width="9.28515625" style="53" customWidth="1"/>
    <col min="8706" max="8706" width="39.85546875" style="53" customWidth="1"/>
    <col min="8707" max="8707" width="18.28515625" style="53" customWidth="1"/>
    <col min="8708" max="8708" width="23.85546875" style="53" customWidth="1"/>
    <col min="8709" max="8709" width="16" style="53" bestFit="1" customWidth="1"/>
    <col min="8710" max="8710" width="13.7109375" style="53" bestFit="1" customWidth="1"/>
    <col min="8711" max="8711" width="15.7109375" style="53" bestFit="1" customWidth="1"/>
    <col min="8712" max="8712" width="13.140625" style="53" bestFit="1" customWidth="1"/>
    <col min="8713" max="8713" width="11.85546875" style="53" bestFit="1" customWidth="1"/>
    <col min="8714" max="8714" width="12.85546875" style="53" bestFit="1" customWidth="1"/>
    <col min="8715" max="8960" width="9.140625" style="53"/>
    <col min="8961" max="8961" width="9.28515625" style="53" customWidth="1"/>
    <col min="8962" max="8962" width="39.85546875" style="53" customWidth="1"/>
    <col min="8963" max="8963" width="18.28515625" style="53" customWidth="1"/>
    <col min="8964" max="8964" width="23.85546875" style="53" customWidth="1"/>
    <col min="8965" max="8965" width="16" style="53" bestFit="1" customWidth="1"/>
    <col min="8966" max="8966" width="13.7109375" style="53" bestFit="1" customWidth="1"/>
    <col min="8967" max="8967" width="15.7109375" style="53" bestFit="1" customWidth="1"/>
    <col min="8968" max="8968" width="13.140625" style="53" bestFit="1" customWidth="1"/>
    <col min="8969" max="8969" width="11.85546875" style="53" bestFit="1" customWidth="1"/>
    <col min="8970" max="8970" width="12.85546875" style="53" bestFit="1" customWidth="1"/>
    <col min="8971" max="9216" width="9.140625" style="53"/>
    <col min="9217" max="9217" width="9.28515625" style="53" customWidth="1"/>
    <col min="9218" max="9218" width="39.85546875" style="53" customWidth="1"/>
    <col min="9219" max="9219" width="18.28515625" style="53" customWidth="1"/>
    <col min="9220" max="9220" width="23.85546875" style="53" customWidth="1"/>
    <col min="9221" max="9221" width="16" style="53" bestFit="1" customWidth="1"/>
    <col min="9222" max="9222" width="13.7109375" style="53" bestFit="1" customWidth="1"/>
    <col min="9223" max="9223" width="15.7109375" style="53" bestFit="1" customWidth="1"/>
    <col min="9224" max="9224" width="13.140625" style="53" bestFit="1" customWidth="1"/>
    <col min="9225" max="9225" width="11.85546875" style="53" bestFit="1" customWidth="1"/>
    <col min="9226" max="9226" width="12.85546875" style="53" bestFit="1" customWidth="1"/>
    <col min="9227" max="9472" width="9.140625" style="53"/>
    <col min="9473" max="9473" width="9.28515625" style="53" customWidth="1"/>
    <col min="9474" max="9474" width="39.85546875" style="53" customWidth="1"/>
    <col min="9475" max="9475" width="18.28515625" style="53" customWidth="1"/>
    <col min="9476" max="9476" width="23.85546875" style="53" customWidth="1"/>
    <col min="9477" max="9477" width="16" style="53" bestFit="1" customWidth="1"/>
    <col min="9478" max="9478" width="13.7109375" style="53" bestFit="1" customWidth="1"/>
    <col min="9479" max="9479" width="15.7109375" style="53" bestFit="1" customWidth="1"/>
    <col min="9480" max="9480" width="13.140625" style="53" bestFit="1" customWidth="1"/>
    <col min="9481" max="9481" width="11.85546875" style="53" bestFit="1" customWidth="1"/>
    <col min="9482" max="9482" width="12.85546875" style="53" bestFit="1" customWidth="1"/>
    <col min="9483" max="9728" width="9.140625" style="53"/>
    <col min="9729" max="9729" width="9.28515625" style="53" customWidth="1"/>
    <col min="9730" max="9730" width="39.85546875" style="53" customWidth="1"/>
    <col min="9731" max="9731" width="18.28515625" style="53" customWidth="1"/>
    <col min="9732" max="9732" width="23.85546875" style="53" customWidth="1"/>
    <col min="9733" max="9733" width="16" style="53" bestFit="1" customWidth="1"/>
    <col min="9734" max="9734" width="13.7109375" style="53" bestFit="1" customWidth="1"/>
    <col min="9735" max="9735" width="15.7109375" style="53" bestFit="1" customWidth="1"/>
    <col min="9736" max="9736" width="13.140625" style="53" bestFit="1" customWidth="1"/>
    <col min="9737" max="9737" width="11.85546875" style="53" bestFit="1" customWidth="1"/>
    <col min="9738" max="9738" width="12.85546875" style="53" bestFit="1" customWidth="1"/>
    <col min="9739" max="9984" width="9.140625" style="53"/>
    <col min="9985" max="9985" width="9.28515625" style="53" customWidth="1"/>
    <col min="9986" max="9986" width="39.85546875" style="53" customWidth="1"/>
    <col min="9987" max="9987" width="18.28515625" style="53" customWidth="1"/>
    <col min="9988" max="9988" width="23.85546875" style="53" customWidth="1"/>
    <col min="9989" max="9989" width="16" style="53" bestFit="1" customWidth="1"/>
    <col min="9990" max="9990" width="13.7109375" style="53" bestFit="1" customWidth="1"/>
    <col min="9991" max="9991" width="15.7109375" style="53" bestFit="1" customWidth="1"/>
    <col min="9992" max="9992" width="13.140625" style="53" bestFit="1" customWidth="1"/>
    <col min="9993" max="9993" width="11.85546875" style="53" bestFit="1" customWidth="1"/>
    <col min="9994" max="9994" width="12.85546875" style="53" bestFit="1" customWidth="1"/>
    <col min="9995" max="10240" width="9.140625" style="53"/>
    <col min="10241" max="10241" width="9.28515625" style="53" customWidth="1"/>
    <col min="10242" max="10242" width="39.85546875" style="53" customWidth="1"/>
    <col min="10243" max="10243" width="18.28515625" style="53" customWidth="1"/>
    <col min="10244" max="10244" width="23.85546875" style="53" customWidth="1"/>
    <col min="10245" max="10245" width="16" style="53" bestFit="1" customWidth="1"/>
    <col min="10246" max="10246" width="13.7109375" style="53" bestFit="1" customWidth="1"/>
    <col min="10247" max="10247" width="15.7109375" style="53" bestFit="1" customWidth="1"/>
    <col min="10248" max="10248" width="13.140625" style="53" bestFit="1" customWidth="1"/>
    <col min="10249" max="10249" width="11.85546875" style="53" bestFit="1" customWidth="1"/>
    <col min="10250" max="10250" width="12.85546875" style="53" bestFit="1" customWidth="1"/>
    <col min="10251" max="10496" width="9.140625" style="53"/>
    <col min="10497" max="10497" width="9.28515625" style="53" customWidth="1"/>
    <col min="10498" max="10498" width="39.85546875" style="53" customWidth="1"/>
    <col min="10499" max="10499" width="18.28515625" style="53" customWidth="1"/>
    <col min="10500" max="10500" width="23.85546875" style="53" customWidth="1"/>
    <col min="10501" max="10501" width="16" style="53" bestFit="1" customWidth="1"/>
    <col min="10502" max="10502" width="13.7109375" style="53" bestFit="1" customWidth="1"/>
    <col min="10503" max="10503" width="15.7109375" style="53" bestFit="1" customWidth="1"/>
    <col min="10504" max="10504" width="13.140625" style="53" bestFit="1" customWidth="1"/>
    <col min="10505" max="10505" width="11.85546875" style="53" bestFit="1" customWidth="1"/>
    <col min="10506" max="10506" width="12.85546875" style="53" bestFit="1" customWidth="1"/>
    <col min="10507" max="10752" width="9.140625" style="53"/>
    <col min="10753" max="10753" width="9.28515625" style="53" customWidth="1"/>
    <col min="10754" max="10754" width="39.85546875" style="53" customWidth="1"/>
    <col min="10755" max="10755" width="18.28515625" style="53" customWidth="1"/>
    <col min="10756" max="10756" width="23.85546875" style="53" customWidth="1"/>
    <col min="10757" max="10757" width="16" style="53" bestFit="1" customWidth="1"/>
    <col min="10758" max="10758" width="13.7109375" style="53" bestFit="1" customWidth="1"/>
    <col min="10759" max="10759" width="15.7109375" style="53" bestFit="1" customWidth="1"/>
    <col min="10760" max="10760" width="13.140625" style="53" bestFit="1" customWidth="1"/>
    <col min="10761" max="10761" width="11.85546875" style="53" bestFit="1" customWidth="1"/>
    <col min="10762" max="10762" width="12.85546875" style="53" bestFit="1" customWidth="1"/>
    <col min="10763" max="11008" width="9.140625" style="53"/>
    <col min="11009" max="11009" width="9.28515625" style="53" customWidth="1"/>
    <col min="11010" max="11010" width="39.85546875" style="53" customWidth="1"/>
    <col min="11011" max="11011" width="18.28515625" style="53" customWidth="1"/>
    <col min="11012" max="11012" width="23.85546875" style="53" customWidth="1"/>
    <col min="11013" max="11013" width="16" style="53" bestFit="1" customWidth="1"/>
    <col min="11014" max="11014" width="13.7109375" style="53" bestFit="1" customWidth="1"/>
    <col min="11015" max="11015" width="15.7109375" style="53" bestFit="1" customWidth="1"/>
    <col min="11016" max="11016" width="13.140625" style="53" bestFit="1" customWidth="1"/>
    <col min="11017" max="11017" width="11.85546875" style="53" bestFit="1" customWidth="1"/>
    <col min="11018" max="11018" width="12.85546875" style="53" bestFit="1" customWidth="1"/>
    <col min="11019" max="11264" width="9.140625" style="53"/>
    <col min="11265" max="11265" width="9.28515625" style="53" customWidth="1"/>
    <col min="11266" max="11266" width="39.85546875" style="53" customWidth="1"/>
    <col min="11267" max="11267" width="18.28515625" style="53" customWidth="1"/>
    <col min="11268" max="11268" width="23.85546875" style="53" customWidth="1"/>
    <col min="11269" max="11269" width="16" style="53" bestFit="1" customWidth="1"/>
    <col min="11270" max="11270" width="13.7109375" style="53" bestFit="1" customWidth="1"/>
    <col min="11271" max="11271" width="15.7109375" style="53" bestFit="1" customWidth="1"/>
    <col min="11272" max="11272" width="13.140625" style="53" bestFit="1" customWidth="1"/>
    <col min="11273" max="11273" width="11.85546875" style="53" bestFit="1" customWidth="1"/>
    <col min="11274" max="11274" width="12.85546875" style="53" bestFit="1" customWidth="1"/>
    <col min="11275" max="11520" width="9.140625" style="53"/>
    <col min="11521" max="11521" width="9.28515625" style="53" customWidth="1"/>
    <col min="11522" max="11522" width="39.85546875" style="53" customWidth="1"/>
    <col min="11523" max="11523" width="18.28515625" style="53" customWidth="1"/>
    <col min="11524" max="11524" width="23.85546875" style="53" customWidth="1"/>
    <col min="11525" max="11525" width="16" style="53" bestFit="1" customWidth="1"/>
    <col min="11526" max="11526" width="13.7109375" style="53" bestFit="1" customWidth="1"/>
    <col min="11527" max="11527" width="15.7109375" style="53" bestFit="1" customWidth="1"/>
    <col min="11528" max="11528" width="13.140625" style="53" bestFit="1" customWidth="1"/>
    <col min="11529" max="11529" width="11.85546875" style="53" bestFit="1" customWidth="1"/>
    <col min="11530" max="11530" width="12.85546875" style="53" bestFit="1" customWidth="1"/>
    <col min="11531" max="11776" width="9.140625" style="53"/>
    <col min="11777" max="11777" width="9.28515625" style="53" customWidth="1"/>
    <col min="11778" max="11778" width="39.85546875" style="53" customWidth="1"/>
    <col min="11779" max="11779" width="18.28515625" style="53" customWidth="1"/>
    <col min="11780" max="11780" width="23.85546875" style="53" customWidth="1"/>
    <col min="11781" max="11781" width="16" style="53" bestFit="1" customWidth="1"/>
    <col min="11782" max="11782" width="13.7109375" style="53" bestFit="1" customWidth="1"/>
    <col min="11783" max="11783" width="15.7109375" style="53" bestFit="1" customWidth="1"/>
    <col min="11784" max="11784" width="13.140625" style="53" bestFit="1" customWidth="1"/>
    <col min="11785" max="11785" width="11.85546875" style="53" bestFit="1" customWidth="1"/>
    <col min="11786" max="11786" width="12.85546875" style="53" bestFit="1" customWidth="1"/>
    <col min="11787" max="12032" width="9.140625" style="53"/>
    <col min="12033" max="12033" width="9.28515625" style="53" customWidth="1"/>
    <col min="12034" max="12034" width="39.85546875" style="53" customWidth="1"/>
    <col min="12035" max="12035" width="18.28515625" style="53" customWidth="1"/>
    <col min="12036" max="12036" width="23.85546875" style="53" customWidth="1"/>
    <col min="12037" max="12037" width="16" style="53" bestFit="1" customWidth="1"/>
    <col min="12038" max="12038" width="13.7109375" style="53" bestFit="1" customWidth="1"/>
    <col min="12039" max="12039" width="15.7109375" style="53" bestFit="1" customWidth="1"/>
    <col min="12040" max="12040" width="13.140625" style="53" bestFit="1" customWidth="1"/>
    <col min="12041" max="12041" width="11.85546875" style="53" bestFit="1" customWidth="1"/>
    <col min="12042" max="12042" width="12.85546875" style="53" bestFit="1" customWidth="1"/>
    <col min="12043" max="12288" width="9.140625" style="53"/>
    <col min="12289" max="12289" width="9.28515625" style="53" customWidth="1"/>
    <col min="12290" max="12290" width="39.85546875" style="53" customWidth="1"/>
    <col min="12291" max="12291" width="18.28515625" style="53" customWidth="1"/>
    <col min="12292" max="12292" width="23.85546875" style="53" customWidth="1"/>
    <col min="12293" max="12293" width="16" style="53" bestFit="1" customWidth="1"/>
    <col min="12294" max="12294" width="13.7109375" style="53" bestFit="1" customWidth="1"/>
    <col min="12295" max="12295" width="15.7109375" style="53" bestFit="1" customWidth="1"/>
    <col min="12296" max="12296" width="13.140625" style="53" bestFit="1" customWidth="1"/>
    <col min="12297" max="12297" width="11.85546875" style="53" bestFit="1" customWidth="1"/>
    <col min="12298" max="12298" width="12.85546875" style="53" bestFit="1" customWidth="1"/>
    <col min="12299" max="12544" width="9.140625" style="53"/>
    <col min="12545" max="12545" width="9.28515625" style="53" customWidth="1"/>
    <col min="12546" max="12546" width="39.85546875" style="53" customWidth="1"/>
    <col min="12547" max="12547" width="18.28515625" style="53" customWidth="1"/>
    <col min="12548" max="12548" width="23.85546875" style="53" customWidth="1"/>
    <col min="12549" max="12549" width="16" style="53" bestFit="1" customWidth="1"/>
    <col min="12550" max="12550" width="13.7109375" style="53" bestFit="1" customWidth="1"/>
    <col min="12551" max="12551" width="15.7109375" style="53" bestFit="1" customWidth="1"/>
    <col min="12552" max="12552" width="13.140625" style="53" bestFit="1" customWidth="1"/>
    <col min="12553" max="12553" width="11.85546875" style="53" bestFit="1" customWidth="1"/>
    <col min="12554" max="12554" width="12.85546875" style="53" bestFit="1" customWidth="1"/>
    <col min="12555" max="12800" width="9.140625" style="53"/>
    <col min="12801" max="12801" width="9.28515625" style="53" customWidth="1"/>
    <col min="12802" max="12802" width="39.85546875" style="53" customWidth="1"/>
    <col min="12803" max="12803" width="18.28515625" style="53" customWidth="1"/>
    <col min="12804" max="12804" width="23.85546875" style="53" customWidth="1"/>
    <col min="12805" max="12805" width="16" style="53" bestFit="1" customWidth="1"/>
    <col min="12806" max="12806" width="13.7109375" style="53" bestFit="1" customWidth="1"/>
    <col min="12807" max="12807" width="15.7109375" style="53" bestFit="1" customWidth="1"/>
    <col min="12808" max="12808" width="13.140625" style="53" bestFit="1" customWidth="1"/>
    <col min="12809" max="12809" width="11.85546875" style="53" bestFit="1" customWidth="1"/>
    <col min="12810" max="12810" width="12.85546875" style="53" bestFit="1" customWidth="1"/>
    <col min="12811" max="13056" width="9.140625" style="53"/>
    <col min="13057" max="13057" width="9.28515625" style="53" customWidth="1"/>
    <col min="13058" max="13058" width="39.85546875" style="53" customWidth="1"/>
    <col min="13059" max="13059" width="18.28515625" style="53" customWidth="1"/>
    <col min="13060" max="13060" width="23.85546875" style="53" customWidth="1"/>
    <col min="13061" max="13061" width="16" style="53" bestFit="1" customWidth="1"/>
    <col min="13062" max="13062" width="13.7109375" style="53" bestFit="1" customWidth="1"/>
    <col min="13063" max="13063" width="15.7109375" style="53" bestFit="1" customWidth="1"/>
    <col min="13064" max="13064" width="13.140625" style="53" bestFit="1" customWidth="1"/>
    <col min="13065" max="13065" width="11.85546875" style="53" bestFit="1" customWidth="1"/>
    <col min="13066" max="13066" width="12.85546875" style="53" bestFit="1" customWidth="1"/>
    <col min="13067" max="13312" width="9.140625" style="53"/>
    <col min="13313" max="13313" width="9.28515625" style="53" customWidth="1"/>
    <col min="13314" max="13314" width="39.85546875" style="53" customWidth="1"/>
    <col min="13315" max="13315" width="18.28515625" style="53" customWidth="1"/>
    <col min="13316" max="13316" width="23.85546875" style="53" customWidth="1"/>
    <col min="13317" max="13317" width="16" style="53" bestFit="1" customWidth="1"/>
    <col min="13318" max="13318" width="13.7109375" style="53" bestFit="1" customWidth="1"/>
    <col min="13319" max="13319" width="15.7109375" style="53" bestFit="1" customWidth="1"/>
    <col min="13320" max="13320" width="13.140625" style="53" bestFit="1" customWidth="1"/>
    <col min="13321" max="13321" width="11.85546875" style="53" bestFit="1" customWidth="1"/>
    <col min="13322" max="13322" width="12.85546875" style="53" bestFit="1" customWidth="1"/>
    <col min="13323" max="13568" width="9.140625" style="53"/>
    <col min="13569" max="13569" width="9.28515625" style="53" customWidth="1"/>
    <col min="13570" max="13570" width="39.85546875" style="53" customWidth="1"/>
    <col min="13571" max="13571" width="18.28515625" style="53" customWidth="1"/>
    <col min="13572" max="13572" width="23.85546875" style="53" customWidth="1"/>
    <col min="13573" max="13573" width="16" style="53" bestFit="1" customWidth="1"/>
    <col min="13574" max="13574" width="13.7109375" style="53" bestFit="1" customWidth="1"/>
    <col min="13575" max="13575" width="15.7109375" style="53" bestFit="1" customWidth="1"/>
    <col min="13576" max="13576" width="13.140625" style="53" bestFit="1" customWidth="1"/>
    <col min="13577" max="13577" width="11.85546875" style="53" bestFit="1" customWidth="1"/>
    <col min="13578" max="13578" width="12.85546875" style="53" bestFit="1" customWidth="1"/>
    <col min="13579" max="13824" width="9.140625" style="53"/>
    <col min="13825" max="13825" width="9.28515625" style="53" customWidth="1"/>
    <col min="13826" max="13826" width="39.85546875" style="53" customWidth="1"/>
    <col min="13827" max="13827" width="18.28515625" style="53" customWidth="1"/>
    <col min="13828" max="13828" width="23.85546875" style="53" customWidth="1"/>
    <col min="13829" max="13829" width="16" style="53" bestFit="1" customWidth="1"/>
    <col min="13830" max="13830" width="13.7109375" style="53" bestFit="1" customWidth="1"/>
    <col min="13831" max="13831" width="15.7109375" style="53" bestFit="1" customWidth="1"/>
    <col min="13832" max="13832" width="13.140625" style="53" bestFit="1" customWidth="1"/>
    <col min="13833" max="13833" width="11.85546875" style="53" bestFit="1" customWidth="1"/>
    <col min="13834" max="13834" width="12.85546875" style="53" bestFit="1" customWidth="1"/>
    <col min="13835" max="14080" width="9.140625" style="53"/>
    <col min="14081" max="14081" width="9.28515625" style="53" customWidth="1"/>
    <col min="14082" max="14082" width="39.85546875" style="53" customWidth="1"/>
    <col min="14083" max="14083" width="18.28515625" style="53" customWidth="1"/>
    <col min="14084" max="14084" width="23.85546875" style="53" customWidth="1"/>
    <col min="14085" max="14085" width="16" style="53" bestFit="1" customWidth="1"/>
    <col min="14086" max="14086" width="13.7109375" style="53" bestFit="1" customWidth="1"/>
    <col min="14087" max="14087" width="15.7109375" style="53" bestFit="1" customWidth="1"/>
    <col min="14088" max="14088" width="13.140625" style="53" bestFit="1" customWidth="1"/>
    <col min="14089" max="14089" width="11.85546875" style="53" bestFit="1" customWidth="1"/>
    <col min="14090" max="14090" width="12.85546875" style="53" bestFit="1" customWidth="1"/>
    <col min="14091" max="14336" width="9.140625" style="53"/>
    <col min="14337" max="14337" width="9.28515625" style="53" customWidth="1"/>
    <col min="14338" max="14338" width="39.85546875" style="53" customWidth="1"/>
    <col min="14339" max="14339" width="18.28515625" style="53" customWidth="1"/>
    <col min="14340" max="14340" width="23.85546875" style="53" customWidth="1"/>
    <col min="14341" max="14341" width="16" style="53" bestFit="1" customWidth="1"/>
    <col min="14342" max="14342" width="13.7109375" style="53" bestFit="1" customWidth="1"/>
    <col min="14343" max="14343" width="15.7109375" style="53" bestFit="1" customWidth="1"/>
    <col min="14344" max="14344" width="13.140625" style="53" bestFit="1" customWidth="1"/>
    <col min="14345" max="14345" width="11.85546875" style="53" bestFit="1" customWidth="1"/>
    <col min="14346" max="14346" width="12.85546875" style="53" bestFit="1" customWidth="1"/>
    <col min="14347" max="14592" width="9.140625" style="53"/>
    <col min="14593" max="14593" width="9.28515625" style="53" customWidth="1"/>
    <col min="14594" max="14594" width="39.85546875" style="53" customWidth="1"/>
    <col min="14595" max="14595" width="18.28515625" style="53" customWidth="1"/>
    <col min="14596" max="14596" width="23.85546875" style="53" customWidth="1"/>
    <col min="14597" max="14597" width="16" style="53" bestFit="1" customWidth="1"/>
    <col min="14598" max="14598" width="13.7109375" style="53" bestFit="1" customWidth="1"/>
    <col min="14599" max="14599" width="15.7109375" style="53" bestFit="1" customWidth="1"/>
    <col min="14600" max="14600" width="13.140625" style="53" bestFit="1" customWidth="1"/>
    <col min="14601" max="14601" width="11.85546875" style="53" bestFit="1" customWidth="1"/>
    <col min="14602" max="14602" width="12.85546875" style="53" bestFit="1" customWidth="1"/>
    <col min="14603" max="14848" width="9.140625" style="53"/>
    <col min="14849" max="14849" width="9.28515625" style="53" customWidth="1"/>
    <col min="14850" max="14850" width="39.85546875" style="53" customWidth="1"/>
    <col min="14851" max="14851" width="18.28515625" style="53" customWidth="1"/>
    <col min="14852" max="14852" width="23.85546875" style="53" customWidth="1"/>
    <col min="14853" max="14853" width="16" style="53" bestFit="1" customWidth="1"/>
    <col min="14854" max="14854" width="13.7109375" style="53" bestFit="1" customWidth="1"/>
    <col min="14855" max="14855" width="15.7109375" style="53" bestFit="1" customWidth="1"/>
    <col min="14856" max="14856" width="13.140625" style="53" bestFit="1" customWidth="1"/>
    <col min="14857" max="14857" width="11.85546875" style="53" bestFit="1" customWidth="1"/>
    <col min="14858" max="14858" width="12.85546875" style="53" bestFit="1" customWidth="1"/>
    <col min="14859" max="15104" width="9.140625" style="53"/>
    <col min="15105" max="15105" width="9.28515625" style="53" customWidth="1"/>
    <col min="15106" max="15106" width="39.85546875" style="53" customWidth="1"/>
    <col min="15107" max="15107" width="18.28515625" style="53" customWidth="1"/>
    <col min="15108" max="15108" width="23.85546875" style="53" customWidth="1"/>
    <col min="15109" max="15109" width="16" style="53" bestFit="1" customWidth="1"/>
    <col min="15110" max="15110" width="13.7109375" style="53" bestFit="1" customWidth="1"/>
    <col min="15111" max="15111" width="15.7109375" style="53" bestFit="1" customWidth="1"/>
    <col min="15112" max="15112" width="13.140625" style="53" bestFit="1" customWidth="1"/>
    <col min="15113" max="15113" width="11.85546875" style="53" bestFit="1" customWidth="1"/>
    <col min="15114" max="15114" width="12.85546875" style="53" bestFit="1" customWidth="1"/>
    <col min="15115" max="15360" width="9.140625" style="53"/>
    <col min="15361" max="15361" width="9.28515625" style="53" customWidth="1"/>
    <col min="15362" max="15362" width="39.85546875" style="53" customWidth="1"/>
    <col min="15363" max="15363" width="18.28515625" style="53" customWidth="1"/>
    <col min="15364" max="15364" width="23.85546875" style="53" customWidth="1"/>
    <col min="15365" max="15365" width="16" style="53" bestFit="1" customWidth="1"/>
    <col min="15366" max="15366" width="13.7109375" style="53" bestFit="1" customWidth="1"/>
    <col min="15367" max="15367" width="15.7109375" style="53" bestFit="1" customWidth="1"/>
    <col min="15368" max="15368" width="13.140625" style="53" bestFit="1" customWidth="1"/>
    <col min="15369" max="15369" width="11.85546875" style="53" bestFit="1" customWidth="1"/>
    <col min="15370" max="15370" width="12.85546875" style="53" bestFit="1" customWidth="1"/>
    <col min="15371" max="15616" width="9.140625" style="53"/>
    <col min="15617" max="15617" width="9.28515625" style="53" customWidth="1"/>
    <col min="15618" max="15618" width="39.85546875" style="53" customWidth="1"/>
    <col min="15619" max="15619" width="18.28515625" style="53" customWidth="1"/>
    <col min="15620" max="15620" width="23.85546875" style="53" customWidth="1"/>
    <col min="15621" max="15621" width="16" style="53" bestFit="1" customWidth="1"/>
    <col min="15622" max="15622" width="13.7109375" style="53" bestFit="1" customWidth="1"/>
    <col min="15623" max="15623" width="15.7109375" style="53" bestFit="1" customWidth="1"/>
    <col min="15624" max="15624" width="13.140625" style="53" bestFit="1" customWidth="1"/>
    <col min="15625" max="15625" width="11.85546875" style="53" bestFit="1" customWidth="1"/>
    <col min="15626" max="15626" width="12.85546875" style="53" bestFit="1" customWidth="1"/>
    <col min="15627" max="15872" width="9.140625" style="53"/>
    <col min="15873" max="15873" width="9.28515625" style="53" customWidth="1"/>
    <col min="15874" max="15874" width="39.85546875" style="53" customWidth="1"/>
    <col min="15875" max="15875" width="18.28515625" style="53" customWidth="1"/>
    <col min="15876" max="15876" width="23.85546875" style="53" customWidth="1"/>
    <col min="15877" max="15877" width="16" style="53" bestFit="1" customWidth="1"/>
    <col min="15878" max="15878" width="13.7109375" style="53" bestFit="1" customWidth="1"/>
    <col min="15879" max="15879" width="15.7109375" style="53" bestFit="1" customWidth="1"/>
    <col min="15880" max="15880" width="13.140625" style="53" bestFit="1" customWidth="1"/>
    <col min="15881" max="15881" width="11.85546875" style="53" bestFit="1" customWidth="1"/>
    <col min="15882" max="15882" width="12.85546875" style="53" bestFit="1" customWidth="1"/>
    <col min="15883" max="16128" width="9.140625" style="53"/>
    <col min="16129" max="16129" width="9.28515625" style="53" customWidth="1"/>
    <col min="16130" max="16130" width="39.85546875" style="53" customWidth="1"/>
    <col min="16131" max="16131" width="18.28515625" style="53" customWidth="1"/>
    <col min="16132" max="16132" width="23.85546875" style="53" customWidth="1"/>
    <col min="16133" max="16133" width="16" style="53" bestFit="1" customWidth="1"/>
    <col min="16134" max="16134" width="13.7109375" style="53" bestFit="1" customWidth="1"/>
    <col min="16135" max="16135" width="15.7109375" style="53" bestFit="1" customWidth="1"/>
    <col min="16136" max="16136" width="13.140625" style="53" bestFit="1" customWidth="1"/>
    <col min="16137" max="16137" width="11.85546875" style="53" bestFit="1" customWidth="1"/>
    <col min="16138" max="16138" width="12.85546875" style="53" bestFit="1" customWidth="1"/>
    <col min="16139" max="16384" width="9.140625" style="53"/>
  </cols>
  <sheetData>
    <row r="3" spans="1:7" ht="15.75" customHeight="1">
      <c r="A3" s="543" t="s">
        <v>255</v>
      </c>
      <c r="B3" s="543"/>
      <c r="C3" s="543"/>
      <c r="D3" s="543"/>
      <c r="E3" s="52"/>
      <c r="F3" s="52"/>
      <c r="G3" s="52"/>
    </row>
    <row r="4" spans="1:7">
      <c r="A4" s="543"/>
      <c r="B4" s="543"/>
      <c r="C4" s="543"/>
      <c r="D4" s="543"/>
      <c r="E4" s="52"/>
      <c r="F4" s="52"/>
      <c r="G4" s="52"/>
    </row>
    <row r="5" spans="1:7">
      <c r="A5" s="54"/>
      <c r="B5" s="52"/>
      <c r="C5" s="52"/>
      <c r="D5" s="52"/>
      <c r="E5" s="52"/>
      <c r="F5" s="52"/>
      <c r="G5" s="52"/>
    </row>
    <row r="6" spans="1:7" ht="15.75" customHeight="1">
      <c r="A6" s="544" t="s">
        <v>550</v>
      </c>
      <c r="B6" s="544"/>
      <c r="C6" s="544"/>
      <c r="D6" s="544"/>
      <c r="E6" s="52"/>
      <c r="F6" s="52"/>
      <c r="G6" s="52"/>
    </row>
    <row r="7" spans="1:7">
      <c r="A7" s="522"/>
      <c r="B7" s="522"/>
      <c r="C7" s="522"/>
      <c r="D7" s="522"/>
    </row>
    <row r="8" spans="1:7">
      <c r="A8" s="237" t="s">
        <v>551</v>
      </c>
      <c r="B8" s="238"/>
      <c r="C8" s="187"/>
      <c r="D8" s="187"/>
    </row>
    <row r="9" spans="1:7">
      <c r="A9" s="522"/>
      <c r="B9" s="522"/>
      <c r="C9" s="522"/>
      <c r="D9" s="522"/>
    </row>
    <row r="10" spans="1:7">
      <c r="A10" s="57" t="s">
        <v>256</v>
      </c>
      <c r="B10" s="188"/>
      <c r="C10" s="187"/>
      <c r="D10" s="187"/>
    </row>
    <row r="11" spans="1:7">
      <c r="A11" s="59" t="s">
        <v>257</v>
      </c>
      <c r="B11" s="541" t="s">
        <v>258</v>
      </c>
      <c r="C11" s="542"/>
      <c r="D11" s="239">
        <v>42550</v>
      </c>
    </row>
    <row r="12" spans="1:7">
      <c r="A12" s="59" t="s">
        <v>259</v>
      </c>
      <c r="B12" s="62" t="s">
        <v>260</v>
      </c>
      <c r="C12" s="63"/>
      <c r="D12" s="240" t="s">
        <v>374</v>
      </c>
    </row>
    <row r="13" spans="1:7">
      <c r="A13" s="59" t="s">
        <v>261</v>
      </c>
      <c r="B13" s="541" t="s">
        <v>262</v>
      </c>
      <c r="C13" s="542"/>
      <c r="D13" s="240">
        <v>2016</v>
      </c>
    </row>
    <row r="14" spans="1:7">
      <c r="A14" s="64" t="s">
        <v>263</v>
      </c>
      <c r="B14" s="65" t="s">
        <v>555</v>
      </c>
      <c r="C14" s="66"/>
      <c r="D14" s="239">
        <v>42625</v>
      </c>
    </row>
    <row r="16" spans="1:7">
      <c r="A16" s="190"/>
    </row>
    <row r="17" spans="1:7">
      <c r="A17" s="523"/>
      <c r="B17" s="523"/>
      <c r="C17" s="523"/>
      <c r="D17" s="523"/>
      <c r="E17" s="523"/>
      <c r="F17" s="523"/>
      <c r="G17" s="523"/>
    </row>
    <row r="18" spans="1:7" ht="35.25" customHeight="1">
      <c r="A18" s="545" t="s">
        <v>264</v>
      </c>
      <c r="B18" s="545"/>
      <c r="C18" s="67" t="s">
        <v>265</v>
      </c>
      <c r="D18" s="67" t="s">
        <v>266</v>
      </c>
    </row>
    <row r="19" spans="1:7">
      <c r="A19" s="241">
        <v>1</v>
      </c>
      <c r="B19" s="242" t="s">
        <v>1</v>
      </c>
      <c r="C19" s="241" t="s">
        <v>267</v>
      </c>
      <c r="D19" s="243">
        <v>4</v>
      </c>
    </row>
    <row r="20" spans="1:7">
      <c r="A20" s="68"/>
      <c r="B20" s="69"/>
      <c r="C20" s="68"/>
      <c r="D20" s="70"/>
    </row>
    <row r="21" spans="1:7">
      <c r="A21" s="522" t="s">
        <v>268</v>
      </c>
      <c r="B21" s="522"/>
      <c r="C21" s="522"/>
      <c r="D21" s="522"/>
      <c r="E21" s="522"/>
      <c r="F21" s="522"/>
      <c r="G21" s="522"/>
    </row>
    <row r="22" spans="1:7">
      <c r="A22" s="71"/>
    </row>
    <row r="23" spans="1:7">
      <c r="A23" s="57" t="s">
        <v>269</v>
      </c>
    </row>
    <row r="24" spans="1:7">
      <c r="A24" s="57" t="s">
        <v>270</v>
      </c>
    </row>
    <row r="25" spans="1:7">
      <c r="A25" s="72" t="s">
        <v>271</v>
      </c>
      <c r="B25" s="60"/>
      <c r="C25" s="60"/>
      <c r="D25" s="61"/>
    </row>
    <row r="26" spans="1:7">
      <c r="A26" s="73">
        <v>1</v>
      </c>
      <c r="B26" s="74" t="s">
        <v>272</v>
      </c>
      <c r="C26" s="74"/>
      <c r="D26" s="244" t="str">
        <f>B19</f>
        <v>Recepcionista</v>
      </c>
    </row>
    <row r="27" spans="1:7" ht="30.75" customHeight="1">
      <c r="A27" s="73">
        <v>2</v>
      </c>
      <c r="B27" s="539" t="s">
        <v>273</v>
      </c>
      <c r="C27" s="540"/>
      <c r="D27" s="175">
        <v>1249</v>
      </c>
    </row>
    <row r="28" spans="1:7" ht="31.5" customHeight="1">
      <c r="A28" s="73">
        <v>3</v>
      </c>
      <c r="B28" s="539" t="s">
        <v>274</v>
      </c>
      <c r="C28" s="540"/>
      <c r="D28" s="176" t="s">
        <v>375</v>
      </c>
    </row>
    <row r="29" spans="1:7">
      <c r="A29" s="75">
        <v>4</v>
      </c>
      <c r="B29" s="76" t="s">
        <v>275</v>
      </c>
      <c r="C29" s="76"/>
      <c r="D29" s="77">
        <v>42401</v>
      </c>
    </row>
    <row r="30" spans="1:7">
      <c r="A30" s="71"/>
    </row>
    <row r="31" spans="1:7">
      <c r="A31" s="71"/>
    </row>
    <row r="32" spans="1:7">
      <c r="A32" s="71"/>
    </row>
    <row r="33" spans="1:7" ht="16.5" customHeight="1" thickBot="1">
      <c r="A33" s="523" t="s">
        <v>276</v>
      </c>
      <c r="B33" s="523"/>
      <c r="C33" s="523"/>
      <c r="D33" s="523"/>
      <c r="E33" s="523"/>
      <c r="F33" s="52"/>
      <c r="G33" s="52"/>
    </row>
    <row r="34" spans="1:7" ht="16.5" thickBot="1">
      <c r="A34" s="78" t="s">
        <v>277</v>
      </c>
      <c r="B34" s="79" t="s">
        <v>278</v>
      </c>
      <c r="C34" s="80"/>
      <c r="D34" s="81" t="s">
        <v>279</v>
      </c>
    </row>
    <row r="35" spans="1:7">
      <c r="A35" s="82" t="s">
        <v>257</v>
      </c>
      <c r="B35" s="83" t="s">
        <v>280</v>
      </c>
      <c r="C35" s="84"/>
      <c r="D35" s="85">
        <f>ROUND(((D27/220)*(365.25/12)*(40/6)),2)</f>
        <v>1152.01</v>
      </c>
    </row>
    <row r="36" spans="1:7">
      <c r="A36" s="191" t="s">
        <v>259</v>
      </c>
      <c r="B36" s="87" t="s">
        <v>281</v>
      </c>
      <c r="C36" s="88"/>
      <c r="D36" s="89">
        <v>0</v>
      </c>
    </row>
    <row r="37" spans="1:7">
      <c r="A37" s="191" t="s">
        <v>261</v>
      </c>
      <c r="B37" s="87" t="s">
        <v>282</v>
      </c>
      <c r="C37" s="90"/>
      <c r="D37" s="89">
        <v>0</v>
      </c>
    </row>
    <row r="38" spans="1:7">
      <c r="A38" s="191" t="s">
        <v>263</v>
      </c>
      <c r="B38" s="91" t="s">
        <v>552</v>
      </c>
      <c r="C38" s="88"/>
      <c r="D38" s="89">
        <v>21.68</v>
      </c>
    </row>
    <row r="39" spans="1:7">
      <c r="A39" s="191" t="s">
        <v>284</v>
      </c>
      <c r="B39" s="91" t="s">
        <v>285</v>
      </c>
      <c r="C39" s="92"/>
      <c r="D39" s="89">
        <v>0</v>
      </c>
    </row>
    <row r="40" spans="1:7">
      <c r="A40" s="191" t="s">
        <v>286</v>
      </c>
      <c r="B40" s="93" t="s">
        <v>287</v>
      </c>
      <c r="C40" s="92"/>
      <c r="D40" s="89">
        <v>0</v>
      </c>
    </row>
    <row r="41" spans="1:7">
      <c r="A41" s="191" t="s">
        <v>288</v>
      </c>
      <c r="B41" s="93" t="s">
        <v>289</v>
      </c>
      <c r="C41" s="92"/>
      <c r="D41" s="89">
        <v>0</v>
      </c>
    </row>
    <row r="42" spans="1:7" ht="16.5" thickBot="1">
      <c r="A42" s="191" t="s">
        <v>290</v>
      </c>
      <c r="B42" s="94" t="s">
        <v>376</v>
      </c>
      <c r="C42" s="95"/>
      <c r="D42" s="89">
        <v>0</v>
      </c>
    </row>
    <row r="43" spans="1:7" ht="16.5" thickBot="1">
      <c r="A43" s="96"/>
      <c r="B43" s="97" t="s">
        <v>292</v>
      </c>
      <c r="C43" s="98"/>
      <c r="D43" s="99">
        <f>SUM(D35:D42)</f>
        <v>1173.69</v>
      </c>
    </row>
    <row r="44" spans="1:7">
      <c r="A44" s="190"/>
    </row>
    <row r="45" spans="1:7" ht="16.5" thickBot="1">
      <c r="A45" s="523" t="s">
        <v>293</v>
      </c>
      <c r="B45" s="523"/>
      <c r="C45" s="523"/>
      <c r="D45" s="523"/>
      <c r="E45" s="523"/>
      <c r="F45" s="523"/>
      <c r="G45" s="523"/>
    </row>
    <row r="46" spans="1:7" ht="16.5" thickBot="1">
      <c r="A46" s="100">
        <v>2</v>
      </c>
      <c r="B46" s="189" t="s">
        <v>294</v>
      </c>
      <c r="C46" s="102"/>
      <c r="D46" s="100" t="s">
        <v>279</v>
      </c>
    </row>
    <row r="47" spans="1:7">
      <c r="A47" s="82" t="s">
        <v>257</v>
      </c>
      <c r="B47" s="83" t="s">
        <v>295</v>
      </c>
      <c r="C47" s="103"/>
      <c r="D47" s="104">
        <f>(3.7*44)-(D35*6%)</f>
        <v>93.679400000000015</v>
      </c>
    </row>
    <row r="48" spans="1:7" ht="31.5">
      <c r="A48" s="105" t="s">
        <v>259</v>
      </c>
      <c r="B48" s="106" t="s">
        <v>296</v>
      </c>
      <c r="C48" s="90"/>
      <c r="D48" s="107">
        <f>330*(1-20%)</f>
        <v>264</v>
      </c>
    </row>
    <row r="49" spans="1:7">
      <c r="A49" s="191" t="s">
        <v>261</v>
      </c>
      <c r="B49" s="87" t="s">
        <v>389</v>
      </c>
      <c r="C49" s="90"/>
      <c r="D49" s="107">
        <v>50</v>
      </c>
    </row>
    <row r="50" spans="1:7">
      <c r="A50" s="191" t="s">
        <v>263</v>
      </c>
      <c r="B50" s="87" t="s">
        <v>297</v>
      </c>
      <c r="C50" s="88"/>
      <c r="D50" s="107">
        <v>0</v>
      </c>
    </row>
    <row r="51" spans="1:7">
      <c r="A51" s="191" t="s">
        <v>284</v>
      </c>
      <c r="B51" s="87" t="s">
        <v>390</v>
      </c>
      <c r="C51" s="92"/>
      <c r="D51" s="108">
        <v>16</v>
      </c>
    </row>
    <row r="52" spans="1:7" ht="16.5" customHeight="1">
      <c r="A52" s="191" t="s">
        <v>286</v>
      </c>
      <c r="B52" s="535" t="s">
        <v>377</v>
      </c>
      <c r="C52" s="536"/>
      <c r="D52" s="108">
        <v>16</v>
      </c>
    </row>
    <row r="53" spans="1:7" ht="16.5" thickBot="1">
      <c r="A53" s="109" t="s">
        <v>288</v>
      </c>
      <c r="B53" s="537" t="s">
        <v>291</v>
      </c>
      <c r="C53" s="538"/>
      <c r="D53" s="110">
        <v>0</v>
      </c>
    </row>
    <row r="54" spans="1:7" ht="16.5" thickBot="1">
      <c r="A54" s="111"/>
      <c r="B54" s="189" t="s">
        <v>298</v>
      </c>
      <c r="C54" s="112"/>
      <c r="D54" s="113">
        <f>SUM(D47:D53)</f>
        <v>439.67939999999999</v>
      </c>
    </row>
    <row r="55" spans="1:7" ht="33" customHeight="1">
      <c r="A55" s="522" t="s">
        <v>299</v>
      </c>
      <c r="B55" s="522"/>
      <c r="C55" s="522"/>
      <c r="D55" s="522"/>
    </row>
    <row r="56" spans="1:7">
      <c r="A56" s="190"/>
    </row>
    <row r="57" spans="1:7" ht="16.5" thickBot="1">
      <c r="A57" s="523" t="s">
        <v>300</v>
      </c>
      <c r="B57" s="523"/>
      <c r="C57" s="523"/>
      <c r="D57" s="523"/>
      <c r="E57" s="523"/>
      <c r="F57" s="523"/>
      <c r="G57" s="523"/>
    </row>
    <row r="58" spans="1:7" ht="16.5" thickBot="1">
      <c r="A58" s="114">
        <v>3</v>
      </c>
      <c r="B58" s="189" t="s">
        <v>301</v>
      </c>
      <c r="C58" s="102"/>
      <c r="D58" s="100" t="s">
        <v>279</v>
      </c>
    </row>
    <row r="59" spans="1:7">
      <c r="A59" s="82" t="s">
        <v>257</v>
      </c>
      <c r="B59" s="83" t="s">
        <v>302</v>
      </c>
      <c r="C59" s="115"/>
      <c r="D59" s="116">
        <f>'ANEXO IV'!D19</f>
        <v>41.166666666666664</v>
      </c>
    </row>
    <row r="60" spans="1:7">
      <c r="A60" s="105" t="s">
        <v>259</v>
      </c>
      <c r="B60" s="106" t="s">
        <v>15</v>
      </c>
      <c r="C60" s="90"/>
      <c r="D60" s="107">
        <v>0</v>
      </c>
    </row>
    <row r="61" spans="1:7">
      <c r="A61" s="191" t="s">
        <v>261</v>
      </c>
      <c r="B61" s="87" t="s">
        <v>21</v>
      </c>
      <c r="C61" s="90"/>
      <c r="D61" s="107">
        <v>0</v>
      </c>
    </row>
    <row r="62" spans="1:7">
      <c r="A62" s="191" t="s">
        <v>263</v>
      </c>
      <c r="B62" s="535" t="s">
        <v>18</v>
      </c>
      <c r="C62" s="536"/>
      <c r="D62" s="108">
        <v>0</v>
      </c>
    </row>
    <row r="63" spans="1:7" ht="16.5" thickBot="1">
      <c r="A63" s="109" t="s">
        <v>284</v>
      </c>
      <c r="B63" s="537" t="s">
        <v>291</v>
      </c>
      <c r="C63" s="538"/>
      <c r="D63" s="110">
        <v>0</v>
      </c>
    </row>
    <row r="64" spans="1:7" ht="16.5" thickBot="1">
      <c r="A64" s="111"/>
      <c r="B64" s="189" t="s">
        <v>303</v>
      </c>
      <c r="C64" s="112"/>
      <c r="D64" s="113">
        <f>SUM(D59:D63)</f>
        <v>41.166666666666664</v>
      </c>
    </row>
    <row r="65" spans="1:7">
      <c r="A65" s="522" t="s">
        <v>304</v>
      </c>
      <c r="B65" s="522"/>
      <c r="C65" s="522"/>
      <c r="D65" s="522"/>
      <c r="E65" s="522"/>
      <c r="F65" s="522"/>
      <c r="G65" s="522"/>
    </row>
    <row r="66" spans="1:7">
      <c r="A66" s="190"/>
    </row>
    <row r="67" spans="1:7">
      <c r="A67" s="523" t="s">
        <v>305</v>
      </c>
      <c r="B67" s="523"/>
      <c r="C67" s="523"/>
      <c r="D67" s="523"/>
      <c r="E67" s="523"/>
      <c r="F67" s="523"/>
      <c r="G67" s="523"/>
    </row>
    <row r="68" spans="1:7" ht="16.5" thickBot="1">
      <c r="A68" s="523" t="s">
        <v>306</v>
      </c>
      <c r="B68" s="523"/>
      <c r="C68" s="523"/>
      <c r="D68" s="523"/>
      <c r="E68" s="523"/>
      <c r="F68" s="523"/>
      <c r="G68" s="523"/>
    </row>
    <row r="69" spans="1:7" ht="16.5" thickBot="1">
      <c r="A69" s="117" t="s">
        <v>307</v>
      </c>
      <c r="B69" s="118" t="s">
        <v>308</v>
      </c>
      <c r="C69" s="117" t="s">
        <v>4</v>
      </c>
      <c r="D69" s="117" t="s">
        <v>279</v>
      </c>
    </row>
    <row r="70" spans="1:7">
      <c r="A70" s="82" t="s">
        <v>257</v>
      </c>
      <c r="B70" s="119" t="s">
        <v>8</v>
      </c>
      <c r="C70" s="120">
        <v>0.2</v>
      </c>
      <c r="D70" s="104">
        <f t="shared" ref="D70:D77" si="0">ROUND($D$43*C70,2)</f>
        <v>234.74</v>
      </c>
    </row>
    <row r="71" spans="1:7">
      <c r="A71" s="105" t="s">
        <v>259</v>
      </c>
      <c r="B71" s="121" t="s">
        <v>309</v>
      </c>
      <c r="C71" s="122">
        <v>1.4999999999999999E-2</v>
      </c>
      <c r="D71" s="107">
        <f t="shared" si="0"/>
        <v>17.61</v>
      </c>
    </row>
    <row r="72" spans="1:7">
      <c r="A72" s="191" t="s">
        <v>261</v>
      </c>
      <c r="B72" s="123" t="s">
        <v>310</v>
      </c>
      <c r="C72" s="122">
        <v>0.01</v>
      </c>
      <c r="D72" s="107">
        <f t="shared" si="0"/>
        <v>11.74</v>
      </c>
    </row>
    <row r="73" spans="1:7">
      <c r="A73" s="105" t="s">
        <v>263</v>
      </c>
      <c r="B73" s="121" t="s">
        <v>9</v>
      </c>
      <c r="C73" s="122">
        <v>2E-3</v>
      </c>
      <c r="D73" s="107">
        <f t="shared" si="0"/>
        <v>2.35</v>
      </c>
    </row>
    <row r="74" spans="1:7">
      <c r="A74" s="191" t="s">
        <v>284</v>
      </c>
      <c r="B74" s="123" t="s">
        <v>10</v>
      </c>
      <c r="C74" s="122">
        <v>2.5000000000000001E-2</v>
      </c>
      <c r="D74" s="107">
        <f t="shared" si="0"/>
        <v>29.34</v>
      </c>
    </row>
    <row r="75" spans="1:7">
      <c r="A75" s="105" t="s">
        <v>286</v>
      </c>
      <c r="B75" s="121" t="s">
        <v>11</v>
      </c>
      <c r="C75" s="122">
        <v>0.08</v>
      </c>
      <c r="D75" s="107">
        <f t="shared" si="0"/>
        <v>93.9</v>
      </c>
    </row>
    <row r="76" spans="1:7" ht="31.5">
      <c r="A76" s="191" t="s">
        <v>288</v>
      </c>
      <c r="B76" s="123" t="s">
        <v>378</v>
      </c>
      <c r="C76" s="141">
        <v>3.0499999999999999E-2</v>
      </c>
      <c r="D76" s="245">
        <f t="shared" si="0"/>
        <v>35.799999999999997</v>
      </c>
    </row>
    <row r="77" spans="1:7" ht="16.5" thickBot="1">
      <c r="A77" s="124" t="s">
        <v>290</v>
      </c>
      <c r="B77" s="125" t="s">
        <v>12</v>
      </c>
      <c r="C77" s="126">
        <v>6.0000000000000001E-3</v>
      </c>
      <c r="D77" s="110">
        <f t="shared" si="0"/>
        <v>7.04</v>
      </c>
    </row>
    <row r="78" spans="1:7" ht="16.5" thickBot="1">
      <c r="A78" s="530" t="s">
        <v>7</v>
      </c>
      <c r="B78" s="531"/>
      <c r="C78" s="127">
        <f>SUM(C70:C77)</f>
        <v>0.36850000000000005</v>
      </c>
      <c r="D78" s="113">
        <f>SUM(D70:D77)</f>
        <v>432.5200000000001</v>
      </c>
    </row>
    <row r="79" spans="1:7">
      <c r="A79" s="534" t="s">
        <v>311</v>
      </c>
      <c r="B79" s="534"/>
      <c r="C79" s="534"/>
      <c r="D79" s="534"/>
    </row>
    <row r="80" spans="1:7" ht="16.5" customHeight="1">
      <c r="A80" s="534" t="s">
        <v>312</v>
      </c>
      <c r="B80" s="534"/>
      <c r="C80" s="534"/>
      <c r="D80" s="534"/>
    </row>
    <row r="81" spans="1:7">
      <c r="A81" s="190"/>
    </row>
    <row r="82" spans="1:7" ht="16.5" thickBot="1">
      <c r="A82" s="523" t="s">
        <v>313</v>
      </c>
      <c r="B82" s="523"/>
      <c r="C82" s="523"/>
      <c r="D82" s="523"/>
      <c r="E82" s="523"/>
      <c r="F82" s="523"/>
      <c r="G82" s="523"/>
    </row>
    <row r="83" spans="1:7" ht="16.5" thickBot="1">
      <c r="A83" s="117" t="s">
        <v>314</v>
      </c>
      <c r="B83" s="118" t="s">
        <v>315</v>
      </c>
      <c r="C83" s="117" t="s">
        <v>4</v>
      </c>
      <c r="D83" s="117" t="s">
        <v>279</v>
      </c>
    </row>
    <row r="84" spans="1:7">
      <c r="A84" s="82" t="s">
        <v>257</v>
      </c>
      <c r="B84" s="119" t="s">
        <v>316</v>
      </c>
      <c r="C84" s="120">
        <f>((5/56)*100)/100</f>
        <v>8.9285714285714288E-2</v>
      </c>
      <c r="D84" s="104">
        <f>ROUND($D$43*C84,2)</f>
        <v>104.79</v>
      </c>
    </row>
    <row r="85" spans="1:7">
      <c r="A85" s="105" t="s">
        <v>259</v>
      </c>
      <c r="B85" s="121" t="s">
        <v>317</v>
      </c>
      <c r="C85" s="128">
        <f>(1/3)*(5/56)</f>
        <v>2.976190476190476E-2</v>
      </c>
      <c r="D85" s="129">
        <f>ROUND($D$43*C85,2)</f>
        <v>34.93</v>
      </c>
    </row>
    <row r="86" spans="1:7">
      <c r="A86" s="130" t="s">
        <v>318</v>
      </c>
      <c r="B86" s="121"/>
      <c r="C86" s="131">
        <f>SUM(C84:C85)</f>
        <v>0.11904761904761904</v>
      </c>
      <c r="D86" s="132">
        <f>SUM(D84:D85)</f>
        <v>139.72</v>
      </c>
    </row>
    <row r="87" spans="1:7" ht="32.25" thickBot="1">
      <c r="A87" s="105" t="s">
        <v>261</v>
      </c>
      <c r="B87" s="121" t="s">
        <v>319</v>
      </c>
      <c r="C87" s="122">
        <f>D87/D43</f>
        <v>4.3870187187417461E-2</v>
      </c>
      <c r="D87" s="107">
        <f>ROUND(D78*C86,2)</f>
        <v>51.49</v>
      </c>
    </row>
    <row r="88" spans="1:7" ht="16.5" thickBot="1">
      <c r="A88" s="530" t="s">
        <v>7</v>
      </c>
      <c r="B88" s="531"/>
      <c r="C88" s="127">
        <f>C87+C86</f>
        <v>0.16291780623503649</v>
      </c>
      <c r="D88" s="113">
        <f>D86+D87</f>
        <v>191.21</v>
      </c>
    </row>
    <row r="89" spans="1:7">
      <c r="A89" s="190"/>
    </row>
    <row r="90" spans="1:7" ht="16.5" thickBot="1">
      <c r="A90" s="523" t="s">
        <v>320</v>
      </c>
      <c r="B90" s="523"/>
      <c r="C90" s="523"/>
      <c r="D90" s="523"/>
      <c r="E90" s="523"/>
      <c r="F90" s="523"/>
      <c r="G90" s="523"/>
    </row>
    <row r="91" spans="1:7" ht="16.5" thickBot="1">
      <c r="A91" s="117" t="s">
        <v>321</v>
      </c>
      <c r="B91" s="118" t="s">
        <v>322</v>
      </c>
      <c r="C91" s="117" t="s">
        <v>4</v>
      </c>
      <c r="D91" s="117" t="s">
        <v>279</v>
      </c>
    </row>
    <row r="92" spans="1:7">
      <c r="A92" s="82" t="s">
        <v>257</v>
      </c>
      <c r="B92" s="133" t="s">
        <v>323</v>
      </c>
      <c r="C92" s="120">
        <f>0.1111*0.02*0.3333</f>
        <v>7.4059259999999997E-4</v>
      </c>
      <c r="D92" s="104">
        <f>ROUND($D$43*C92,2)</f>
        <v>0.87</v>
      </c>
    </row>
    <row r="93" spans="1:7" ht="32.25" thickBot="1">
      <c r="A93" s="109" t="s">
        <v>259</v>
      </c>
      <c r="B93" s="134" t="s">
        <v>324</v>
      </c>
      <c r="C93" s="126">
        <f>D93/D43</f>
        <v>2.7264439502764785E-4</v>
      </c>
      <c r="D93" s="110">
        <f>ROUND(D78*C92,2)</f>
        <v>0.32</v>
      </c>
    </row>
    <row r="94" spans="1:7" ht="16.5" thickBot="1">
      <c r="A94" s="530" t="s">
        <v>7</v>
      </c>
      <c r="B94" s="531"/>
      <c r="C94" s="127">
        <f>SUM(C92:C93)</f>
        <v>1.0132369950276478E-3</v>
      </c>
      <c r="D94" s="113">
        <f>SUM(D92:D93)</f>
        <v>1.19</v>
      </c>
    </row>
    <row r="95" spans="1:7">
      <c r="A95" s="190"/>
    </row>
    <row r="96" spans="1:7">
      <c r="A96" s="190"/>
    </row>
    <row r="97" spans="1:7" ht="16.5" thickBot="1">
      <c r="A97" s="523" t="s">
        <v>325</v>
      </c>
      <c r="B97" s="523"/>
      <c r="C97" s="523"/>
      <c r="D97" s="523"/>
      <c r="E97" s="523"/>
      <c r="F97" s="523"/>
      <c r="G97" s="523"/>
    </row>
    <row r="98" spans="1:7" ht="16.5" thickBot="1">
      <c r="A98" s="117" t="s">
        <v>326</v>
      </c>
      <c r="B98" s="118" t="s">
        <v>327</v>
      </c>
      <c r="C98" s="117" t="s">
        <v>4</v>
      </c>
      <c r="D98" s="117" t="s">
        <v>279</v>
      </c>
    </row>
    <row r="99" spans="1:7">
      <c r="A99" s="82" t="s">
        <v>257</v>
      </c>
      <c r="B99" s="133" t="s">
        <v>328</v>
      </c>
      <c r="C99" s="135">
        <f>((1/12)*0.05)</f>
        <v>4.1666666666666666E-3</v>
      </c>
      <c r="D99" s="104">
        <f>ROUND($D$43*C99,2)</f>
        <v>4.8899999999999997</v>
      </c>
    </row>
    <row r="100" spans="1:7" ht="31.5">
      <c r="A100" s="191" t="s">
        <v>259</v>
      </c>
      <c r="B100" s="91" t="s">
        <v>329</v>
      </c>
      <c r="C100" s="136">
        <f>D100/D43</f>
        <v>3.3228535643994579E-4</v>
      </c>
      <c r="D100" s="137">
        <f>ROUND(D75*C99,2)</f>
        <v>0.39</v>
      </c>
    </row>
    <row r="101" spans="1:7">
      <c r="A101" s="191" t="s">
        <v>261</v>
      </c>
      <c r="B101" s="138" t="s">
        <v>330</v>
      </c>
      <c r="C101" s="139">
        <f>0.08*0.5*0.9*(1+(5/56)+(5/56)+(1/3)*(5/56))</f>
        <v>4.3499999999999997E-2</v>
      </c>
      <c r="D101" s="107">
        <f>ROUND($D$43*C101,2)</f>
        <v>51.06</v>
      </c>
    </row>
    <row r="102" spans="1:7">
      <c r="A102" s="191" t="s">
        <v>263</v>
      </c>
      <c r="B102" s="138" t="s">
        <v>331</v>
      </c>
      <c r="C102" s="140">
        <f>(((7/30)/12))</f>
        <v>1.9444444444444445E-2</v>
      </c>
      <c r="D102" s="107">
        <f>ROUND($D$43*C102,2)</f>
        <v>22.82</v>
      </c>
    </row>
    <row r="103" spans="1:7" ht="31.5">
      <c r="A103" s="191" t="s">
        <v>284</v>
      </c>
      <c r="B103" s="138" t="s">
        <v>332</v>
      </c>
      <c r="C103" s="141">
        <f>D103/D43</f>
        <v>7.1654355068203699E-3</v>
      </c>
      <c r="D103" s="107">
        <f>ROUND(D78*C102,2)</f>
        <v>8.41</v>
      </c>
    </row>
    <row r="104" spans="1:7" ht="16.5" thickBot="1">
      <c r="A104" s="109" t="s">
        <v>286</v>
      </c>
      <c r="B104" s="134" t="s">
        <v>333</v>
      </c>
      <c r="C104" s="142">
        <f>(40%+10%)*C75*C102</f>
        <v>7.7777777777777784E-4</v>
      </c>
      <c r="D104" s="107">
        <f>ROUND($D$43*C104,2)</f>
        <v>0.91</v>
      </c>
    </row>
    <row r="105" spans="1:7" ht="16.5" thickBot="1">
      <c r="A105" s="525" t="s">
        <v>7</v>
      </c>
      <c r="B105" s="526"/>
      <c r="C105" s="127">
        <f>SUM(C99:C104)</f>
        <v>7.5386609752149211E-2</v>
      </c>
      <c r="D105" s="143">
        <f>SUM(D99:D104)</f>
        <v>88.47999999999999</v>
      </c>
    </row>
    <row r="106" spans="1:7">
      <c r="A106" s="71"/>
    </row>
    <row r="107" spans="1:7" ht="16.5" thickBot="1">
      <c r="A107" s="523" t="s">
        <v>334</v>
      </c>
      <c r="B107" s="523"/>
      <c r="C107" s="523"/>
      <c r="D107" s="523"/>
      <c r="E107" s="523"/>
      <c r="F107" s="523"/>
      <c r="G107" s="523"/>
    </row>
    <row r="108" spans="1:7" ht="32.25" thickBot="1">
      <c r="A108" s="117" t="s">
        <v>335</v>
      </c>
      <c r="B108" s="118" t="s">
        <v>336</v>
      </c>
      <c r="C108" s="117" t="s">
        <v>4</v>
      </c>
      <c r="D108" s="117" t="s">
        <v>279</v>
      </c>
    </row>
    <row r="109" spans="1:7">
      <c r="A109" s="82" t="s">
        <v>257</v>
      </c>
      <c r="B109" s="133" t="s">
        <v>13</v>
      </c>
      <c r="C109" s="144">
        <f>(5/56)</f>
        <v>8.9285714285714288E-2</v>
      </c>
      <c r="D109" s="107">
        <f t="shared" ref="D109:D114" si="1">ROUND($D$43*C109,2)</f>
        <v>104.79</v>
      </c>
    </row>
    <row r="110" spans="1:7">
      <c r="A110" s="191" t="s">
        <v>259</v>
      </c>
      <c r="B110" s="138" t="s">
        <v>379</v>
      </c>
      <c r="C110" s="122">
        <f>(10.96/30)/12</f>
        <v>3.0444444444444444E-2</v>
      </c>
      <c r="D110" s="107">
        <f t="shared" si="1"/>
        <v>35.729999999999997</v>
      </c>
      <c r="E110" s="184"/>
    </row>
    <row r="111" spans="1:7">
      <c r="A111" s="191" t="s">
        <v>261</v>
      </c>
      <c r="B111" s="138" t="s">
        <v>337</v>
      </c>
      <c r="C111" s="122">
        <f>((5/30)/12)*0.015</f>
        <v>2.0833333333333332E-4</v>
      </c>
      <c r="D111" s="107">
        <f t="shared" si="1"/>
        <v>0.24</v>
      </c>
    </row>
    <row r="112" spans="1:7">
      <c r="A112" s="191" t="s">
        <v>263</v>
      </c>
      <c r="B112" s="138" t="s">
        <v>338</v>
      </c>
      <c r="C112" s="122">
        <f>((1/30)/12)</f>
        <v>2.7777777777777779E-3</v>
      </c>
      <c r="D112" s="107">
        <f t="shared" si="1"/>
        <v>3.26</v>
      </c>
    </row>
    <row r="113" spans="1:7">
      <c r="A113" s="191" t="s">
        <v>284</v>
      </c>
      <c r="B113" s="138" t="s">
        <v>339</v>
      </c>
      <c r="C113" s="122">
        <f>((15/30)/12)*0.0078</f>
        <v>3.2499999999999999E-4</v>
      </c>
      <c r="D113" s="107">
        <f t="shared" si="1"/>
        <v>0.38</v>
      </c>
    </row>
    <row r="114" spans="1:7">
      <c r="A114" s="191" t="s">
        <v>286</v>
      </c>
      <c r="B114" s="138" t="s">
        <v>291</v>
      </c>
      <c r="C114" s="145"/>
      <c r="D114" s="107">
        <f t="shared" si="1"/>
        <v>0</v>
      </c>
    </row>
    <row r="115" spans="1:7">
      <c r="A115" s="532" t="s">
        <v>318</v>
      </c>
      <c r="B115" s="533"/>
      <c r="C115" s="122">
        <f>SUM(C109:C114)</f>
        <v>0.12304126984126985</v>
      </c>
      <c r="D115" s="107">
        <f>SUM(D109:D114)</f>
        <v>144.4</v>
      </c>
    </row>
    <row r="116" spans="1:7" ht="32.25" thickBot="1">
      <c r="A116" s="109" t="s">
        <v>288</v>
      </c>
      <c r="B116" s="134" t="s">
        <v>340</v>
      </c>
      <c r="C116" s="142">
        <f>D116/$D$43</f>
        <v>4.5344170948035681E-2</v>
      </c>
      <c r="D116" s="107">
        <f>ROUND(D78*C115,2)</f>
        <v>53.22</v>
      </c>
    </row>
    <row r="117" spans="1:7" ht="16.5" thickBot="1">
      <c r="A117" s="525" t="s">
        <v>7</v>
      </c>
      <c r="B117" s="526"/>
      <c r="C117" s="127">
        <f>C116+C115</f>
        <v>0.16838544078930553</v>
      </c>
      <c r="D117" s="146">
        <f>D116+D115</f>
        <v>197.62</v>
      </c>
    </row>
    <row r="118" spans="1:7">
      <c r="A118" s="190" t="s">
        <v>341</v>
      </c>
    </row>
    <row r="119" spans="1:7" ht="16.5" thickBot="1">
      <c r="A119" s="522" t="s">
        <v>342</v>
      </c>
      <c r="B119" s="522"/>
      <c r="C119" s="522"/>
      <c r="D119" s="522"/>
      <c r="E119" s="522"/>
      <c r="F119" s="522"/>
      <c r="G119" s="522"/>
    </row>
    <row r="120" spans="1:7" ht="32.25" customHeight="1" thickBot="1">
      <c r="A120" s="147">
        <v>4</v>
      </c>
      <c r="B120" s="148" t="s">
        <v>343</v>
      </c>
      <c r="C120" s="149" t="s">
        <v>4</v>
      </c>
      <c r="D120" s="150" t="s">
        <v>279</v>
      </c>
    </row>
    <row r="121" spans="1:7">
      <c r="A121" s="82" t="s">
        <v>307</v>
      </c>
      <c r="B121" s="133" t="s">
        <v>344</v>
      </c>
      <c r="C121" s="142">
        <f t="shared" ref="C121:C126" si="2">D121/$D$43</f>
        <v>0.16291354616636419</v>
      </c>
      <c r="D121" s="107">
        <f>D88</f>
        <v>191.21</v>
      </c>
    </row>
    <row r="122" spans="1:7">
      <c r="A122" s="191" t="s">
        <v>314</v>
      </c>
      <c r="B122" s="138" t="s">
        <v>308</v>
      </c>
      <c r="C122" s="142">
        <f t="shared" si="2"/>
        <v>0.36851298042924457</v>
      </c>
      <c r="D122" s="107">
        <f>D78</f>
        <v>432.5200000000001</v>
      </c>
    </row>
    <row r="123" spans="1:7">
      <c r="A123" s="191" t="s">
        <v>321</v>
      </c>
      <c r="B123" s="138" t="s">
        <v>323</v>
      </c>
      <c r="C123" s="142">
        <f t="shared" si="2"/>
        <v>1.0138963440090654E-3</v>
      </c>
      <c r="D123" s="107">
        <f>D94</f>
        <v>1.19</v>
      </c>
    </row>
    <row r="124" spans="1:7">
      <c r="A124" s="151" t="s">
        <v>326</v>
      </c>
      <c r="B124" s="152" t="s">
        <v>345</v>
      </c>
      <c r="C124" s="142">
        <f t="shared" si="2"/>
        <v>7.5386175225144611E-2</v>
      </c>
      <c r="D124" s="107">
        <f>D105</f>
        <v>88.47999999999999</v>
      </c>
    </row>
    <row r="125" spans="1:7">
      <c r="A125" s="153" t="s">
        <v>335</v>
      </c>
      <c r="B125" s="154" t="s">
        <v>346</v>
      </c>
      <c r="C125" s="142">
        <f t="shared" si="2"/>
        <v>0.16837495420426177</v>
      </c>
      <c r="D125" s="107">
        <f>D117</f>
        <v>197.62</v>
      </c>
    </row>
    <row r="126" spans="1:7" ht="16.5" thickBot="1">
      <c r="A126" s="191" t="s">
        <v>347</v>
      </c>
      <c r="B126" s="138" t="s">
        <v>291</v>
      </c>
      <c r="C126" s="142">
        <f t="shared" si="2"/>
        <v>0</v>
      </c>
      <c r="D126" s="107">
        <v>0</v>
      </c>
    </row>
    <row r="127" spans="1:7" ht="37.5" customHeight="1" thickBot="1">
      <c r="A127" s="530" t="s">
        <v>348</v>
      </c>
      <c r="B127" s="531"/>
      <c r="C127" s="127">
        <f>SUM(C121:C126)</f>
        <v>0.77620155236902411</v>
      </c>
      <c r="D127" s="113">
        <f>SUM(D121:D126)</f>
        <v>911.02000000000021</v>
      </c>
    </row>
    <row r="128" spans="1:7">
      <c r="A128" s="155"/>
      <c r="B128" s="155"/>
      <c r="C128" s="156"/>
      <c r="D128" s="157"/>
      <c r="E128" s="158"/>
      <c r="F128" s="159"/>
      <c r="G128" s="159"/>
    </row>
    <row r="129" spans="1:8" ht="16.5" thickBot="1">
      <c r="A129" s="522" t="s">
        <v>349</v>
      </c>
      <c r="B129" s="522"/>
      <c r="C129" s="522"/>
      <c r="D129" s="522"/>
      <c r="E129" s="522"/>
      <c r="F129" s="522"/>
      <c r="G129" s="522"/>
      <c r="H129" s="160"/>
    </row>
    <row r="130" spans="1:8" ht="16.5" thickBot="1">
      <c r="A130" s="147" t="s">
        <v>350</v>
      </c>
      <c r="B130" s="148" t="s">
        <v>351</v>
      </c>
      <c r="C130" s="149" t="s">
        <v>4</v>
      </c>
      <c r="D130" s="114" t="s">
        <v>279</v>
      </c>
      <c r="E130" s="161">
        <f>D43+D54+D64+D78+D88+D94+D105+D117</f>
        <v>2565.556066666667</v>
      </c>
      <c r="G130" s="160"/>
    </row>
    <row r="131" spans="1:8">
      <c r="A131" s="82" t="s">
        <v>257</v>
      </c>
      <c r="B131" s="133" t="s">
        <v>352</v>
      </c>
      <c r="C131" s="162">
        <v>7.0029999999999995E-2</v>
      </c>
      <c r="D131" s="163">
        <f>E130*C131</f>
        <v>179.66589134866669</v>
      </c>
      <c r="G131" s="160"/>
    </row>
    <row r="132" spans="1:8">
      <c r="A132" s="191" t="s">
        <v>259</v>
      </c>
      <c r="B132" s="138" t="s">
        <v>353</v>
      </c>
      <c r="C132" s="142"/>
      <c r="D132" s="164"/>
      <c r="F132" s="165"/>
    </row>
    <row r="133" spans="1:8">
      <c r="A133" s="191"/>
      <c r="B133" s="138" t="s">
        <v>354</v>
      </c>
      <c r="C133" s="142"/>
      <c r="D133" s="129"/>
      <c r="F133" s="182"/>
      <c r="G133" s="160"/>
    </row>
    <row r="134" spans="1:8">
      <c r="A134" s="191"/>
      <c r="B134" s="138" t="s">
        <v>355</v>
      </c>
      <c r="C134" s="142">
        <v>7.5999999999999998E-2</v>
      </c>
      <c r="D134" s="107">
        <f>$D$152*C134</f>
        <v>245.31327816618486</v>
      </c>
      <c r="E134" s="165">
        <f>D152</f>
        <v>3227.8062916603271</v>
      </c>
      <c r="G134" s="160"/>
    </row>
    <row r="135" spans="1:8">
      <c r="A135" s="191"/>
      <c r="B135" s="138" t="s">
        <v>356</v>
      </c>
      <c r="C135" s="142">
        <v>1.6500000000000001E-2</v>
      </c>
      <c r="D135" s="107">
        <f>$D$152*C135</f>
        <v>53.258803812395399</v>
      </c>
      <c r="E135" s="246"/>
      <c r="G135" s="160"/>
    </row>
    <row r="136" spans="1:8">
      <c r="A136" s="191"/>
      <c r="B136" s="138" t="s">
        <v>357</v>
      </c>
      <c r="C136" s="142"/>
      <c r="D136" s="107"/>
    </row>
    <row r="137" spans="1:8">
      <c r="A137" s="191"/>
      <c r="B137" s="138" t="s">
        <v>358</v>
      </c>
      <c r="C137" s="142">
        <v>0.04</v>
      </c>
      <c r="D137" s="107">
        <f>$D$152*C137</f>
        <v>129.1122516664131</v>
      </c>
      <c r="G137" s="160"/>
    </row>
    <row r="138" spans="1:8">
      <c r="A138" s="191"/>
      <c r="B138" s="138" t="s">
        <v>359</v>
      </c>
      <c r="C138" s="142"/>
      <c r="D138" s="107"/>
    </row>
    <row r="139" spans="1:8" ht="16.5" thickBot="1">
      <c r="A139" s="191" t="s">
        <v>261</v>
      </c>
      <c r="B139" s="138" t="s">
        <v>360</v>
      </c>
      <c r="C139" s="142">
        <v>0.02</v>
      </c>
      <c r="D139" s="107">
        <f>ROUND(E139*C139,2)</f>
        <v>54.9</v>
      </c>
      <c r="E139" s="132">
        <f>E130+D131</f>
        <v>2745.2219580153337</v>
      </c>
    </row>
    <row r="140" spans="1:8" ht="33" customHeight="1" thickBot="1">
      <c r="A140" s="527" t="s">
        <v>361</v>
      </c>
      <c r="B140" s="528"/>
      <c r="C140" s="529"/>
      <c r="D140" s="166">
        <f>D131+D134+D135+D137+D139</f>
        <v>662.25022499366003</v>
      </c>
    </row>
    <row r="141" spans="1:8">
      <c r="A141" s="522" t="s">
        <v>362</v>
      </c>
      <c r="B141" s="522"/>
      <c r="C141" s="522"/>
      <c r="D141" s="522"/>
      <c r="E141" s="522"/>
      <c r="F141" s="522"/>
      <c r="G141" s="522"/>
    </row>
    <row r="142" spans="1:8">
      <c r="A142" s="522" t="s">
        <v>363</v>
      </c>
      <c r="B142" s="522"/>
      <c r="C142" s="522"/>
      <c r="D142" s="522"/>
      <c r="E142" s="522"/>
      <c r="F142" s="522"/>
      <c r="G142" s="522"/>
    </row>
    <row r="143" spans="1:8">
      <c r="A143" s="190"/>
    </row>
    <row r="144" spans="1:8" ht="16.5" thickBot="1">
      <c r="A144" s="523" t="s">
        <v>364</v>
      </c>
      <c r="B144" s="523"/>
      <c r="C144" s="523"/>
      <c r="D144" s="523"/>
      <c r="E144" s="523"/>
      <c r="F144" s="523"/>
      <c r="G144" s="523"/>
    </row>
    <row r="145" spans="1:8" ht="32.25" customHeight="1" thickBot="1">
      <c r="A145" s="147"/>
      <c r="B145" s="524" t="s">
        <v>365</v>
      </c>
      <c r="C145" s="524"/>
      <c r="D145" s="167" t="s">
        <v>366</v>
      </c>
    </row>
    <row r="146" spans="1:8">
      <c r="A146" s="191" t="s">
        <v>257</v>
      </c>
      <c r="B146" s="138" t="s">
        <v>367</v>
      </c>
      <c r="C146" s="122">
        <f t="shared" ref="C146:C151" si="3">D146/$D$152</f>
        <v>0.36361847457589358</v>
      </c>
      <c r="D146" s="129">
        <f>D43</f>
        <v>1173.69</v>
      </c>
    </row>
    <row r="147" spans="1:8">
      <c r="A147" s="191" t="s">
        <v>259</v>
      </c>
      <c r="B147" s="138" t="s">
        <v>368</v>
      </c>
      <c r="C147" s="122">
        <f t="shared" si="3"/>
        <v>0.13621616673094611</v>
      </c>
      <c r="D147" s="129">
        <f>D54</f>
        <v>439.67939999999999</v>
      </c>
    </row>
    <row r="148" spans="1:8" ht="31.5">
      <c r="A148" s="191" t="s">
        <v>261</v>
      </c>
      <c r="B148" s="138" t="s">
        <v>369</v>
      </c>
      <c r="C148" s="122">
        <f t="shared" si="3"/>
        <v>1.2753759967885574E-2</v>
      </c>
      <c r="D148" s="129">
        <f>D64</f>
        <v>41.166666666666664</v>
      </c>
      <c r="E148" s="165">
        <f>D150+D131+D139</f>
        <v>2800.1219580153338</v>
      </c>
    </row>
    <row r="149" spans="1:8" ht="31.5">
      <c r="A149" s="191" t="s">
        <v>263</v>
      </c>
      <c r="B149" s="138" t="s">
        <v>370</v>
      </c>
      <c r="C149" s="122">
        <f t="shared" si="3"/>
        <v>0.28224122443586519</v>
      </c>
      <c r="D149" s="129">
        <f>D127</f>
        <v>911.02000000000021</v>
      </c>
      <c r="E149" s="174">
        <f>C137+C135+C134</f>
        <v>0.13250000000000001</v>
      </c>
    </row>
    <row r="150" spans="1:8" ht="16.5" customHeight="1">
      <c r="A150" s="168" t="s">
        <v>371</v>
      </c>
      <c r="B150" s="169"/>
      <c r="C150" s="131">
        <f t="shared" si="3"/>
        <v>0.79482962571059057</v>
      </c>
      <c r="D150" s="170">
        <f>SUM(D146:D149)</f>
        <v>2565.556066666667</v>
      </c>
      <c r="E150" s="174">
        <f>100%-E149</f>
        <v>0.86749999999999994</v>
      </c>
    </row>
    <row r="151" spans="1:8" ht="32.25" thickBot="1">
      <c r="A151" s="191" t="s">
        <v>284</v>
      </c>
      <c r="B151" s="138" t="s">
        <v>372</v>
      </c>
      <c r="C151" s="122">
        <f t="shared" si="3"/>
        <v>0.20517037428940946</v>
      </c>
      <c r="D151" s="129">
        <f>D140</f>
        <v>662.25022499366003</v>
      </c>
      <c r="G151" s="171"/>
    </row>
    <row r="152" spans="1:8" ht="16.5" customHeight="1" thickBot="1">
      <c r="A152" s="525" t="s">
        <v>373</v>
      </c>
      <c r="B152" s="526"/>
      <c r="C152" s="127">
        <f>C151+C150</f>
        <v>1</v>
      </c>
      <c r="D152" s="166">
        <f>(D150+D139+D131)/0.8675</f>
        <v>3227.8062916603271</v>
      </c>
      <c r="E152" s="171"/>
      <c r="F152" s="165">
        <f>D150+D151</f>
        <v>3227.8062916603271</v>
      </c>
      <c r="H152" s="172"/>
    </row>
    <row r="153" spans="1:8">
      <c r="E153" s="171"/>
    </row>
    <row r="154" spans="1:8">
      <c r="A154" s="186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1.299212598425197" right="0.51181102362204722" top="2.1653543307086616" bottom="0.98425196850393704" header="0.31496062992125984" footer="0.31496062992125984"/>
  <pageSetup paperSize="9" scale="79" fitToHeight="4" orientation="portrait" r:id="rId1"/>
  <headerFooter alignWithMargins="0"/>
  <rowBreaks count="2" manualBreakCount="2">
    <brk id="43" max="3" man="1"/>
    <brk id="88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154"/>
  <sheetViews>
    <sheetView showGridLines="0" view="pageBreakPreview" zoomScale="90" zoomScaleSheetLayoutView="90" workbookViewId="0">
      <selection activeCell="D152" sqref="D152"/>
    </sheetView>
  </sheetViews>
  <sheetFormatPr defaultRowHeight="15.75"/>
  <cols>
    <col min="1" max="1" width="9.28515625" style="53" customWidth="1"/>
    <col min="2" max="2" width="39.85546875" style="53" customWidth="1"/>
    <col min="3" max="3" width="18.28515625" style="53" customWidth="1"/>
    <col min="4" max="4" width="23.85546875" style="53" customWidth="1"/>
    <col min="5" max="5" width="16" style="53" bestFit="1" customWidth="1"/>
    <col min="6" max="6" width="13.7109375" style="53" bestFit="1" customWidth="1"/>
    <col min="7" max="7" width="15.7109375" style="53" bestFit="1" customWidth="1"/>
    <col min="8" max="8" width="13.140625" style="53" bestFit="1" customWidth="1"/>
    <col min="9" max="9" width="11.85546875" style="53" bestFit="1" customWidth="1"/>
    <col min="10" max="10" width="12.85546875" style="53" bestFit="1" customWidth="1"/>
    <col min="11" max="256" width="9.140625" style="53"/>
    <col min="257" max="257" width="9.28515625" style="53" customWidth="1"/>
    <col min="258" max="258" width="39.85546875" style="53" customWidth="1"/>
    <col min="259" max="259" width="18.28515625" style="53" customWidth="1"/>
    <col min="260" max="260" width="23.85546875" style="53" customWidth="1"/>
    <col min="261" max="261" width="16" style="53" bestFit="1" customWidth="1"/>
    <col min="262" max="262" width="13.7109375" style="53" bestFit="1" customWidth="1"/>
    <col min="263" max="263" width="15.7109375" style="53" bestFit="1" customWidth="1"/>
    <col min="264" max="264" width="13.140625" style="53" bestFit="1" customWidth="1"/>
    <col min="265" max="265" width="11.85546875" style="53" bestFit="1" customWidth="1"/>
    <col min="266" max="266" width="12.85546875" style="53" bestFit="1" customWidth="1"/>
    <col min="267" max="512" width="9.140625" style="53"/>
    <col min="513" max="513" width="9.28515625" style="53" customWidth="1"/>
    <col min="514" max="514" width="39.85546875" style="53" customWidth="1"/>
    <col min="515" max="515" width="18.28515625" style="53" customWidth="1"/>
    <col min="516" max="516" width="23.85546875" style="53" customWidth="1"/>
    <col min="517" max="517" width="16" style="53" bestFit="1" customWidth="1"/>
    <col min="518" max="518" width="13.7109375" style="53" bestFit="1" customWidth="1"/>
    <col min="519" max="519" width="15.7109375" style="53" bestFit="1" customWidth="1"/>
    <col min="520" max="520" width="13.140625" style="53" bestFit="1" customWidth="1"/>
    <col min="521" max="521" width="11.85546875" style="53" bestFit="1" customWidth="1"/>
    <col min="522" max="522" width="12.85546875" style="53" bestFit="1" customWidth="1"/>
    <col min="523" max="768" width="9.140625" style="53"/>
    <col min="769" max="769" width="9.28515625" style="53" customWidth="1"/>
    <col min="770" max="770" width="39.85546875" style="53" customWidth="1"/>
    <col min="771" max="771" width="18.28515625" style="53" customWidth="1"/>
    <col min="772" max="772" width="23.85546875" style="53" customWidth="1"/>
    <col min="773" max="773" width="16" style="53" bestFit="1" customWidth="1"/>
    <col min="774" max="774" width="13.7109375" style="53" bestFit="1" customWidth="1"/>
    <col min="775" max="775" width="15.7109375" style="53" bestFit="1" customWidth="1"/>
    <col min="776" max="776" width="13.140625" style="53" bestFit="1" customWidth="1"/>
    <col min="777" max="777" width="11.85546875" style="53" bestFit="1" customWidth="1"/>
    <col min="778" max="778" width="12.85546875" style="53" bestFit="1" customWidth="1"/>
    <col min="779" max="1024" width="9.140625" style="53"/>
    <col min="1025" max="1025" width="9.28515625" style="53" customWidth="1"/>
    <col min="1026" max="1026" width="39.85546875" style="53" customWidth="1"/>
    <col min="1027" max="1027" width="18.28515625" style="53" customWidth="1"/>
    <col min="1028" max="1028" width="23.85546875" style="53" customWidth="1"/>
    <col min="1029" max="1029" width="16" style="53" bestFit="1" customWidth="1"/>
    <col min="1030" max="1030" width="13.7109375" style="53" bestFit="1" customWidth="1"/>
    <col min="1031" max="1031" width="15.7109375" style="53" bestFit="1" customWidth="1"/>
    <col min="1032" max="1032" width="13.140625" style="53" bestFit="1" customWidth="1"/>
    <col min="1033" max="1033" width="11.85546875" style="53" bestFit="1" customWidth="1"/>
    <col min="1034" max="1034" width="12.85546875" style="53" bestFit="1" customWidth="1"/>
    <col min="1035" max="1280" width="9.140625" style="53"/>
    <col min="1281" max="1281" width="9.28515625" style="53" customWidth="1"/>
    <col min="1282" max="1282" width="39.85546875" style="53" customWidth="1"/>
    <col min="1283" max="1283" width="18.28515625" style="53" customWidth="1"/>
    <col min="1284" max="1284" width="23.85546875" style="53" customWidth="1"/>
    <col min="1285" max="1285" width="16" style="53" bestFit="1" customWidth="1"/>
    <col min="1286" max="1286" width="13.7109375" style="53" bestFit="1" customWidth="1"/>
    <col min="1287" max="1287" width="15.7109375" style="53" bestFit="1" customWidth="1"/>
    <col min="1288" max="1288" width="13.140625" style="53" bestFit="1" customWidth="1"/>
    <col min="1289" max="1289" width="11.85546875" style="53" bestFit="1" customWidth="1"/>
    <col min="1290" max="1290" width="12.85546875" style="53" bestFit="1" customWidth="1"/>
    <col min="1291" max="1536" width="9.140625" style="53"/>
    <col min="1537" max="1537" width="9.28515625" style="53" customWidth="1"/>
    <col min="1538" max="1538" width="39.85546875" style="53" customWidth="1"/>
    <col min="1539" max="1539" width="18.28515625" style="53" customWidth="1"/>
    <col min="1540" max="1540" width="23.85546875" style="53" customWidth="1"/>
    <col min="1541" max="1541" width="16" style="53" bestFit="1" customWidth="1"/>
    <col min="1542" max="1542" width="13.7109375" style="53" bestFit="1" customWidth="1"/>
    <col min="1543" max="1543" width="15.7109375" style="53" bestFit="1" customWidth="1"/>
    <col min="1544" max="1544" width="13.140625" style="53" bestFit="1" customWidth="1"/>
    <col min="1545" max="1545" width="11.85546875" style="53" bestFit="1" customWidth="1"/>
    <col min="1546" max="1546" width="12.85546875" style="53" bestFit="1" customWidth="1"/>
    <col min="1547" max="1792" width="9.140625" style="53"/>
    <col min="1793" max="1793" width="9.28515625" style="53" customWidth="1"/>
    <col min="1794" max="1794" width="39.85546875" style="53" customWidth="1"/>
    <col min="1795" max="1795" width="18.28515625" style="53" customWidth="1"/>
    <col min="1796" max="1796" width="23.85546875" style="53" customWidth="1"/>
    <col min="1797" max="1797" width="16" style="53" bestFit="1" customWidth="1"/>
    <col min="1798" max="1798" width="13.7109375" style="53" bestFit="1" customWidth="1"/>
    <col min="1799" max="1799" width="15.7109375" style="53" bestFit="1" customWidth="1"/>
    <col min="1800" max="1800" width="13.140625" style="53" bestFit="1" customWidth="1"/>
    <col min="1801" max="1801" width="11.85546875" style="53" bestFit="1" customWidth="1"/>
    <col min="1802" max="1802" width="12.85546875" style="53" bestFit="1" customWidth="1"/>
    <col min="1803" max="2048" width="9.140625" style="53"/>
    <col min="2049" max="2049" width="9.28515625" style="53" customWidth="1"/>
    <col min="2050" max="2050" width="39.85546875" style="53" customWidth="1"/>
    <col min="2051" max="2051" width="18.28515625" style="53" customWidth="1"/>
    <col min="2052" max="2052" width="23.85546875" style="53" customWidth="1"/>
    <col min="2053" max="2053" width="16" style="53" bestFit="1" customWidth="1"/>
    <col min="2054" max="2054" width="13.7109375" style="53" bestFit="1" customWidth="1"/>
    <col min="2055" max="2055" width="15.7109375" style="53" bestFit="1" customWidth="1"/>
    <col min="2056" max="2056" width="13.140625" style="53" bestFit="1" customWidth="1"/>
    <col min="2057" max="2057" width="11.85546875" style="53" bestFit="1" customWidth="1"/>
    <col min="2058" max="2058" width="12.85546875" style="53" bestFit="1" customWidth="1"/>
    <col min="2059" max="2304" width="9.140625" style="53"/>
    <col min="2305" max="2305" width="9.28515625" style="53" customWidth="1"/>
    <col min="2306" max="2306" width="39.85546875" style="53" customWidth="1"/>
    <col min="2307" max="2307" width="18.28515625" style="53" customWidth="1"/>
    <col min="2308" max="2308" width="23.85546875" style="53" customWidth="1"/>
    <col min="2309" max="2309" width="16" style="53" bestFit="1" customWidth="1"/>
    <col min="2310" max="2310" width="13.7109375" style="53" bestFit="1" customWidth="1"/>
    <col min="2311" max="2311" width="15.7109375" style="53" bestFit="1" customWidth="1"/>
    <col min="2312" max="2312" width="13.140625" style="53" bestFit="1" customWidth="1"/>
    <col min="2313" max="2313" width="11.85546875" style="53" bestFit="1" customWidth="1"/>
    <col min="2314" max="2314" width="12.85546875" style="53" bestFit="1" customWidth="1"/>
    <col min="2315" max="2560" width="9.140625" style="53"/>
    <col min="2561" max="2561" width="9.28515625" style="53" customWidth="1"/>
    <col min="2562" max="2562" width="39.85546875" style="53" customWidth="1"/>
    <col min="2563" max="2563" width="18.28515625" style="53" customWidth="1"/>
    <col min="2564" max="2564" width="23.85546875" style="53" customWidth="1"/>
    <col min="2565" max="2565" width="16" style="53" bestFit="1" customWidth="1"/>
    <col min="2566" max="2566" width="13.7109375" style="53" bestFit="1" customWidth="1"/>
    <col min="2567" max="2567" width="15.7109375" style="53" bestFit="1" customWidth="1"/>
    <col min="2568" max="2568" width="13.140625" style="53" bestFit="1" customWidth="1"/>
    <col min="2569" max="2569" width="11.85546875" style="53" bestFit="1" customWidth="1"/>
    <col min="2570" max="2570" width="12.85546875" style="53" bestFit="1" customWidth="1"/>
    <col min="2571" max="2816" width="9.140625" style="53"/>
    <col min="2817" max="2817" width="9.28515625" style="53" customWidth="1"/>
    <col min="2818" max="2818" width="39.85546875" style="53" customWidth="1"/>
    <col min="2819" max="2819" width="18.28515625" style="53" customWidth="1"/>
    <col min="2820" max="2820" width="23.85546875" style="53" customWidth="1"/>
    <col min="2821" max="2821" width="16" style="53" bestFit="1" customWidth="1"/>
    <col min="2822" max="2822" width="13.7109375" style="53" bestFit="1" customWidth="1"/>
    <col min="2823" max="2823" width="15.7109375" style="53" bestFit="1" customWidth="1"/>
    <col min="2824" max="2824" width="13.140625" style="53" bestFit="1" customWidth="1"/>
    <col min="2825" max="2825" width="11.85546875" style="53" bestFit="1" customWidth="1"/>
    <col min="2826" max="2826" width="12.85546875" style="53" bestFit="1" customWidth="1"/>
    <col min="2827" max="3072" width="9.140625" style="53"/>
    <col min="3073" max="3073" width="9.28515625" style="53" customWidth="1"/>
    <col min="3074" max="3074" width="39.85546875" style="53" customWidth="1"/>
    <col min="3075" max="3075" width="18.28515625" style="53" customWidth="1"/>
    <col min="3076" max="3076" width="23.85546875" style="53" customWidth="1"/>
    <col min="3077" max="3077" width="16" style="53" bestFit="1" customWidth="1"/>
    <col min="3078" max="3078" width="13.7109375" style="53" bestFit="1" customWidth="1"/>
    <col min="3079" max="3079" width="15.7109375" style="53" bestFit="1" customWidth="1"/>
    <col min="3080" max="3080" width="13.140625" style="53" bestFit="1" customWidth="1"/>
    <col min="3081" max="3081" width="11.85546875" style="53" bestFit="1" customWidth="1"/>
    <col min="3082" max="3082" width="12.85546875" style="53" bestFit="1" customWidth="1"/>
    <col min="3083" max="3328" width="9.140625" style="53"/>
    <col min="3329" max="3329" width="9.28515625" style="53" customWidth="1"/>
    <col min="3330" max="3330" width="39.85546875" style="53" customWidth="1"/>
    <col min="3331" max="3331" width="18.28515625" style="53" customWidth="1"/>
    <col min="3332" max="3332" width="23.85546875" style="53" customWidth="1"/>
    <col min="3333" max="3333" width="16" style="53" bestFit="1" customWidth="1"/>
    <col min="3334" max="3334" width="13.7109375" style="53" bestFit="1" customWidth="1"/>
    <col min="3335" max="3335" width="15.7109375" style="53" bestFit="1" customWidth="1"/>
    <col min="3336" max="3336" width="13.140625" style="53" bestFit="1" customWidth="1"/>
    <col min="3337" max="3337" width="11.85546875" style="53" bestFit="1" customWidth="1"/>
    <col min="3338" max="3338" width="12.85546875" style="53" bestFit="1" customWidth="1"/>
    <col min="3339" max="3584" width="9.140625" style="53"/>
    <col min="3585" max="3585" width="9.28515625" style="53" customWidth="1"/>
    <col min="3586" max="3586" width="39.85546875" style="53" customWidth="1"/>
    <col min="3587" max="3587" width="18.28515625" style="53" customWidth="1"/>
    <col min="3588" max="3588" width="23.85546875" style="53" customWidth="1"/>
    <col min="3589" max="3589" width="16" style="53" bestFit="1" customWidth="1"/>
    <col min="3590" max="3590" width="13.7109375" style="53" bestFit="1" customWidth="1"/>
    <col min="3591" max="3591" width="15.7109375" style="53" bestFit="1" customWidth="1"/>
    <col min="3592" max="3592" width="13.140625" style="53" bestFit="1" customWidth="1"/>
    <col min="3593" max="3593" width="11.85546875" style="53" bestFit="1" customWidth="1"/>
    <col min="3594" max="3594" width="12.85546875" style="53" bestFit="1" customWidth="1"/>
    <col min="3595" max="3840" width="9.140625" style="53"/>
    <col min="3841" max="3841" width="9.28515625" style="53" customWidth="1"/>
    <col min="3842" max="3842" width="39.85546875" style="53" customWidth="1"/>
    <col min="3843" max="3843" width="18.28515625" style="53" customWidth="1"/>
    <col min="3844" max="3844" width="23.85546875" style="53" customWidth="1"/>
    <col min="3845" max="3845" width="16" style="53" bestFit="1" customWidth="1"/>
    <col min="3846" max="3846" width="13.7109375" style="53" bestFit="1" customWidth="1"/>
    <col min="3847" max="3847" width="15.7109375" style="53" bestFit="1" customWidth="1"/>
    <col min="3848" max="3848" width="13.140625" style="53" bestFit="1" customWidth="1"/>
    <col min="3849" max="3849" width="11.85546875" style="53" bestFit="1" customWidth="1"/>
    <col min="3850" max="3850" width="12.85546875" style="53" bestFit="1" customWidth="1"/>
    <col min="3851" max="4096" width="9.140625" style="53"/>
    <col min="4097" max="4097" width="9.28515625" style="53" customWidth="1"/>
    <col min="4098" max="4098" width="39.85546875" style="53" customWidth="1"/>
    <col min="4099" max="4099" width="18.28515625" style="53" customWidth="1"/>
    <col min="4100" max="4100" width="23.85546875" style="53" customWidth="1"/>
    <col min="4101" max="4101" width="16" style="53" bestFit="1" customWidth="1"/>
    <col min="4102" max="4102" width="13.7109375" style="53" bestFit="1" customWidth="1"/>
    <col min="4103" max="4103" width="15.7109375" style="53" bestFit="1" customWidth="1"/>
    <col min="4104" max="4104" width="13.140625" style="53" bestFit="1" customWidth="1"/>
    <col min="4105" max="4105" width="11.85546875" style="53" bestFit="1" customWidth="1"/>
    <col min="4106" max="4106" width="12.85546875" style="53" bestFit="1" customWidth="1"/>
    <col min="4107" max="4352" width="9.140625" style="53"/>
    <col min="4353" max="4353" width="9.28515625" style="53" customWidth="1"/>
    <col min="4354" max="4354" width="39.85546875" style="53" customWidth="1"/>
    <col min="4355" max="4355" width="18.28515625" style="53" customWidth="1"/>
    <col min="4356" max="4356" width="23.85546875" style="53" customWidth="1"/>
    <col min="4357" max="4357" width="16" style="53" bestFit="1" customWidth="1"/>
    <col min="4358" max="4358" width="13.7109375" style="53" bestFit="1" customWidth="1"/>
    <col min="4359" max="4359" width="15.7109375" style="53" bestFit="1" customWidth="1"/>
    <col min="4360" max="4360" width="13.140625" style="53" bestFit="1" customWidth="1"/>
    <col min="4361" max="4361" width="11.85546875" style="53" bestFit="1" customWidth="1"/>
    <col min="4362" max="4362" width="12.85546875" style="53" bestFit="1" customWidth="1"/>
    <col min="4363" max="4608" width="9.140625" style="53"/>
    <col min="4609" max="4609" width="9.28515625" style="53" customWidth="1"/>
    <col min="4610" max="4610" width="39.85546875" style="53" customWidth="1"/>
    <col min="4611" max="4611" width="18.28515625" style="53" customWidth="1"/>
    <col min="4612" max="4612" width="23.85546875" style="53" customWidth="1"/>
    <col min="4613" max="4613" width="16" style="53" bestFit="1" customWidth="1"/>
    <col min="4614" max="4614" width="13.7109375" style="53" bestFit="1" customWidth="1"/>
    <col min="4615" max="4615" width="15.7109375" style="53" bestFit="1" customWidth="1"/>
    <col min="4616" max="4616" width="13.140625" style="53" bestFit="1" customWidth="1"/>
    <col min="4617" max="4617" width="11.85546875" style="53" bestFit="1" customWidth="1"/>
    <col min="4618" max="4618" width="12.85546875" style="53" bestFit="1" customWidth="1"/>
    <col min="4619" max="4864" width="9.140625" style="53"/>
    <col min="4865" max="4865" width="9.28515625" style="53" customWidth="1"/>
    <col min="4866" max="4866" width="39.85546875" style="53" customWidth="1"/>
    <col min="4867" max="4867" width="18.28515625" style="53" customWidth="1"/>
    <col min="4868" max="4868" width="23.85546875" style="53" customWidth="1"/>
    <col min="4869" max="4869" width="16" style="53" bestFit="1" customWidth="1"/>
    <col min="4870" max="4870" width="13.7109375" style="53" bestFit="1" customWidth="1"/>
    <col min="4871" max="4871" width="15.7109375" style="53" bestFit="1" customWidth="1"/>
    <col min="4872" max="4872" width="13.140625" style="53" bestFit="1" customWidth="1"/>
    <col min="4873" max="4873" width="11.85546875" style="53" bestFit="1" customWidth="1"/>
    <col min="4874" max="4874" width="12.85546875" style="53" bestFit="1" customWidth="1"/>
    <col min="4875" max="5120" width="9.140625" style="53"/>
    <col min="5121" max="5121" width="9.28515625" style="53" customWidth="1"/>
    <col min="5122" max="5122" width="39.85546875" style="53" customWidth="1"/>
    <col min="5123" max="5123" width="18.28515625" style="53" customWidth="1"/>
    <col min="5124" max="5124" width="23.85546875" style="53" customWidth="1"/>
    <col min="5125" max="5125" width="16" style="53" bestFit="1" customWidth="1"/>
    <col min="5126" max="5126" width="13.7109375" style="53" bestFit="1" customWidth="1"/>
    <col min="5127" max="5127" width="15.7109375" style="53" bestFit="1" customWidth="1"/>
    <col min="5128" max="5128" width="13.140625" style="53" bestFit="1" customWidth="1"/>
    <col min="5129" max="5129" width="11.85546875" style="53" bestFit="1" customWidth="1"/>
    <col min="5130" max="5130" width="12.85546875" style="53" bestFit="1" customWidth="1"/>
    <col min="5131" max="5376" width="9.140625" style="53"/>
    <col min="5377" max="5377" width="9.28515625" style="53" customWidth="1"/>
    <col min="5378" max="5378" width="39.85546875" style="53" customWidth="1"/>
    <col min="5379" max="5379" width="18.28515625" style="53" customWidth="1"/>
    <col min="5380" max="5380" width="23.85546875" style="53" customWidth="1"/>
    <col min="5381" max="5381" width="16" style="53" bestFit="1" customWidth="1"/>
    <col min="5382" max="5382" width="13.7109375" style="53" bestFit="1" customWidth="1"/>
    <col min="5383" max="5383" width="15.7109375" style="53" bestFit="1" customWidth="1"/>
    <col min="5384" max="5384" width="13.140625" style="53" bestFit="1" customWidth="1"/>
    <col min="5385" max="5385" width="11.85546875" style="53" bestFit="1" customWidth="1"/>
    <col min="5386" max="5386" width="12.85546875" style="53" bestFit="1" customWidth="1"/>
    <col min="5387" max="5632" width="9.140625" style="53"/>
    <col min="5633" max="5633" width="9.28515625" style="53" customWidth="1"/>
    <col min="5634" max="5634" width="39.85546875" style="53" customWidth="1"/>
    <col min="5635" max="5635" width="18.28515625" style="53" customWidth="1"/>
    <col min="5636" max="5636" width="23.85546875" style="53" customWidth="1"/>
    <col min="5637" max="5637" width="16" style="53" bestFit="1" customWidth="1"/>
    <col min="5638" max="5638" width="13.7109375" style="53" bestFit="1" customWidth="1"/>
    <col min="5639" max="5639" width="15.7109375" style="53" bestFit="1" customWidth="1"/>
    <col min="5640" max="5640" width="13.140625" style="53" bestFit="1" customWidth="1"/>
    <col min="5641" max="5641" width="11.85546875" style="53" bestFit="1" customWidth="1"/>
    <col min="5642" max="5642" width="12.85546875" style="53" bestFit="1" customWidth="1"/>
    <col min="5643" max="5888" width="9.140625" style="53"/>
    <col min="5889" max="5889" width="9.28515625" style="53" customWidth="1"/>
    <col min="5890" max="5890" width="39.85546875" style="53" customWidth="1"/>
    <col min="5891" max="5891" width="18.28515625" style="53" customWidth="1"/>
    <col min="5892" max="5892" width="23.85546875" style="53" customWidth="1"/>
    <col min="5893" max="5893" width="16" style="53" bestFit="1" customWidth="1"/>
    <col min="5894" max="5894" width="13.7109375" style="53" bestFit="1" customWidth="1"/>
    <col min="5895" max="5895" width="15.7109375" style="53" bestFit="1" customWidth="1"/>
    <col min="5896" max="5896" width="13.140625" style="53" bestFit="1" customWidth="1"/>
    <col min="5897" max="5897" width="11.85546875" style="53" bestFit="1" customWidth="1"/>
    <col min="5898" max="5898" width="12.85546875" style="53" bestFit="1" customWidth="1"/>
    <col min="5899" max="6144" width="9.140625" style="53"/>
    <col min="6145" max="6145" width="9.28515625" style="53" customWidth="1"/>
    <col min="6146" max="6146" width="39.85546875" style="53" customWidth="1"/>
    <col min="6147" max="6147" width="18.28515625" style="53" customWidth="1"/>
    <col min="6148" max="6148" width="23.85546875" style="53" customWidth="1"/>
    <col min="6149" max="6149" width="16" style="53" bestFit="1" customWidth="1"/>
    <col min="6150" max="6150" width="13.7109375" style="53" bestFit="1" customWidth="1"/>
    <col min="6151" max="6151" width="15.7109375" style="53" bestFit="1" customWidth="1"/>
    <col min="6152" max="6152" width="13.140625" style="53" bestFit="1" customWidth="1"/>
    <col min="6153" max="6153" width="11.85546875" style="53" bestFit="1" customWidth="1"/>
    <col min="6154" max="6154" width="12.85546875" style="53" bestFit="1" customWidth="1"/>
    <col min="6155" max="6400" width="9.140625" style="53"/>
    <col min="6401" max="6401" width="9.28515625" style="53" customWidth="1"/>
    <col min="6402" max="6402" width="39.85546875" style="53" customWidth="1"/>
    <col min="6403" max="6403" width="18.28515625" style="53" customWidth="1"/>
    <col min="6404" max="6404" width="23.85546875" style="53" customWidth="1"/>
    <col min="6405" max="6405" width="16" style="53" bestFit="1" customWidth="1"/>
    <col min="6406" max="6406" width="13.7109375" style="53" bestFit="1" customWidth="1"/>
    <col min="6407" max="6407" width="15.7109375" style="53" bestFit="1" customWidth="1"/>
    <col min="6408" max="6408" width="13.140625" style="53" bestFit="1" customWidth="1"/>
    <col min="6409" max="6409" width="11.85546875" style="53" bestFit="1" customWidth="1"/>
    <col min="6410" max="6410" width="12.85546875" style="53" bestFit="1" customWidth="1"/>
    <col min="6411" max="6656" width="9.140625" style="53"/>
    <col min="6657" max="6657" width="9.28515625" style="53" customWidth="1"/>
    <col min="6658" max="6658" width="39.85546875" style="53" customWidth="1"/>
    <col min="6659" max="6659" width="18.28515625" style="53" customWidth="1"/>
    <col min="6660" max="6660" width="23.85546875" style="53" customWidth="1"/>
    <col min="6661" max="6661" width="16" style="53" bestFit="1" customWidth="1"/>
    <col min="6662" max="6662" width="13.7109375" style="53" bestFit="1" customWidth="1"/>
    <col min="6663" max="6663" width="15.7109375" style="53" bestFit="1" customWidth="1"/>
    <col min="6664" max="6664" width="13.140625" style="53" bestFit="1" customWidth="1"/>
    <col min="6665" max="6665" width="11.85546875" style="53" bestFit="1" customWidth="1"/>
    <col min="6666" max="6666" width="12.85546875" style="53" bestFit="1" customWidth="1"/>
    <col min="6667" max="6912" width="9.140625" style="53"/>
    <col min="6913" max="6913" width="9.28515625" style="53" customWidth="1"/>
    <col min="6914" max="6914" width="39.85546875" style="53" customWidth="1"/>
    <col min="6915" max="6915" width="18.28515625" style="53" customWidth="1"/>
    <col min="6916" max="6916" width="23.85546875" style="53" customWidth="1"/>
    <col min="6917" max="6917" width="16" style="53" bestFit="1" customWidth="1"/>
    <col min="6918" max="6918" width="13.7109375" style="53" bestFit="1" customWidth="1"/>
    <col min="6919" max="6919" width="15.7109375" style="53" bestFit="1" customWidth="1"/>
    <col min="6920" max="6920" width="13.140625" style="53" bestFit="1" customWidth="1"/>
    <col min="6921" max="6921" width="11.85546875" style="53" bestFit="1" customWidth="1"/>
    <col min="6922" max="6922" width="12.85546875" style="53" bestFit="1" customWidth="1"/>
    <col min="6923" max="7168" width="9.140625" style="53"/>
    <col min="7169" max="7169" width="9.28515625" style="53" customWidth="1"/>
    <col min="7170" max="7170" width="39.85546875" style="53" customWidth="1"/>
    <col min="7171" max="7171" width="18.28515625" style="53" customWidth="1"/>
    <col min="7172" max="7172" width="23.85546875" style="53" customWidth="1"/>
    <col min="7173" max="7173" width="16" style="53" bestFit="1" customWidth="1"/>
    <col min="7174" max="7174" width="13.7109375" style="53" bestFit="1" customWidth="1"/>
    <col min="7175" max="7175" width="15.7109375" style="53" bestFit="1" customWidth="1"/>
    <col min="7176" max="7176" width="13.140625" style="53" bestFit="1" customWidth="1"/>
    <col min="7177" max="7177" width="11.85546875" style="53" bestFit="1" customWidth="1"/>
    <col min="7178" max="7178" width="12.85546875" style="53" bestFit="1" customWidth="1"/>
    <col min="7179" max="7424" width="9.140625" style="53"/>
    <col min="7425" max="7425" width="9.28515625" style="53" customWidth="1"/>
    <col min="7426" max="7426" width="39.85546875" style="53" customWidth="1"/>
    <col min="7427" max="7427" width="18.28515625" style="53" customWidth="1"/>
    <col min="7428" max="7428" width="23.85546875" style="53" customWidth="1"/>
    <col min="7429" max="7429" width="16" style="53" bestFit="1" customWidth="1"/>
    <col min="7430" max="7430" width="13.7109375" style="53" bestFit="1" customWidth="1"/>
    <col min="7431" max="7431" width="15.7109375" style="53" bestFit="1" customWidth="1"/>
    <col min="7432" max="7432" width="13.140625" style="53" bestFit="1" customWidth="1"/>
    <col min="7433" max="7433" width="11.85546875" style="53" bestFit="1" customWidth="1"/>
    <col min="7434" max="7434" width="12.85546875" style="53" bestFit="1" customWidth="1"/>
    <col min="7435" max="7680" width="9.140625" style="53"/>
    <col min="7681" max="7681" width="9.28515625" style="53" customWidth="1"/>
    <col min="7682" max="7682" width="39.85546875" style="53" customWidth="1"/>
    <col min="7683" max="7683" width="18.28515625" style="53" customWidth="1"/>
    <col min="7684" max="7684" width="23.85546875" style="53" customWidth="1"/>
    <col min="7685" max="7685" width="16" style="53" bestFit="1" customWidth="1"/>
    <col min="7686" max="7686" width="13.7109375" style="53" bestFit="1" customWidth="1"/>
    <col min="7687" max="7687" width="15.7109375" style="53" bestFit="1" customWidth="1"/>
    <col min="7688" max="7688" width="13.140625" style="53" bestFit="1" customWidth="1"/>
    <col min="7689" max="7689" width="11.85546875" style="53" bestFit="1" customWidth="1"/>
    <col min="7690" max="7690" width="12.85546875" style="53" bestFit="1" customWidth="1"/>
    <col min="7691" max="7936" width="9.140625" style="53"/>
    <col min="7937" max="7937" width="9.28515625" style="53" customWidth="1"/>
    <col min="7938" max="7938" width="39.85546875" style="53" customWidth="1"/>
    <col min="7939" max="7939" width="18.28515625" style="53" customWidth="1"/>
    <col min="7940" max="7940" width="23.85546875" style="53" customWidth="1"/>
    <col min="7941" max="7941" width="16" style="53" bestFit="1" customWidth="1"/>
    <col min="7942" max="7942" width="13.7109375" style="53" bestFit="1" customWidth="1"/>
    <col min="7943" max="7943" width="15.7109375" style="53" bestFit="1" customWidth="1"/>
    <col min="7944" max="7944" width="13.140625" style="53" bestFit="1" customWidth="1"/>
    <col min="7945" max="7945" width="11.85546875" style="53" bestFit="1" customWidth="1"/>
    <col min="7946" max="7946" width="12.85546875" style="53" bestFit="1" customWidth="1"/>
    <col min="7947" max="8192" width="9.140625" style="53"/>
    <col min="8193" max="8193" width="9.28515625" style="53" customWidth="1"/>
    <col min="8194" max="8194" width="39.85546875" style="53" customWidth="1"/>
    <col min="8195" max="8195" width="18.28515625" style="53" customWidth="1"/>
    <col min="8196" max="8196" width="23.85546875" style="53" customWidth="1"/>
    <col min="8197" max="8197" width="16" style="53" bestFit="1" customWidth="1"/>
    <col min="8198" max="8198" width="13.7109375" style="53" bestFit="1" customWidth="1"/>
    <col min="8199" max="8199" width="15.7109375" style="53" bestFit="1" customWidth="1"/>
    <col min="8200" max="8200" width="13.140625" style="53" bestFit="1" customWidth="1"/>
    <col min="8201" max="8201" width="11.85546875" style="53" bestFit="1" customWidth="1"/>
    <col min="8202" max="8202" width="12.85546875" style="53" bestFit="1" customWidth="1"/>
    <col min="8203" max="8448" width="9.140625" style="53"/>
    <col min="8449" max="8449" width="9.28515625" style="53" customWidth="1"/>
    <col min="8450" max="8450" width="39.85546875" style="53" customWidth="1"/>
    <col min="8451" max="8451" width="18.28515625" style="53" customWidth="1"/>
    <col min="8452" max="8452" width="23.85546875" style="53" customWidth="1"/>
    <col min="8453" max="8453" width="16" style="53" bestFit="1" customWidth="1"/>
    <col min="8454" max="8454" width="13.7109375" style="53" bestFit="1" customWidth="1"/>
    <col min="8455" max="8455" width="15.7109375" style="53" bestFit="1" customWidth="1"/>
    <col min="8456" max="8456" width="13.140625" style="53" bestFit="1" customWidth="1"/>
    <col min="8457" max="8457" width="11.85546875" style="53" bestFit="1" customWidth="1"/>
    <col min="8458" max="8458" width="12.85546875" style="53" bestFit="1" customWidth="1"/>
    <col min="8459" max="8704" width="9.140625" style="53"/>
    <col min="8705" max="8705" width="9.28515625" style="53" customWidth="1"/>
    <col min="8706" max="8706" width="39.85546875" style="53" customWidth="1"/>
    <col min="8707" max="8707" width="18.28515625" style="53" customWidth="1"/>
    <col min="8708" max="8708" width="23.85546875" style="53" customWidth="1"/>
    <col min="8709" max="8709" width="16" style="53" bestFit="1" customWidth="1"/>
    <col min="8710" max="8710" width="13.7109375" style="53" bestFit="1" customWidth="1"/>
    <col min="8711" max="8711" width="15.7109375" style="53" bestFit="1" customWidth="1"/>
    <col min="8712" max="8712" width="13.140625" style="53" bestFit="1" customWidth="1"/>
    <col min="8713" max="8713" width="11.85546875" style="53" bestFit="1" customWidth="1"/>
    <col min="8714" max="8714" width="12.85546875" style="53" bestFit="1" customWidth="1"/>
    <col min="8715" max="8960" width="9.140625" style="53"/>
    <col min="8961" max="8961" width="9.28515625" style="53" customWidth="1"/>
    <col min="8962" max="8962" width="39.85546875" style="53" customWidth="1"/>
    <col min="8963" max="8963" width="18.28515625" style="53" customWidth="1"/>
    <col min="8964" max="8964" width="23.85546875" style="53" customWidth="1"/>
    <col min="8965" max="8965" width="16" style="53" bestFit="1" customWidth="1"/>
    <col min="8966" max="8966" width="13.7109375" style="53" bestFit="1" customWidth="1"/>
    <col min="8967" max="8967" width="15.7109375" style="53" bestFit="1" customWidth="1"/>
    <col min="8968" max="8968" width="13.140625" style="53" bestFit="1" customWidth="1"/>
    <col min="8969" max="8969" width="11.85546875" style="53" bestFit="1" customWidth="1"/>
    <col min="8970" max="8970" width="12.85546875" style="53" bestFit="1" customWidth="1"/>
    <col min="8971" max="9216" width="9.140625" style="53"/>
    <col min="9217" max="9217" width="9.28515625" style="53" customWidth="1"/>
    <col min="9218" max="9218" width="39.85546875" style="53" customWidth="1"/>
    <col min="9219" max="9219" width="18.28515625" style="53" customWidth="1"/>
    <col min="9220" max="9220" width="23.85546875" style="53" customWidth="1"/>
    <col min="9221" max="9221" width="16" style="53" bestFit="1" customWidth="1"/>
    <col min="9222" max="9222" width="13.7109375" style="53" bestFit="1" customWidth="1"/>
    <col min="9223" max="9223" width="15.7109375" style="53" bestFit="1" customWidth="1"/>
    <col min="9224" max="9224" width="13.140625" style="53" bestFit="1" customWidth="1"/>
    <col min="9225" max="9225" width="11.85546875" style="53" bestFit="1" customWidth="1"/>
    <col min="9226" max="9226" width="12.85546875" style="53" bestFit="1" customWidth="1"/>
    <col min="9227" max="9472" width="9.140625" style="53"/>
    <col min="9473" max="9473" width="9.28515625" style="53" customWidth="1"/>
    <col min="9474" max="9474" width="39.85546875" style="53" customWidth="1"/>
    <col min="9475" max="9475" width="18.28515625" style="53" customWidth="1"/>
    <col min="9476" max="9476" width="23.85546875" style="53" customWidth="1"/>
    <col min="9477" max="9477" width="16" style="53" bestFit="1" customWidth="1"/>
    <col min="9478" max="9478" width="13.7109375" style="53" bestFit="1" customWidth="1"/>
    <col min="9479" max="9479" width="15.7109375" style="53" bestFit="1" customWidth="1"/>
    <col min="9480" max="9480" width="13.140625" style="53" bestFit="1" customWidth="1"/>
    <col min="9481" max="9481" width="11.85546875" style="53" bestFit="1" customWidth="1"/>
    <col min="9482" max="9482" width="12.85546875" style="53" bestFit="1" customWidth="1"/>
    <col min="9483" max="9728" width="9.140625" style="53"/>
    <col min="9729" max="9729" width="9.28515625" style="53" customWidth="1"/>
    <col min="9730" max="9730" width="39.85546875" style="53" customWidth="1"/>
    <col min="9731" max="9731" width="18.28515625" style="53" customWidth="1"/>
    <col min="9732" max="9732" width="23.85546875" style="53" customWidth="1"/>
    <col min="9733" max="9733" width="16" style="53" bestFit="1" customWidth="1"/>
    <col min="9734" max="9734" width="13.7109375" style="53" bestFit="1" customWidth="1"/>
    <col min="9735" max="9735" width="15.7109375" style="53" bestFit="1" customWidth="1"/>
    <col min="9736" max="9736" width="13.140625" style="53" bestFit="1" customWidth="1"/>
    <col min="9737" max="9737" width="11.85546875" style="53" bestFit="1" customWidth="1"/>
    <col min="9738" max="9738" width="12.85546875" style="53" bestFit="1" customWidth="1"/>
    <col min="9739" max="9984" width="9.140625" style="53"/>
    <col min="9985" max="9985" width="9.28515625" style="53" customWidth="1"/>
    <col min="9986" max="9986" width="39.85546875" style="53" customWidth="1"/>
    <col min="9987" max="9987" width="18.28515625" style="53" customWidth="1"/>
    <col min="9988" max="9988" width="23.85546875" style="53" customWidth="1"/>
    <col min="9989" max="9989" width="16" style="53" bestFit="1" customWidth="1"/>
    <col min="9990" max="9990" width="13.7109375" style="53" bestFit="1" customWidth="1"/>
    <col min="9991" max="9991" width="15.7109375" style="53" bestFit="1" customWidth="1"/>
    <col min="9992" max="9992" width="13.140625" style="53" bestFit="1" customWidth="1"/>
    <col min="9993" max="9993" width="11.85546875" style="53" bestFit="1" customWidth="1"/>
    <col min="9994" max="9994" width="12.85546875" style="53" bestFit="1" customWidth="1"/>
    <col min="9995" max="10240" width="9.140625" style="53"/>
    <col min="10241" max="10241" width="9.28515625" style="53" customWidth="1"/>
    <col min="10242" max="10242" width="39.85546875" style="53" customWidth="1"/>
    <col min="10243" max="10243" width="18.28515625" style="53" customWidth="1"/>
    <col min="10244" max="10244" width="23.85546875" style="53" customWidth="1"/>
    <col min="10245" max="10245" width="16" style="53" bestFit="1" customWidth="1"/>
    <col min="10246" max="10246" width="13.7109375" style="53" bestFit="1" customWidth="1"/>
    <col min="10247" max="10247" width="15.7109375" style="53" bestFit="1" customWidth="1"/>
    <col min="10248" max="10248" width="13.140625" style="53" bestFit="1" customWidth="1"/>
    <col min="10249" max="10249" width="11.85546875" style="53" bestFit="1" customWidth="1"/>
    <col min="10250" max="10250" width="12.85546875" style="53" bestFit="1" customWidth="1"/>
    <col min="10251" max="10496" width="9.140625" style="53"/>
    <col min="10497" max="10497" width="9.28515625" style="53" customWidth="1"/>
    <col min="10498" max="10498" width="39.85546875" style="53" customWidth="1"/>
    <col min="10499" max="10499" width="18.28515625" style="53" customWidth="1"/>
    <col min="10500" max="10500" width="23.85546875" style="53" customWidth="1"/>
    <col min="10501" max="10501" width="16" style="53" bestFit="1" customWidth="1"/>
    <col min="10502" max="10502" width="13.7109375" style="53" bestFit="1" customWidth="1"/>
    <col min="10503" max="10503" width="15.7109375" style="53" bestFit="1" customWidth="1"/>
    <col min="10504" max="10504" width="13.140625" style="53" bestFit="1" customWidth="1"/>
    <col min="10505" max="10505" width="11.85546875" style="53" bestFit="1" customWidth="1"/>
    <col min="10506" max="10506" width="12.85546875" style="53" bestFit="1" customWidth="1"/>
    <col min="10507" max="10752" width="9.140625" style="53"/>
    <col min="10753" max="10753" width="9.28515625" style="53" customWidth="1"/>
    <col min="10754" max="10754" width="39.85546875" style="53" customWidth="1"/>
    <col min="10755" max="10755" width="18.28515625" style="53" customWidth="1"/>
    <col min="10756" max="10756" width="23.85546875" style="53" customWidth="1"/>
    <col min="10757" max="10757" width="16" style="53" bestFit="1" customWidth="1"/>
    <col min="10758" max="10758" width="13.7109375" style="53" bestFit="1" customWidth="1"/>
    <col min="10759" max="10759" width="15.7109375" style="53" bestFit="1" customWidth="1"/>
    <col min="10760" max="10760" width="13.140625" style="53" bestFit="1" customWidth="1"/>
    <col min="10761" max="10761" width="11.85546875" style="53" bestFit="1" customWidth="1"/>
    <col min="10762" max="10762" width="12.85546875" style="53" bestFit="1" customWidth="1"/>
    <col min="10763" max="11008" width="9.140625" style="53"/>
    <col min="11009" max="11009" width="9.28515625" style="53" customWidth="1"/>
    <col min="11010" max="11010" width="39.85546875" style="53" customWidth="1"/>
    <col min="11011" max="11011" width="18.28515625" style="53" customWidth="1"/>
    <col min="11012" max="11012" width="23.85546875" style="53" customWidth="1"/>
    <col min="11013" max="11013" width="16" style="53" bestFit="1" customWidth="1"/>
    <col min="11014" max="11014" width="13.7109375" style="53" bestFit="1" customWidth="1"/>
    <col min="11015" max="11015" width="15.7109375" style="53" bestFit="1" customWidth="1"/>
    <col min="11016" max="11016" width="13.140625" style="53" bestFit="1" customWidth="1"/>
    <col min="11017" max="11017" width="11.85546875" style="53" bestFit="1" customWidth="1"/>
    <col min="11018" max="11018" width="12.85546875" style="53" bestFit="1" customWidth="1"/>
    <col min="11019" max="11264" width="9.140625" style="53"/>
    <col min="11265" max="11265" width="9.28515625" style="53" customWidth="1"/>
    <col min="11266" max="11266" width="39.85546875" style="53" customWidth="1"/>
    <col min="11267" max="11267" width="18.28515625" style="53" customWidth="1"/>
    <col min="11268" max="11268" width="23.85546875" style="53" customWidth="1"/>
    <col min="11269" max="11269" width="16" style="53" bestFit="1" customWidth="1"/>
    <col min="11270" max="11270" width="13.7109375" style="53" bestFit="1" customWidth="1"/>
    <col min="11271" max="11271" width="15.7109375" style="53" bestFit="1" customWidth="1"/>
    <col min="11272" max="11272" width="13.140625" style="53" bestFit="1" customWidth="1"/>
    <col min="11273" max="11273" width="11.85546875" style="53" bestFit="1" customWidth="1"/>
    <col min="11274" max="11274" width="12.85546875" style="53" bestFit="1" customWidth="1"/>
    <col min="11275" max="11520" width="9.140625" style="53"/>
    <col min="11521" max="11521" width="9.28515625" style="53" customWidth="1"/>
    <col min="11522" max="11522" width="39.85546875" style="53" customWidth="1"/>
    <col min="11523" max="11523" width="18.28515625" style="53" customWidth="1"/>
    <col min="11524" max="11524" width="23.85546875" style="53" customWidth="1"/>
    <col min="11525" max="11525" width="16" style="53" bestFit="1" customWidth="1"/>
    <col min="11526" max="11526" width="13.7109375" style="53" bestFit="1" customWidth="1"/>
    <col min="11527" max="11527" width="15.7109375" style="53" bestFit="1" customWidth="1"/>
    <col min="11528" max="11528" width="13.140625" style="53" bestFit="1" customWidth="1"/>
    <col min="11529" max="11529" width="11.85546875" style="53" bestFit="1" customWidth="1"/>
    <col min="11530" max="11530" width="12.85546875" style="53" bestFit="1" customWidth="1"/>
    <col min="11531" max="11776" width="9.140625" style="53"/>
    <col min="11777" max="11777" width="9.28515625" style="53" customWidth="1"/>
    <col min="11778" max="11778" width="39.85546875" style="53" customWidth="1"/>
    <col min="11779" max="11779" width="18.28515625" style="53" customWidth="1"/>
    <col min="11780" max="11780" width="23.85546875" style="53" customWidth="1"/>
    <col min="11781" max="11781" width="16" style="53" bestFit="1" customWidth="1"/>
    <col min="11782" max="11782" width="13.7109375" style="53" bestFit="1" customWidth="1"/>
    <col min="11783" max="11783" width="15.7109375" style="53" bestFit="1" customWidth="1"/>
    <col min="11784" max="11784" width="13.140625" style="53" bestFit="1" customWidth="1"/>
    <col min="11785" max="11785" width="11.85546875" style="53" bestFit="1" customWidth="1"/>
    <col min="11786" max="11786" width="12.85546875" style="53" bestFit="1" customWidth="1"/>
    <col min="11787" max="12032" width="9.140625" style="53"/>
    <col min="12033" max="12033" width="9.28515625" style="53" customWidth="1"/>
    <col min="12034" max="12034" width="39.85546875" style="53" customWidth="1"/>
    <col min="12035" max="12035" width="18.28515625" style="53" customWidth="1"/>
    <col min="12036" max="12036" width="23.85546875" style="53" customWidth="1"/>
    <col min="12037" max="12037" width="16" style="53" bestFit="1" customWidth="1"/>
    <col min="12038" max="12038" width="13.7109375" style="53" bestFit="1" customWidth="1"/>
    <col min="12039" max="12039" width="15.7109375" style="53" bestFit="1" customWidth="1"/>
    <col min="12040" max="12040" width="13.140625" style="53" bestFit="1" customWidth="1"/>
    <col min="12041" max="12041" width="11.85546875" style="53" bestFit="1" customWidth="1"/>
    <col min="12042" max="12042" width="12.85546875" style="53" bestFit="1" customWidth="1"/>
    <col min="12043" max="12288" width="9.140625" style="53"/>
    <col min="12289" max="12289" width="9.28515625" style="53" customWidth="1"/>
    <col min="12290" max="12290" width="39.85546875" style="53" customWidth="1"/>
    <col min="12291" max="12291" width="18.28515625" style="53" customWidth="1"/>
    <col min="12292" max="12292" width="23.85546875" style="53" customWidth="1"/>
    <col min="12293" max="12293" width="16" style="53" bestFit="1" customWidth="1"/>
    <col min="12294" max="12294" width="13.7109375" style="53" bestFit="1" customWidth="1"/>
    <col min="12295" max="12295" width="15.7109375" style="53" bestFit="1" customWidth="1"/>
    <col min="12296" max="12296" width="13.140625" style="53" bestFit="1" customWidth="1"/>
    <col min="12297" max="12297" width="11.85546875" style="53" bestFit="1" customWidth="1"/>
    <col min="12298" max="12298" width="12.85546875" style="53" bestFit="1" customWidth="1"/>
    <col min="12299" max="12544" width="9.140625" style="53"/>
    <col min="12545" max="12545" width="9.28515625" style="53" customWidth="1"/>
    <col min="12546" max="12546" width="39.85546875" style="53" customWidth="1"/>
    <col min="12547" max="12547" width="18.28515625" style="53" customWidth="1"/>
    <col min="12548" max="12548" width="23.85546875" style="53" customWidth="1"/>
    <col min="12549" max="12549" width="16" style="53" bestFit="1" customWidth="1"/>
    <col min="12550" max="12550" width="13.7109375" style="53" bestFit="1" customWidth="1"/>
    <col min="12551" max="12551" width="15.7109375" style="53" bestFit="1" customWidth="1"/>
    <col min="12552" max="12552" width="13.140625" style="53" bestFit="1" customWidth="1"/>
    <col min="12553" max="12553" width="11.85546875" style="53" bestFit="1" customWidth="1"/>
    <col min="12554" max="12554" width="12.85546875" style="53" bestFit="1" customWidth="1"/>
    <col min="12555" max="12800" width="9.140625" style="53"/>
    <col min="12801" max="12801" width="9.28515625" style="53" customWidth="1"/>
    <col min="12802" max="12802" width="39.85546875" style="53" customWidth="1"/>
    <col min="12803" max="12803" width="18.28515625" style="53" customWidth="1"/>
    <col min="12804" max="12804" width="23.85546875" style="53" customWidth="1"/>
    <col min="12805" max="12805" width="16" style="53" bestFit="1" customWidth="1"/>
    <col min="12806" max="12806" width="13.7109375" style="53" bestFit="1" customWidth="1"/>
    <col min="12807" max="12807" width="15.7109375" style="53" bestFit="1" customWidth="1"/>
    <col min="12808" max="12808" width="13.140625" style="53" bestFit="1" customWidth="1"/>
    <col min="12809" max="12809" width="11.85546875" style="53" bestFit="1" customWidth="1"/>
    <col min="12810" max="12810" width="12.85546875" style="53" bestFit="1" customWidth="1"/>
    <col min="12811" max="13056" width="9.140625" style="53"/>
    <col min="13057" max="13057" width="9.28515625" style="53" customWidth="1"/>
    <col min="13058" max="13058" width="39.85546875" style="53" customWidth="1"/>
    <col min="13059" max="13059" width="18.28515625" style="53" customWidth="1"/>
    <col min="13060" max="13060" width="23.85546875" style="53" customWidth="1"/>
    <col min="13061" max="13061" width="16" style="53" bestFit="1" customWidth="1"/>
    <col min="13062" max="13062" width="13.7109375" style="53" bestFit="1" customWidth="1"/>
    <col min="13063" max="13063" width="15.7109375" style="53" bestFit="1" customWidth="1"/>
    <col min="13064" max="13064" width="13.140625" style="53" bestFit="1" customWidth="1"/>
    <col min="13065" max="13065" width="11.85546875" style="53" bestFit="1" customWidth="1"/>
    <col min="13066" max="13066" width="12.85546875" style="53" bestFit="1" customWidth="1"/>
    <col min="13067" max="13312" width="9.140625" style="53"/>
    <col min="13313" max="13313" width="9.28515625" style="53" customWidth="1"/>
    <col min="13314" max="13314" width="39.85546875" style="53" customWidth="1"/>
    <col min="13315" max="13315" width="18.28515625" style="53" customWidth="1"/>
    <col min="13316" max="13316" width="23.85546875" style="53" customWidth="1"/>
    <col min="13317" max="13317" width="16" style="53" bestFit="1" customWidth="1"/>
    <col min="13318" max="13318" width="13.7109375" style="53" bestFit="1" customWidth="1"/>
    <col min="13319" max="13319" width="15.7109375" style="53" bestFit="1" customWidth="1"/>
    <col min="13320" max="13320" width="13.140625" style="53" bestFit="1" customWidth="1"/>
    <col min="13321" max="13321" width="11.85546875" style="53" bestFit="1" customWidth="1"/>
    <col min="13322" max="13322" width="12.85546875" style="53" bestFit="1" customWidth="1"/>
    <col min="13323" max="13568" width="9.140625" style="53"/>
    <col min="13569" max="13569" width="9.28515625" style="53" customWidth="1"/>
    <col min="13570" max="13570" width="39.85546875" style="53" customWidth="1"/>
    <col min="13571" max="13571" width="18.28515625" style="53" customWidth="1"/>
    <col min="13572" max="13572" width="23.85546875" style="53" customWidth="1"/>
    <col min="13573" max="13573" width="16" style="53" bestFit="1" customWidth="1"/>
    <col min="13574" max="13574" width="13.7109375" style="53" bestFit="1" customWidth="1"/>
    <col min="13575" max="13575" width="15.7109375" style="53" bestFit="1" customWidth="1"/>
    <col min="13576" max="13576" width="13.140625" style="53" bestFit="1" customWidth="1"/>
    <col min="13577" max="13577" width="11.85546875" style="53" bestFit="1" customWidth="1"/>
    <col min="13578" max="13578" width="12.85546875" style="53" bestFit="1" customWidth="1"/>
    <col min="13579" max="13824" width="9.140625" style="53"/>
    <col min="13825" max="13825" width="9.28515625" style="53" customWidth="1"/>
    <col min="13826" max="13826" width="39.85546875" style="53" customWidth="1"/>
    <col min="13827" max="13827" width="18.28515625" style="53" customWidth="1"/>
    <col min="13828" max="13828" width="23.85546875" style="53" customWidth="1"/>
    <col min="13829" max="13829" width="16" style="53" bestFit="1" customWidth="1"/>
    <col min="13830" max="13830" width="13.7109375" style="53" bestFit="1" customWidth="1"/>
    <col min="13831" max="13831" width="15.7109375" style="53" bestFit="1" customWidth="1"/>
    <col min="13832" max="13832" width="13.140625" style="53" bestFit="1" customWidth="1"/>
    <col min="13833" max="13833" width="11.85546875" style="53" bestFit="1" customWidth="1"/>
    <col min="13834" max="13834" width="12.85546875" style="53" bestFit="1" customWidth="1"/>
    <col min="13835" max="14080" width="9.140625" style="53"/>
    <col min="14081" max="14081" width="9.28515625" style="53" customWidth="1"/>
    <col min="14082" max="14082" width="39.85546875" style="53" customWidth="1"/>
    <col min="14083" max="14083" width="18.28515625" style="53" customWidth="1"/>
    <col min="14084" max="14084" width="23.85546875" style="53" customWidth="1"/>
    <col min="14085" max="14085" width="16" style="53" bestFit="1" customWidth="1"/>
    <col min="14086" max="14086" width="13.7109375" style="53" bestFit="1" customWidth="1"/>
    <col min="14087" max="14087" width="15.7109375" style="53" bestFit="1" customWidth="1"/>
    <col min="14088" max="14088" width="13.140625" style="53" bestFit="1" customWidth="1"/>
    <col min="14089" max="14089" width="11.85546875" style="53" bestFit="1" customWidth="1"/>
    <col min="14090" max="14090" width="12.85546875" style="53" bestFit="1" customWidth="1"/>
    <col min="14091" max="14336" width="9.140625" style="53"/>
    <col min="14337" max="14337" width="9.28515625" style="53" customWidth="1"/>
    <col min="14338" max="14338" width="39.85546875" style="53" customWidth="1"/>
    <col min="14339" max="14339" width="18.28515625" style="53" customWidth="1"/>
    <col min="14340" max="14340" width="23.85546875" style="53" customWidth="1"/>
    <col min="14341" max="14341" width="16" style="53" bestFit="1" customWidth="1"/>
    <col min="14342" max="14342" width="13.7109375" style="53" bestFit="1" customWidth="1"/>
    <col min="14343" max="14343" width="15.7109375" style="53" bestFit="1" customWidth="1"/>
    <col min="14344" max="14344" width="13.140625" style="53" bestFit="1" customWidth="1"/>
    <col min="14345" max="14345" width="11.85546875" style="53" bestFit="1" customWidth="1"/>
    <col min="14346" max="14346" width="12.85546875" style="53" bestFit="1" customWidth="1"/>
    <col min="14347" max="14592" width="9.140625" style="53"/>
    <col min="14593" max="14593" width="9.28515625" style="53" customWidth="1"/>
    <col min="14594" max="14594" width="39.85546875" style="53" customWidth="1"/>
    <col min="14595" max="14595" width="18.28515625" style="53" customWidth="1"/>
    <col min="14596" max="14596" width="23.85546875" style="53" customWidth="1"/>
    <col min="14597" max="14597" width="16" style="53" bestFit="1" customWidth="1"/>
    <col min="14598" max="14598" width="13.7109375" style="53" bestFit="1" customWidth="1"/>
    <col min="14599" max="14599" width="15.7109375" style="53" bestFit="1" customWidth="1"/>
    <col min="14600" max="14600" width="13.140625" style="53" bestFit="1" customWidth="1"/>
    <col min="14601" max="14601" width="11.85546875" style="53" bestFit="1" customWidth="1"/>
    <col min="14602" max="14602" width="12.85546875" style="53" bestFit="1" customWidth="1"/>
    <col min="14603" max="14848" width="9.140625" style="53"/>
    <col min="14849" max="14849" width="9.28515625" style="53" customWidth="1"/>
    <col min="14850" max="14850" width="39.85546875" style="53" customWidth="1"/>
    <col min="14851" max="14851" width="18.28515625" style="53" customWidth="1"/>
    <col min="14852" max="14852" width="23.85546875" style="53" customWidth="1"/>
    <col min="14853" max="14853" width="16" style="53" bestFit="1" customWidth="1"/>
    <col min="14854" max="14854" width="13.7109375" style="53" bestFit="1" customWidth="1"/>
    <col min="14855" max="14855" width="15.7109375" style="53" bestFit="1" customWidth="1"/>
    <col min="14856" max="14856" width="13.140625" style="53" bestFit="1" customWidth="1"/>
    <col min="14857" max="14857" width="11.85546875" style="53" bestFit="1" customWidth="1"/>
    <col min="14858" max="14858" width="12.85546875" style="53" bestFit="1" customWidth="1"/>
    <col min="14859" max="15104" width="9.140625" style="53"/>
    <col min="15105" max="15105" width="9.28515625" style="53" customWidth="1"/>
    <col min="15106" max="15106" width="39.85546875" style="53" customWidth="1"/>
    <col min="15107" max="15107" width="18.28515625" style="53" customWidth="1"/>
    <col min="15108" max="15108" width="23.85546875" style="53" customWidth="1"/>
    <col min="15109" max="15109" width="16" style="53" bestFit="1" customWidth="1"/>
    <col min="15110" max="15110" width="13.7109375" style="53" bestFit="1" customWidth="1"/>
    <col min="15111" max="15111" width="15.7109375" style="53" bestFit="1" customWidth="1"/>
    <col min="15112" max="15112" width="13.140625" style="53" bestFit="1" customWidth="1"/>
    <col min="15113" max="15113" width="11.85546875" style="53" bestFit="1" customWidth="1"/>
    <col min="15114" max="15114" width="12.85546875" style="53" bestFit="1" customWidth="1"/>
    <col min="15115" max="15360" width="9.140625" style="53"/>
    <col min="15361" max="15361" width="9.28515625" style="53" customWidth="1"/>
    <col min="15362" max="15362" width="39.85546875" style="53" customWidth="1"/>
    <col min="15363" max="15363" width="18.28515625" style="53" customWidth="1"/>
    <col min="15364" max="15364" width="23.85546875" style="53" customWidth="1"/>
    <col min="15365" max="15365" width="16" style="53" bestFit="1" customWidth="1"/>
    <col min="15366" max="15366" width="13.7109375" style="53" bestFit="1" customWidth="1"/>
    <col min="15367" max="15367" width="15.7109375" style="53" bestFit="1" customWidth="1"/>
    <col min="15368" max="15368" width="13.140625" style="53" bestFit="1" customWidth="1"/>
    <col min="15369" max="15369" width="11.85546875" style="53" bestFit="1" customWidth="1"/>
    <col min="15370" max="15370" width="12.85546875" style="53" bestFit="1" customWidth="1"/>
    <col min="15371" max="15616" width="9.140625" style="53"/>
    <col min="15617" max="15617" width="9.28515625" style="53" customWidth="1"/>
    <col min="15618" max="15618" width="39.85546875" style="53" customWidth="1"/>
    <col min="15619" max="15619" width="18.28515625" style="53" customWidth="1"/>
    <col min="15620" max="15620" width="23.85546875" style="53" customWidth="1"/>
    <col min="15621" max="15621" width="16" style="53" bestFit="1" customWidth="1"/>
    <col min="15622" max="15622" width="13.7109375" style="53" bestFit="1" customWidth="1"/>
    <col min="15623" max="15623" width="15.7109375" style="53" bestFit="1" customWidth="1"/>
    <col min="15624" max="15624" width="13.140625" style="53" bestFit="1" customWidth="1"/>
    <col min="15625" max="15625" width="11.85546875" style="53" bestFit="1" customWidth="1"/>
    <col min="15626" max="15626" width="12.85546875" style="53" bestFit="1" customWidth="1"/>
    <col min="15627" max="15872" width="9.140625" style="53"/>
    <col min="15873" max="15873" width="9.28515625" style="53" customWidth="1"/>
    <col min="15874" max="15874" width="39.85546875" style="53" customWidth="1"/>
    <col min="15875" max="15875" width="18.28515625" style="53" customWidth="1"/>
    <col min="15876" max="15876" width="23.85546875" style="53" customWidth="1"/>
    <col min="15877" max="15877" width="16" style="53" bestFit="1" customWidth="1"/>
    <col min="15878" max="15878" width="13.7109375" style="53" bestFit="1" customWidth="1"/>
    <col min="15879" max="15879" width="15.7109375" style="53" bestFit="1" customWidth="1"/>
    <col min="15880" max="15880" width="13.140625" style="53" bestFit="1" customWidth="1"/>
    <col min="15881" max="15881" width="11.85546875" style="53" bestFit="1" customWidth="1"/>
    <col min="15882" max="15882" width="12.85546875" style="53" bestFit="1" customWidth="1"/>
    <col min="15883" max="16128" width="9.140625" style="53"/>
    <col min="16129" max="16129" width="9.28515625" style="53" customWidth="1"/>
    <col min="16130" max="16130" width="39.85546875" style="53" customWidth="1"/>
    <col min="16131" max="16131" width="18.28515625" style="53" customWidth="1"/>
    <col min="16132" max="16132" width="23.85546875" style="53" customWidth="1"/>
    <col min="16133" max="16133" width="16" style="53" bestFit="1" customWidth="1"/>
    <col min="16134" max="16134" width="13.7109375" style="53" bestFit="1" customWidth="1"/>
    <col min="16135" max="16135" width="15.7109375" style="53" bestFit="1" customWidth="1"/>
    <col min="16136" max="16136" width="13.140625" style="53" bestFit="1" customWidth="1"/>
    <col min="16137" max="16137" width="11.85546875" style="53" bestFit="1" customWidth="1"/>
    <col min="16138" max="16138" width="12.85546875" style="53" bestFit="1" customWidth="1"/>
    <col min="16139" max="16384" width="9.140625" style="53"/>
  </cols>
  <sheetData>
    <row r="3" spans="1:7" ht="15.75" customHeight="1">
      <c r="A3" s="543" t="s">
        <v>255</v>
      </c>
      <c r="B3" s="543"/>
      <c r="C3" s="543"/>
      <c r="D3" s="543"/>
      <c r="E3" s="52"/>
      <c r="F3" s="52"/>
      <c r="G3" s="52"/>
    </row>
    <row r="4" spans="1:7">
      <c r="A4" s="543"/>
      <c r="B4" s="543"/>
      <c r="C4" s="543"/>
      <c r="D4" s="543"/>
      <c r="E4" s="52"/>
      <c r="F4" s="52"/>
      <c r="G4" s="52"/>
    </row>
    <row r="5" spans="1:7">
      <c r="A5" s="54"/>
      <c r="B5" s="52"/>
      <c r="C5" s="52"/>
      <c r="D5" s="52"/>
      <c r="E5" s="52"/>
      <c r="F5" s="52"/>
      <c r="G5" s="52"/>
    </row>
    <row r="6" spans="1:7" ht="15.75" customHeight="1">
      <c r="A6" s="544" t="s">
        <v>550</v>
      </c>
      <c r="B6" s="544"/>
      <c r="C6" s="544"/>
      <c r="D6" s="544"/>
      <c r="E6" s="52"/>
      <c r="F6" s="52"/>
      <c r="G6" s="52"/>
    </row>
    <row r="7" spans="1:7">
      <c r="A7" s="522"/>
      <c r="B7" s="522"/>
      <c r="C7" s="522"/>
      <c r="D7" s="522"/>
    </row>
    <row r="8" spans="1:7">
      <c r="A8" s="237" t="s">
        <v>551</v>
      </c>
      <c r="B8" s="238"/>
      <c r="C8" s="187"/>
      <c r="D8" s="187"/>
    </row>
    <row r="9" spans="1:7">
      <c r="A9" s="522"/>
      <c r="B9" s="522"/>
      <c r="C9" s="522"/>
      <c r="D9" s="522"/>
    </row>
    <row r="10" spans="1:7">
      <c r="A10" s="57" t="s">
        <v>256</v>
      </c>
      <c r="B10" s="188"/>
      <c r="C10" s="187"/>
      <c r="D10" s="187"/>
    </row>
    <row r="11" spans="1:7">
      <c r="A11" s="59" t="s">
        <v>257</v>
      </c>
      <c r="B11" s="541" t="s">
        <v>258</v>
      </c>
      <c r="C11" s="542"/>
      <c r="D11" s="239">
        <v>42550</v>
      </c>
    </row>
    <row r="12" spans="1:7">
      <c r="A12" s="59" t="s">
        <v>259</v>
      </c>
      <c r="B12" s="62" t="s">
        <v>260</v>
      </c>
      <c r="C12" s="63"/>
      <c r="D12" s="240" t="s">
        <v>374</v>
      </c>
    </row>
    <row r="13" spans="1:7">
      <c r="A13" s="59" t="s">
        <v>261</v>
      </c>
      <c r="B13" s="541" t="s">
        <v>262</v>
      </c>
      <c r="C13" s="542"/>
      <c r="D13" s="240">
        <v>2016</v>
      </c>
    </row>
    <row r="14" spans="1:7">
      <c r="A14" s="64" t="s">
        <v>263</v>
      </c>
      <c r="B14" s="65" t="s">
        <v>555</v>
      </c>
      <c r="C14" s="66"/>
      <c r="D14" s="239">
        <v>42625</v>
      </c>
    </row>
    <row r="16" spans="1:7">
      <c r="A16" s="190"/>
    </row>
    <row r="17" spans="1:7">
      <c r="A17" s="523"/>
      <c r="B17" s="523"/>
      <c r="C17" s="523"/>
      <c r="D17" s="523"/>
      <c r="E17" s="523"/>
      <c r="F17" s="523"/>
      <c r="G17" s="523"/>
    </row>
    <row r="18" spans="1:7" ht="35.25" customHeight="1">
      <c r="A18" s="545" t="s">
        <v>264</v>
      </c>
      <c r="B18" s="545"/>
      <c r="C18" s="67" t="s">
        <v>265</v>
      </c>
      <c r="D18" s="67" t="s">
        <v>266</v>
      </c>
    </row>
    <row r="19" spans="1:7">
      <c r="A19" s="241">
        <v>1</v>
      </c>
      <c r="B19" s="242" t="s">
        <v>1</v>
      </c>
      <c r="C19" s="241" t="s">
        <v>267</v>
      </c>
      <c r="D19" s="243">
        <v>4</v>
      </c>
    </row>
    <row r="20" spans="1:7">
      <c r="A20" s="68"/>
      <c r="B20" s="69"/>
      <c r="C20" s="68"/>
      <c r="D20" s="70"/>
    </row>
    <row r="21" spans="1:7">
      <c r="A21" s="522" t="s">
        <v>268</v>
      </c>
      <c r="B21" s="522"/>
      <c r="C21" s="522"/>
      <c r="D21" s="522"/>
      <c r="E21" s="522"/>
      <c r="F21" s="522"/>
      <c r="G21" s="522"/>
    </row>
    <row r="22" spans="1:7">
      <c r="A22" s="71"/>
    </row>
    <row r="23" spans="1:7">
      <c r="A23" s="57" t="s">
        <v>269</v>
      </c>
    </row>
    <row r="24" spans="1:7">
      <c r="A24" s="57" t="s">
        <v>270</v>
      </c>
    </row>
    <row r="25" spans="1:7">
      <c r="A25" s="72" t="s">
        <v>271</v>
      </c>
      <c r="B25" s="60"/>
      <c r="C25" s="60"/>
      <c r="D25" s="61"/>
    </row>
    <row r="26" spans="1:7">
      <c r="A26" s="73">
        <v>1</v>
      </c>
      <c r="B26" s="74" t="s">
        <v>272</v>
      </c>
      <c r="C26" s="74"/>
      <c r="D26" s="244" t="str">
        <f>B19</f>
        <v>Recepcionista</v>
      </c>
    </row>
    <row r="27" spans="1:7" ht="30.75" customHeight="1">
      <c r="A27" s="73">
        <v>2</v>
      </c>
      <c r="B27" s="539" t="s">
        <v>273</v>
      </c>
      <c r="C27" s="540"/>
      <c r="D27" s="175">
        <v>1249</v>
      </c>
    </row>
    <row r="28" spans="1:7" ht="31.5" customHeight="1">
      <c r="A28" s="73">
        <v>3</v>
      </c>
      <c r="B28" s="539" t="s">
        <v>274</v>
      </c>
      <c r="C28" s="540"/>
      <c r="D28" s="176" t="s">
        <v>375</v>
      </c>
    </row>
    <row r="29" spans="1:7">
      <c r="A29" s="75">
        <v>4</v>
      </c>
      <c r="B29" s="76" t="s">
        <v>275</v>
      </c>
      <c r="C29" s="76"/>
      <c r="D29" s="77">
        <v>42401</v>
      </c>
    </row>
    <row r="30" spans="1:7">
      <c r="A30" s="71"/>
    </row>
    <row r="31" spans="1:7">
      <c r="A31" s="71"/>
    </row>
    <row r="32" spans="1:7">
      <c r="A32" s="71"/>
    </row>
    <row r="33" spans="1:7" ht="16.5" customHeight="1" thickBot="1">
      <c r="A33" s="523" t="s">
        <v>276</v>
      </c>
      <c r="B33" s="523"/>
      <c r="C33" s="523"/>
      <c r="D33" s="523"/>
      <c r="E33" s="523"/>
      <c r="F33" s="52"/>
      <c r="G33" s="52"/>
    </row>
    <row r="34" spans="1:7" ht="16.5" thickBot="1">
      <c r="A34" s="78" t="s">
        <v>277</v>
      </c>
      <c r="B34" s="79" t="s">
        <v>278</v>
      </c>
      <c r="C34" s="80"/>
      <c r="D34" s="81" t="s">
        <v>279</v>
      </c>
    </row>
    <row r="35" spans="1:7">
      <c r="A35" s="82" t="s">
        <v>257</v>
      </c>
      <c r="B35" s="83" t="s">
        <v>280</v>
      </c>
      <c r="C35" s="84"/>
      <c r="D35" s="85">
        <f>ROUND(((D27/220)*(365.25/12)*(40/6)),2)</f>
        <v>1152.01</v>
      </c>
    </row>
    <row r="36" spans="1:7">
      <c r="A36" s="191" t="s">
        <v>259</v>
      </c>
      <c r="B36" s="87" t="s">
        <v>281</v>
      </c>
      <c r="C36" s="88"/>
      <c r="D36" s="89">
        <v>0</v>
      </c>
    </row>
    <row r="37" spans="1:7">
      <c r="A37" s="191" t="s">
        <v>261</v>
      </c>
      <c r="B37" s="87" t="s">
        <v>282</v>
      </c>
      <c r="C37" s="90"/>
      <c r="D37" s="89">
        <v>0</v>
      </c>
    </row>
    <row r="38" spans="1:7">
      <c r="A38" s="191" t="s">
        <v>263</v>
      </c>
      <c r="B38" s="91" t="s">
        <v>552</v>
      </c>
      <c r="C38" s="88"/>
      <c r="D38" s="89">
        <v>21.68</v>
      </c>
    </row>
    <row r="39" spans="1:7">
      <c r="A39" s="191" t="s">
        <v>284</v>
      </c>
      <c r="B39" s="91" t="s">
        <v>285</v>
      </c>
      <c r="C39" s="92"/>
      <c r="D39" s="89">
        <v>0</v>
      </c>
    </row>
    <row r="40" spans="1:7">
      <c r="A40" s="191" t="s">
        <v>286</v>
      </c>
      <c r="B40" s="93" t="s">
        <v>287</v>
      </c>
      <c r="C40" s="92"/>
      <c r="D40" s="89">
        <v>0</v>
      </c>
    </row>
    <row r="41" spans="1:7">
      <c r="A41" s="191" t="s">
        <v>288</v>
      </c>
      <c r="B41" s="93" t="s">
        <v>289</v>
      </c>
      <c r="C41" s="92"/>
      <c r="D41" s="89">
        <v>0</v>
      </c>
    </row>
    <row r="42" spans="1:7" ht="16.5" thickBot="1">
      <c r="A42" s="191" t="s">
        <v>290</v>
      </c>
      <c r="B42" s="94" t="s">
        <v>376</v>
      </c>
      <c r="C42" s="95"/>
      <c r="D42" s="89">
        <v>0</v>
      </c>
    </row>
    <row r="43" spans="1:7" ht="16.5" thickBot="1">
      <c r="A43" s="96"/>
      <c r="B43" s="97" t="s">
        <v>292</v>
      </c>
      <c r="C43" s="98"/>
      <c r="D43" s="99">
        <f>SUM(D35:D42)</f>
        <v>1173.69</v>
      </c>
    </row>
    <row r="44" spans="1:7">
      <c r="A44" s="190"/>
    </row>
    <row r="45" spans="1:7" ht="16.5" thickBot="1">
      <c r="A45" s="523" t="s">
        <v>293</v>
      </c>
      <c r="B45" s="523"/>
      <c r="C45" s="523"/>
      <c r="D45" s="523"/>
      <c r="E45" s="523"/>
      <c r="F45" s="523"/>
      <c r="G45" s="523"/>
    </row>
    <row r="46" spans="1:7" ht="16.5" thickBot="1">
      <c r="A46" s="100">
        <v>2</v>
      </c>
      <c r="B46" s="189" t="s">
        <v>294</v>
      </c>
      <c r="C46" s="102"/>
      <c r="D46" s="100" t="s">
        <v>279</v>
      </c>
    </row>
    <row r="47" spans="1:7">
      <c r="A47" s="82" t="s">
        <v>257</v>
      </c>
      <c r="B47" s="83" t="s">
        <v>295</v>
      </c>
      <c r="C47" s="103"/>
      <c r="D47" s="104">
        <f>(3.7*44)-(D35*6%)</f>
        <v>93.679400000000015</v>
      </c>
    </row>
    <row r="48" spans="1:7" ht="31.5">
      <c r="A48" s="105" t="s">
        <v>259</v>
      </c>
      <c r="B48" s="106" t="s">
        <v>296</v>
      </c>
      <c r="C48" s="90"/>
      <c r="D48" s="107">
        <f>330*(1-20%)</f>
        <v>264</v>
      </c>
    </row>
    <row r="49" spans="1:7">
      <c r="A49" s="191" t="s">
        <v>261</v>
      </c>
      <c r="B49" s="87" t="s">
        <v>389</v>
      </c>
      <c r="C49" s="90"/>
      <c r="D49" s="107">
        <v>50</v>
      </c>
    </row>
    <row r="50" spans="1:7">
      <c r="A50" s="191" t="s">
        <v>263</v>
      </c>
      <c r="B50" s="87" t="s">
        <v>297</v>
      </c>
      <c r="C50" s="88"/>
      <c r="D50" s="107">
        <v>0</v>
      </c>
    </row>
    <row r="51" spans="1:7">
      <c r="A51" s="191" t="s">
        <v>284</v>
      </c>
      <c r="B51" s="87" t="s">
        <v>390</v>
      </c>
      <c r="C51" s="92"/>
      <c r="D51" s="108">
        <v>16</v>
      </c>
    </row>
    <row r="52" spans="1:7" ht="16.5" customHeight="1">
      <c r="A52" s="191" t="s">
        <v>286</v>
      </c>
      <c r="B52" s="535" t="s">
        <v>377</v>
      </c>
      <c r="C52" s="536"/>
      <c r="D52" s="108">
        <v>16</v>
      </c>
    </row>
    <row r="53" spans="1:7" ht="16.5" thickBot="1">
      <c r="A53" s="109" t="s">
        <v>288</v>
      </c>
      <c r="B53" s="537" t="s">
        <v>291</v>
      </c>
      <c r="C53" s="538"/>
      <c r="D53" s="110">
        <v>0</v>
      </c>
    </row>
    <row r="54" spans="1:7" ht="16.5" thickBot="1">
      <c r="A54" s="111"/>
      <c r="B54" s="189" t="s">
        <v>298</v>
      </c>
      <c r="C54" s="112"/>
      <c r="D54" s="113">
        <f>SUM(D47:D53)</f>
        <v>439.67939999999999</v>
      </c>
    </row>
    <row r="55" spans="1:7" ht="33" customHeight="1">
      <c r="A55" s="522" t="s">
        <v>299</v>
      </c>
      <c r="B55" s="522"/>
      <c r="C55" s="522"/>
      <c r="D55" s="522"/>
    </row>
    <row r="56" spans="1:7">
      <c r="A56" s="190"/>
    </row>
    <row r="57" spans="1:7" ht="16.5" thickBot="1">
      <c r="A57" s="523" t="s">
        <v>300</v>
      </c>
      <c r="B57" s="523"/>
      <c r="C57" s="523"/>
      <c r="D57" s="523"/>
      <c r="E57" s="523"/>
      <c r="F57" s="523"/>
      <c r="G57" s="523"/>
    </row>
    <row r="58" spans="1:7" ht="16.5" thickBot="1">
      <c r="A58" s="114">
        <v>3</v>
      </c>
      <c r="B58" s="189" t="s">
        <v>301</v>
      </c>
      <c r="C58" s="102"/>
      <c r="D58" s="100" t="s">
        <v>279</v>
      </c>
    </row>
    <row r="59" spans="1:7">
      <c r="A59" s="82" t="s">
        <v>257</v>
      </c>
      <c r="B59" s="83" t="s">
        <v>302</v>
      </c>
      <c r="C59" s="115"/>
      <c r="D59" s="116">
        <f>'ANEXO IV'!D19</f>
        <v>41.166666666666664</v>
      </c>
    </row>
    <row r="60" spans="1:7">
      <c r="A60" s="105" t="s">
        <v>259</v>
      </c>
      <c r="B60" s="106" t="s">
        <v>15</v>
      </c>
      <c r="C60" s="90"/>
      <c r="D60" s="107">
        <v>0</v>
      </c>
    </row>
    <row r="61" spans="1:7">
      <c r="A61" s="191" t="s">
        <v>261</v>
      </c>
      <c r="B61" s="87" t="s">
        <v>21</v>
      </c>
      <c r="C61" s="90"/>
      <c r="D61" s="107">
        <v>0</v>
      </c>
    </row>
    <row r="62" spans="1:7">
      <c r="A62" s="191" t="s">
        <v>263</v>
      </c>
      <c r="B62" s="535" t="s">
        <v>18</v>
      </c>
      <c r="C62" s="536"/>
      <c r="D62" s="108">
        <v>0</v>
      </c>
    </row>
    <row r="63" spans="1:7" ht="16.5" thickBot="1">
      <c r="A63" s="109" t="s">
        <v>284</v>
      </c>
      <c r="B63" s="537" t="s">
        <v>291</v>
      </c>
      <c r="C63" s="538"/>
      <c r="D63" s="110">
        <v>0</v>
      </c>
    </row>
    <row r="64" spans="1:7" ht="16.5" thickBot="1">
      <c r="A64" s="111"/>
      <c r="B64" s="189" t="s">
        <v>303</v>
      </c>
      <c r="C64" s="112"/>
      <c r="D64" s="113">
        <f>SUM(D59:D63)</f>
        <v>41.166666666666664</v>
      </c>
    </row>
    <row r="65" spans="1:7">
      <c r="A65" s="522" t="s">
        <v>304</v>
      </c>
      <c r="B65" s="522"/>
      <c r="C65" s="522"/>
      <c r="D65" s="522"/>
      <c r="E65" s="522"/>
      <c r="F65" s="522"/>
      <c r="G65" s="522"/>
    </row>
    <row r="66" spans="1:7">
      <c r="A66" s="190"/>
    </row>
    <row r="67" spans="1:7">
      <c r="A67" s="523" t="s">
        <v>305</v>
      </c>
      <c r="B67" s="523"/>
      <c r="C67" s="523"/>
      <c r="D67" s="523"/>
      <c r="E67" s="523"/>
      <c r="F67" s="523"/>
      <c r="G67" s="523"/>
    </row>
    <row r="68" spans="1:7" ht="16.5" thickBot="1">
      <c r="A68" s="523" t="s">
        <v>306</v>
      </c>
      <c r="B68" s="523"/>
      <c r="C68" s="523"/>
      <c r="D68" s="523"/>
      <c r="E68" s="523"/>
      <c r="F68" s="523"/>
      <c r="G68" s="523"/>
    </row>
    <row r="69" spans="1:7" ht="16.5" thickBot="1">
      <c r="A69" s="117" t="s">
        <v>307</v>
      </c>
      <c r="B69" s="118" t="s">
        <v>308</v>
      </c>
      <c r="C69" s="117" t="s">
        <v>4</v>
      </c>
      <c r="D69" s="117" t="s">
        <v>279</v>
      </c>
    </row>
    <row r="70" spans="1:7">
      <c r="A70" s="82" t="s">
        <v>257</v>
      </c>
      <c r="B70" s="119" t="s">
        <v>8</v>
      </c>
      <c r="C70" s="120">
        <v>0.2</v>
      </c>
      <c r="D70" s="104">
        <f t="shared" ref="D70:D77" si="0">ROUND($D$43*C70,2)</f>
        <v>234.74</v>
      </c>
    </row>
    <row r="71" spans="1:7">
      <c r="A71" s="105" t="s">
        <v>259</v>
      </c>
      <c r="B71" s="121" t="s">
        <v>309</v>
      </c>
      <c r="C71" s="122">
        <v>1.4999999999999999E-2</v>
      </c>
      <c r="D71" s="107">
        <f t="shared" si="0"/>
        <v>17.61</v>
      </c>
    </row>
    <row r="72" spans="1:7">
      <c r="A72" s="191" t="s">
        <v>261</v>
      </c>
      <c r="B72" s="123" t="s">
        <v>310</v>
      </c>
      <c r="C72" s="122">
        <v>0.01</v>
      </c>
      <c r="D72" s="107">
        <f t="shared" si="0"/>
        <v>11.74</v>
      </c>
    </row>
    <row r="73" spans="1:7">
      <c r="A73" s="105" t="s">
        <v>263</v>
      </c>
      <c r="B73" s="121" t="s">
        <v>9</v>
      </c>
      <c r="C73" s="122">
        <v>2E-3</v>
      </c>
      <c r="D73" s="107">
        <f t="shared" si="0"/>
        <v>2.35</v>
      </c>
    </row>
    <row r="74" spans="1:7">
      <c r="A74" s="191" t="s">
        <v>284</v>
      </c>
      <c r="B74" s="123" t="s">
        <v>10</v>
      </c>
      <c r="C74" s="122">
        <v>2.5000000000000001E-2</v>
      </c>
      <c r="D74" s="107">
        <f t="shared" si="0"/>
        <v>29.34</v>
      </c>
    </row>
    <row r="75" spans="1:7">
      <c r="A75" s="105" t="s">
        <v>286</v>
      </c>
      <c r="B75" s="121" t="s">
        <v>11</v>
      </c>
      <c r="C75" s="122">
        <v>0.08</v>
      </c>
      <c r="D75" s="107">
        <f t="shared" si="0"/>
        <v>93.9</v>
      </c>
    </row>
    <row r="76" spans="1:7" ht="31.5">
      <c r="A76" s="191" t="s">
        <v>288</v>
      </c>
      <c r="B76" s="123" t="s">
        <v>378</v>
      </c>
      <c r="C76" s="141">
        <v>3.0499999999999999E-2</v>
      </c>
      <c r="D76" s="245">
        <f t="shared" si="0"/>
        <v>35.799999999999997</v>
      </c>
    </row>
    <row r="77" spans="1:7" ht="16.5" thickBot="1">
      <c r="A77" s="124" t="s">
        <v>290</v>
      </c>
      <c r="B77" s="125" t="s">
        <v>12</v>
      </c>
      <c r="C77" s="126">
        <v>6.0000000000000001E-3</v>
      </c>
      <c r="D77" s="110">
        <f t="shared" si="0"/>
        <v>7.04</v>
      </c>
    </row>
    <row r="78" spans="1:7" ht="16.5" thickBot="1">
      <c r="A78" s="530" t="s">
        <v>7</v>
      </c>
      <c r="B78" s="531"/>
      <c r="C78" s="127">
        <f>SUM(C70:C77)</f>
        <v>0.36850000000000005</v>
      </c>
      <c r="D78" s="113">
        <f>SUM(D70:D77)</f>
        <v>432.5200000000001</v>
      </c>
    </row>
    <row r="79" spans="1:7">
      <c r="A79" s="534" t="s">
        <v>311</v>
      </c>
      <c r="B79" s="534"/>
      <c r="C79" s="534"/>
      <c r="D79" s="534"/>
    </row>
    <row r="80" spans="1:7" ht="16.5" customHeight="1">
      <c r="A80" s="534" t="s">
        <v>312</v>
      </c>
      <c r="B80" s="534"/>
      <c r="C80" s="534"/>
      <c r="D80" s="534"/>
    </row>
    <row r="81" spans="1:7">
      <c r="A81" s="190"/>
    </row>
    <row r="82" spans="1:7" ht="16.5" thickBot="1">
      <c r="A82" s="523" t="s">
        <v>313</v>
      </c>
      <c r="B82" s="523"/>
      <c r="C82" s="523"/>
      <c r="D82" s="523"/>
      <c r="E82" s="523"/>
      <c r="F82" s="523"/>
      <c r="G82" s="523"/>
    </row>
    <row r="83" spans="1:7" ht="16.5" thickBot="1">
      <c r="A83" s="117" t="s">
        <v>314</v>
      </c>
      <c r="B83" s="118" t="s">
        <v>315</v>
      </c>
      <c r="C83" s="117" t="s">
        <v>4</v>
      </c>
      <c r="D83" s="117" t="s">
        <v>279</v>
      </c>
    </row>
    <row r="84" spans="1:7">
      <c r="A84" s="82" t="s">
        <v>257</v>
      </c>
      <c r="B84" s="119" t="s">
        <v>316</v>
      </c>
      <c r="C84" s="120">
        <f>((5/56)*100)/100</f>
        <v>8.9285714285714288E-2</v>
      </c>
      <c r="D84" s="104">
        <f>ROUND($D$43*C84,2)</f>
        <v>104.79</v>
      </c>
    </row>
    <row r="85" spans="1:7">
      <c r="A85" s="105" t="s">
        <v>259</v>
      </c>
      <c r="B85" s="121" t="s">
        <v>317</v>
      </c>
      <c r="C85" s="128">
        <f>(1/3)*(5/56)</f>
        <v>2.976190476190476E-2</v>
      </c>
      <c r="D85" s="129">
        <f>ROUND($D$43*C85,2)</f>
        <v>34.93</v>
      </c>
    </row>
    <row r="86" spans="1:7">
      <c r="A86" s="130" t="s">
        <v>318</v>
      </c>
      <c r="B86" s="121"/>
      <c r="C86" s="131">
        <f>SUM(C84:C85)</f>
        <v>0.11904761904761904</v>
      </c>
      <c r="D86" s="132">
        <f>SUM(D84:D85)</f>
        <v>139.72</v>
      </c>
    </row>
    <row r="87" spans="1:7" ht="32.25" thickBot="1">
      <c r="A87" s="105" t="s">
        <v>261</v>
      </c>
      <c r="B87" s="121" t="s">
        <v>319</v>
      </c>
      <c r="C87" s="122">
        <f>D87/D43</f>
        <v>4.3870187187417461E-2</v>
      </c>
      <c r="D87" s="107">
        <f>ROUND(D78*C86,2)</f>
        <v>51.49</v>
      </c>
    </row>
    <row r="88" spans="1:7" ht="16.5" thickBot="1">
      <c r="A88" s="530" t="s">
        <v>7</v>
      </c>
      <c r="B88" s="531"/>
      <c r="C88" s="127">
        <f>C87+C86</f>
        <v>0.16291780623503649</v>
      </c>
      <c r="D88" s="113">
        <f>D86+D87</f>
        <v>191.21</v>
      </c>
    </row>
    <row r="89" spans="1:7">
      <c r="A89" s="190"/>
    </row>
    <row r="90" spans="1:7" ht="16.5" thickBot="1">
      <c r="A90" s="523" t="s">
        <v>320</v>
      </c>
      <c r="B90" s="523"/>
      <c r="C90" s="523"/>
      <c r="D90" s="523"/>
      <c r="E90" s="523"/>
      <c r="F90" s="523"/>
      <c r="G90" s="523"/>
    </row>
    <row r="91" spans="1:7" ht="16.5" thickBot="1">
      <c r="A91" s="117" t="s">
        <v>321</v>
      </c>
      <c r="B91" s="118" t="s">
        <v>322</v>
      </c>
      <c r="C91" s="117" t="s">
        <v>4</v>
      </c>
      <c r="D91" s="117" t="s">
        <v>279</v>
      </c>
    </row>
    <row r="92" spans="1:7">
      <c r="A92" s="82" t="s">
        <v>257</v>
      </c>
      <c r="B92" s="133" t="s">
        <v>323</v>
      </c>
      <c r="C92" s="120">
        <f>0.1111*0.02*0.3333</f>
        <v>7.4059259999999997E-4</v>
      </c>
      <c r="D92" s="104">
        <f>ROUND($D$43*C92,2)</f>
        <v>0.87</v>
      </c>
    </row>
    <row r="93" spans="1:7" ht="32.25" thickBot="1">
      <c r="A93" s="109" t="s">
        <v>259</v>
      </c>
      <c r="B93" s="134" t="s">
        <v>324</v>
      </c>
      <c r="C93" s="126">
        <f>D93/D43</f>
        <v>2.7264439502764785E-4</v>
      </c>
      <c r="D93" s="110">
        <f>ROUND(D78*C92,2)</f>
        <v>0.32</v>
      </c>
    </row>
    <row r="94" spans="1:7" ht="16.5" thickBot="1">
      <c r="A94" s="530" t="s">
        <v>7</v>
      </c>
      <c r="B94" s="531"/>
      <c r="C94" s="127">
        <f>SUM(C92:C93)</f>
        <v>1.0132369950276478E-3</v>
      </c>
      <c r="D94" s="113">
        <f>SUM(D92:D93)</f>
        <v>1.19</v>
      </c>
    </row>
    <row r="95" spans="1:7">
      <c r="A95" s="190"/>
    </row>
    <row r="96" spans="1:7">
      <c r="A96" s="190"/>
    </row>
    <row r="97" spans="1:7" ht="16.5" thickBot="1">
      <c r="A97" s="523" t="s">
        <v>325</v>
      </c>
      <c r="B97" s="523"/>
      <c r="C97" s="523"/>
      <c r="D97" s="523"/>
      <c r="E97" s="523"/>
      <c r="F97" s="523"/>
      <c r="G97" s="523"/>
    </row>
    <row r="98" spans="1:7" ht="16.5" thickBot="1">
      <c r="A98" s="117" t="s">
        <v>326</v>
      </c>
      <c r="B98" s="118" t="s">
        <v>327</v>
      </c>
      <c r="C98" s="117" t="s">
        <v>4</v>
      </c>
      <c r="D98" s="117" t="s">
        <v>279</v>
      </c>
    </row>
    <row r="99" spans="1:7">
      <c r="A99" s="82" t="s">
        <v>257</v>
      </c>
      <c r="B99" s="133" t="s">
        <v>328</v>
      </c>
      <c r="C99" s="135">
        <f>((1/12)*0.05)</f>
        <v>4.1666666666666666E-3</v>
      </c>
      <c r="D99" s="104">
        <f>ROUND($D$43*C99,2)</f>
        <v>4.8899999999999997</v>
      </c>
    </row>
    <row r="100" spans="1:7" ht="31.5">
      <c r="A100" s="191" t="s">
        <v>259</v>
      </c>
      <c r="B100" s="91" t="s">
        <v>329</v>
      </c>
      <c r="C100" s="136">
        <f>D100/D43</f>
        <v>3.3228535643994579E-4</v>
      </c>
      <c r="D100" s="137">
        <f>ROUND(D75*C99,2)</f>
        <v>0.39</v>
      </c>
    </row>
    <row r="101" spans="1:7">
      <c r="A101" s="191" t="s">
        <v>261</v>
      </c>
      <c r="B101" s="138" t="s">
        <v>330</v>
      </c>
      <c r="C101" s="139">
        <f>0.08*0.5*0.9*(1+(5/56)+(5/56)+(1/3)*(5/56))</f>
        <v>4.3499999999999997E-2</v>
      </c>
      <c r="D101" s="107">
        <f>ROUND($D$43*C101,2)</f>
        <v>51.06</v>
      </c>
    </row>
    <row r="102" spans="1:7">
      <c r="A102" s="191" t="s">
        <v>263</v>
      </c>
      <c r="B102" s="138" t="s">
        <v>331</v>
      </c>
      <c r="C102" s="140">
        <f>(((7/30)/12))</f>
        <v>1.9444444444444445E-2</v>
      </c>
      <c r="D102" s="107">
        <f>ROUND($D$43*C102,2)</f>
        <v>22.82</v>
      </c>
    </row>
    <row r="103" spans="1:7" ht="31.5">
      <c r="A103" s="191" t="s">
        <v>284</v>
      </c>
      <c r="B103" s="138" t="s">
        <v>332</v>
      </c>
      <c r="C103" s="141">
        <f>D103/D43</f>
        <v>7.1654355068203699E-3</v>
      </c>
      <c r="D103" s="107">
        <f>ROUND(D78*C102,2)</f>
        <v>8.41</v>
      </c>
    </row>
    <row r="104" spans="1:7" ht="16.5" thickBot="1">
      <c r="A104" s="109" t="s">
        <v>286</v>
      </c>
      <c r="B104" s="134" t="s">
        <v>333</v>
      </c>
      <c r="C104" s="142">
        <f>(40%+10%)*C75*C102</f>
        <v>7.7777777777777784E-4</v>
      </c>
      <c r="D104" s="107">
        <f>ROUND($D$43*C104,2)</f>
        <v>0.91</v>
      </c>
    </row>
    <row r="105" spans="1:7" ht="16.5" thickBot="1">
      <c r="A105" s="525" t="s">
        <v>7</v>
      </c>
      <c r="B105" s="526"/>
      <c r="C105" s="127">
        <f>SUM(C99:C104)</f>
        <v>7.5386609752149211E-2</v>
      </c>
      <c r="D105" s="143">
        <f>SUM(D99:D104)</f>
        <v>88.47999999999999</v>
      </c>
    </row>
    <row r="106" spans="1:7">
      <c r="A106" s="71"/>
    </row>
    <row r="107" spans="1:7" ht="16.5" thickBot="1">
      <c r="A107" s="523" t="s">
        <v>334</v>
      </c>
      <c r="B107" s="523"/>
      <c r="C107" s="523"/>
      <c r="D107" s="523"/>
      <c r="E107" s="523"/>
      <c r="F107" s="523"/>
      <c r="G107" s="523"/>
    </row>
    <row r="108" spans="1:7" ht="32.25" thickBot="1">
      <c r="A108" s="117" t="s">
        <v>335</v>
      </c>
      <c r="B108" s="118" t="s">
        <v>336</v>
      </c>
      <c r="C108" s="117" t="s">
        <v>4</v>
      </c>
      <c r="D108" s="117" t="s">
        <v>279</v>
      </c>
    </row>
    <row r="109" spans="1:7">
      <c r="A109" s="82" t="s">
        <v>257</v>
      </c>
      <c r="B109" s="133" t="s">
        <v>13</v>
      </c>
      <c r="C109" s="144">
        <f>(5/56)</f>
        <v>8.9285714285714288E-2</v>
      </c>
      <c r="D109" s="107">
        <f t="shared" ref="D109:D114" si="1">ROUND($D$43*C109,2)</f>
        <v>104.79</v>
      </c>
    </row>
    <row r="110" spans="1:7">
      <c r="A110" s="191" t="s">
        <v>259</v>
      </c>
      <c r="B110" s="138" t="s">
        <v>379</v>
      </c>
      <c r="C110" s="122">
        <f>(10.96/30)/12</f>
        <v>3.0444444444444444E-2</v>
      </c>
      <c r="D110" s="107">
        <f t="shared" si="1"/>
        <v>35.729999999999997</v>
      </c>
      <c r="E110" s="184"/>
    </row>
    <row r="111" spans="1:7">
      <c r="A111" s="191" t="s">
        <v>261</v>
      </c>
      <c r="B111" s="138" t="s">
        <v>337</v>
      </c>
      <c r="C111" s="122">
        <f>((5/30)/12)*0.015</f>
        <v>2.0833333333333332E-4</v>
      </c>
      <c r="D111" s="107">
        <f t="shared" si="1"/>
        <v>0.24</v>
      </c>
    </row>
    <row r="112" spans="1:7">
      <c r="A112" s="191" t="s">
        <v>263</v>
      </c>
      <c r="B112" s="138" t="s">
        <v>338</v>
      </c>
      <c r="C112" s="122">
        <f>((1/30)/12)</f>
        <v>2.7777777777777779E-3</v>
      </c>
      <c r="D112" s="107">
        <f t="shared" si="1"/>
        <v>3.26</v>
      </c>
    </row>
    <row r="113" spans="1:7">
      <c r="A113" s="191" t="s">
        <v>284</v>
      </c>
      <c r="B113" s="138" t="s">
        <v>339</v>
      </c>
      <c r="C113" s="122">
        <f>((15/30)/12)*0.0078</f>
        <v>3.2499999999999999E-4</v>
      </c>
      <c r="D113" s="107">
        <f t="shared" si="1"/>
        <v>0.38</v>
      </c>
    </row>
    <row r="114" spans="1:7">
      <c r="A114" s="191" t="s">
        <v>286</v>
      </c>
      <c r="B114" s="138" t="s">
        <v>291</v>
      </c>
      <c r="C114" s="145"/>
      <c r="D114" s="107">
        <f t="shared" si="1"/>
        <v>0</v>
      </c>
    </row>
    <row r="115" spans="1:7">
      <c r="A115" s="532" t="s">
        <v>318</v>
      </c>
      <c r="B115" s="533"/>
      <c r="C115" s="122">
        <f>SUM(C109:C114)</f>
        <v>0.12304126984126985</v>
      </c>
      <c r="D115" s="107">
        <f>SUM(D109:D114)</f>
        <v>144.4</v>
      </c>
    </row>
    <row r="116" spans="1:7" ht="32.25" thickBot="1">
      <c r="A116" s="109" t="s">
        <v>288</v>
      </c>
      <c r="B116" s="134" t="s">
        <v>340</v>
      </c>
      <c r="C116" s="142">
        <f>D116/$D$43</f>
        <v>4.5344170948035681E-2</v>
      </c>
      <c r="D116" s="107">
        <f>ROUND(D78*C115,2)</f>
        <v>53.22</v>
      </c>
    </row>
    <row r="117" spans="1:7" ht="16.5" thickBot="1">
      <c r="A117" s="525" t="s">
        <v>7</v>
      </c>
      <c r="B117" s="526"/>
      <c r="C117" s="127">
        <f>C116+C115</f>
        <v>0.16838544078930553</v>
      </c>
      <c r="D117" s="146">
        <f>D116+D115</f>
        <v>197.62</v>
      </c>
    </row>
    <row r="118" spans="1:7">
      <c r="A118" s="190" t="s">
        <v>341</v>
      </c>
    </row>
    <row r="119" spans="1:7" ht="16.5" thickBot="1">
      <c r="A119" s="522" t="s">
        <v>342</v>
      </c>
      <c r="B119" s="522"/>
      <c r="C119" s="522"/>
      <c r="D119" s="522"/>
      <c r="E119" s="522"/>
      <c r="F119" s="522"/>
      <c r="G119" s="522"/>
    </row>
    <row r="120" spans="1:7" ht="32.25" customHeight="1" thickBot="1">
      <c r="A120" s="147">
        <v>4</v>
      </c>
      <c r="B120" s="148" t="s">
        <v>343</v>
      </c>
      <c r="C120" s="149" t="s">
        <v>4</v>
      </c>
      <c r="D120" s="150" t="s">
        <v>279</v>
      </c>
    </row>
    <row r="121" spans="1:7">
      <c r="A121" s="82" t="s">
        <v>307</v>
      </c>
      <c r="B121" s="133" t="s">
        <v>344</v>
      </c>
      <c r="C121" s="142">
        <f t="shared" ref="C121:C126" si="2">D121/$D$43</f>
        <v>0.16291354616636419</v>
      </c>
      <c r="D121" s="107">
        <f>D88</f>
        <v>191.21</v>
      </c>
    </row>
    <row r="122" spans="1:7">
      <c r="A122" s="191" t="s">
        <v>314</v>
      </c>
      <c r="B122" s="138" t="s">
        <v>308</v>
      </c>
      <c r="C122" s="142">
        <f t="shared" si="2"/>
        <v>0.36851298042924457</v>
      </c>
      <c r="D122" s="107">
        <f>D78</f>
        <v>432.5200000000001</v>
      </c>
    </row>
    <row r="123" spans="1:7">
      <c r="A123" s="191" t="s">
        <v>321</v>
      </c>
      <c r="B123" s="138" t="s">
        <v>323</v>
      </c>
      <c r="C123" s="142">
        <f t="shared" si="2"/>
        <v>1.0138963440090654E-3</v>
      </c>
      <c r="D123" s="107">
        <f>D94</f>
        <v>1.19</v>
      </c>
    </row>
    <row r="124" spans="1:7">
      <c r="A124" s="151" t="s">
        <v>326</v>
      </c>
      <c r="B124" s="152" t="s">
        <v>345</v>
      </c>
      <c r="C124" s="142">
        <f t="shared" si="2"/>
        <v>7.5386175225144611E-2</v>
      </c>
      <c r="D124" s="107">
        <f>D105</f>
        <v>88.47999999999999</v>
      </c>
    </row>
    <row r="125" spans="1:7">
      <c r="A125" s="153" t="s">
        <v>335</v>
      </c>
      <c r="B125" s="154" t="s">
        <v>346</v>
      </c>
      <c r="C125" s="142">
        <f t="shared" si="2"/>
        <v>0.16837495420426177</v>
      </c>
      <c r="D125" s="107">
        <f>D117</f>
        <v>197.62</v>
      </c>
    </row>
    <row r="126" spans="1:7" ht="16.5" thickBot="1">
      <c r="A126" s="191" t="s">
        <v>347</v>
      </c>
      <c r="B126" s="138" t="s">
        <v>291</v>
      </c>
      <c r="C126" s="142">
        <f t="shared" si="2"/>
        <v>0</v>
      </c>
      <c r="D126" s="107">
        <v>0</v>
      </c>
    </row>
    <row r="127" spans="1:7" ht="37.5" customHeight="1" thickBot="1">
      <c r="A127" s="530" t="s">
        <v>348</v>
      </c>
      <c r="B127" s="531"/>
      <c r="C127" s="127">
        <f>SUM(C121:C126)</f>
        <v>0.77620155236902411</v>
      </c>
      <c r="D127" s="113">
        <f>SUM(D121:D126)</f>
        <v>911.02000000000021</v>
      </c>
    </row>
    <row r="128" spans="1:7">
      <c r="A128" s="155"/>
      <c r="B128" s="155"/>
      <c r="C128" s="156"/>
      <c r="D128" s="157"/>
      <c r="E128" s="158"/>
      <c r="F128" s="159"/>
      <c r="G128" s="159"/>
    </row>
    <row r="129" spans="1:8" ht="16.5" thickBot="1">
      <c r="A129" s="522" t="s">
        <v>349</v>
      </c>
      <c r="B129" s="522"/>
      <c r="C129" s="522"/>
      <c r="D129" s="522"/>
      <c r="E129" s="522"/>
      <c r="F129" s="522"/>
      <c r="G129" s="522"/>
      <c r="H129" s="160"/>
    </row>
    <row r="130" spans="1:8" ht="16.5" thickBot="1">
      <c r="A130" s="147" t="s">
        <v>350</v>
      </c>
      <c r="B130" s="148" t="s">
        <v>351</v>
      </c>
      <c r="C130" s="149" t="s">
        <v>4</v>
      </c>
      <c r="D130" s="114" t="s">
        <v>279</v>
      </c>
      <c r="E130" s="161">
        <f>D43+D54+D64+D78+D88+D94+D105+D117</f>
        <v>2565.556066666667</v>
      </c>
      <c r="G130" s="160"/>
    </row>
    <row r="131" spans="1:8">
      <c r="A131" s="82" t="s">
        <v>257</v>
      </c>
      <c r="B131" s="133" t="s">
        <v>352</v>
      </c>
      <c r="C131" s="162">
        <v>7.0122000000000004E-2</v>
      </c>
      <c r="D131" s="163">
        <f>E130*C131</f>
        <v>179.90192250680002</v>
      </c>
      <c r="G131" s="160"/>
    </row>
    <row r="132" spans="1:8">
      <c r="A132" s="191" t="s">
        <v>259</v>
      </c>
      <c r="B132" s="138" t="s">
        <v>353</v>
      </c>
      <c r="C132" s="142"/>
      <c r="D132" s="164"/>
      <c r="F132" s="165"/>
    </row>
    <row r="133" spans="1:8">
      <c r="A133" s="191"/>
      <c r="B133" s="138" t="s">
        <v>354</v>
      </c>
      <c r="C133" s="142"/>
      <c r="D133" s="129"/>
      <c r="F133" s="182"/>
      <c r="G133" s="160"/>
    </row>
    <row r="134" spans="1:8">
      <c r="A134" s="191"/>
      <c r="B134" s="138" t="s">
        <v>355</v>
      </c>
      <c r="C134" s="142">
        <v>7.5999999999999998E-2</v>
      </c>
      <c r="D134" s="107">
        <f>$D$152*C134</f>
        <v>248.19588009000987</v>
      </c>
      <c r="E134" s="165">
        <f>D152</f>
        <v>3265.735264342235</v>
      </c>
      <c r="G134" s="160"/>
    </row>
    <row r="135" spans="1:8">
      <c r="A135" s="191"/>
      <c r="B135" s="138" t="s">
        <v>356</v>
      </c>
      <c r="C135" s="142">
        <v>1.6500000000000001E-2</v>
      </c>
      <c r="D135" s="107">
        <f>$D$152*C135</f>
        <v>53.884631861646881</v>
      </c>
      <c r="E135" s="246"/>
      <c r="G135" s="160"/>
    </row>
    <row r="136" spans="1:8">
      <c r="A136" s="191"/>
      <c r="B136" s="138" t="s">
        <v>357</v>
      </c>
      <c r="C136" s="142"/>
      <c r="D136" s="107"/>
    </row>
    <row r="137" spans="1:8">
      <c r="A137" s="191"/>
      <c r="B137" s="138" t="s">
        <v>358</v>
      </c>
      <c r="C137" s="142">
        <v>0.05</v>
      </c>
      <c r="D137" s="107">
        <f>$D$152*C137</f>
        <v>163.28676321711177</v>
      </c>
      <c r="G137" s="160"/>
    </row>
    <row r="138" spans="1:8">
      <c r="A138" s="191"/>
      <c r="B138" s="138" t="s">
        <v>359</v>
      </c>
      <c r="C138" s="142"/>
      <c r="D138" s="107"/>
    </row>
    <row r="139" spans="1:8" ht="16.5" thickBot="1">
      <c r="A139" s="191" t="s">
        <v>261</v>
      </c>
      <c r="B139" s="138" t="s">
        <v>360</v>
      </c>
      <c r="C139" s="142">
        <v>0.02</v>
      </c>
      <c r="D139" s="107">
        <f>ROUND(E139*C139,2)</f>
        <v>54.91</v>
      </c>
      <c r="E139" s="132">
        <f>E130+D131</f>
        <v>2745.457989173467</v>
      </c>
    </row>
    <row r="140" spans="1:8" ht="33" customHeight="1" thickBot="1">
      <c r="A140" s="527" t="s">
        <v>361</v>
      </c>
      <c r="B140" s="528"/>
      <c r="C140" s="529"/>
      <c r="D140" s="166">
        <f>D131+D134+D135+D137+D139</f>
        <v>700.1791976755685</v>
      </c>
    </row>
    <row r="141" spans="1:8">
      <c r="A141" s="522" t="s">
        <v>362</v>
      </c>
      <c r="B141" s="522"/>
      <c r="C141" s="522"/>
      <c r="D141" s="522"/>
      <c r="E141" s="522"/>
      <c r="F141" s="522"/>
      <c r="G141" s="522"/>
    </row>
    <row r="142" spans="1:8">
      <c r="A142" s="522" t="s">
        <v>363</v>
      </c>
      <c r="B142" s="522"/>
      <c r="C142" s="522"/>
      <c r="D142" s="522"/>
      <c r="E142" s="522"/>
      <c r="F142" s="522"/>
      <c r="G142" s="522"/>
    </row>
    <row r="143" spans="1:8">
      <c r="A143" s="190"/>
    </row>
    <row r="144" spans="1:8" ht="16.5" thickBot="1">
      <c r="A144" s="523" t="s">
        <v>364</v>
      </c>
      <c r="B144" s="523"/>
      <c r="C144" s="523"/>
      <c r="D144" s="523"/>
      <c r="E144" s="523"/>
      <c r="F144" s="523"/>
      <c r="G144" s="523"/>
    </row>
    <row r="145" spans="1:8" ht="32.25" customHeight="1" thickBot="1">
      <c r="A145" s="147"/>
      <c r="B145" s="524" t="s">
        <v>365</v>
      </c>
      <c r="C145" s="524"/>
      <c r="D145" s="167" t="s">
        <v>366</v>
      </c>
    </row>
    <row r="146" spans="1:8">
      <c r="A146" s="191" t="s">
        <v>257</v>
      </c>
      <c r="B146" s="138" t="s">
        <v>367</v>
      </c>
      <c r="C146" s="122">
        <f t="shared" ref="C146:C151" si="3">D146/$D$152</f>
        <v>0.35939532907496641</v>
      </c>
      <c r="D146" s="129">
        <f>D43</f>
        <v>1173.69</v>
      </c>
    </row>
    <row r="147" spans="1:8">
      <c r="A147" s="191" t="s">
        <v>259</v>
      </c>
      <c r="B147" s="138" t="s">
        <v>368</v>
      </c>
      <c r="C147" s="122">
        <f t="shared" si="3"/>
        <v>0.13463412200025882</v>
      </c>
      <c r="D147" s="129">
        <f>D54</f>
        <v>439.67939999999999</v>
      </c>
    </row>
    <row r="148" spans="1:8" ht="31.5">
      <c r="A148" s="191" t="s">
        <v>261</v>
      </c>
      <c r="B148" s="138" t="s">
        <v>369</v>
      </c>
      <c r="C148" s="122">
        <f t="shared" si="3"/>
        <v>1.2605634974811165E-2</v>
      </c>
      <c r="D148" s="129">
        <f>D64</f>
        <v>41.166666666666664</v>
      </c>
      <c r="E148" s="165">
        <f>D150+D131+D139</f>
        <v>2800.3679891734669</v>
      </c>
    </row>
    <row r="149" spans="1:8" ht="31.5">
      <c r="A149" s="191" t="s">
        <v>263</v>
      </c>
      <c r="B149" s="138" t="s">
        <v>370</v>
      </c>
      <c r="C149" s="122">
        <f t="shared" si="3"/>
        <v>0.27896321234216531</v>
      </c>
      <c r="D149" s="129">
        <f>D127</f>
        <v>911.02000000000021</v>
      </c>
      <c r="E149" s="174">
        <f>C137+C135+C134</f>
        <v>0.14250000000000002</v>
      </c>
    </row>
    <row r="150" spans="1:8" ht="16.5" customHeight="1">
      <c r="A150" s="168" t="s">
        <v>371</v>
      </c>
      <c r="B150" s="169"/>
      <c r="C150" s="131">
        <f t="shared" si="3"/>
        <v>0.78559829839220174</v>
      </c>
      <c r="D150" s="170">
        <f>SUM(D146:D149)</f>
        <v>2565.556066666667</v>
      </c>
      <c r="E150" s="174">
        <f>100%-E149</f>
        <v>0.85749999999999993</v>
      </c>
    </row>
    <row r="151" spans="1:8" ht="32.25" thickBot="1">
      <c r="A151" s="191" t="s">
        <v>284</v>
      </c>
      <c r="B151" s="138" t="s">
        <v>372</v>
      </c>
      <c r="C151" s="122">
        <f t="shared" si="3"/>
        <v>0.2144017016077984</v>
      </c>
      <c r="D151" s="129">
        <f>D140</f>
        <v>700.1791976755685</v>
      </c>
      <c r="G151" s="171"/>
    </row>
    <row r="152" spans="1:8" ht="16.5" customHeight="1" thickBot="1">
      <c r="A152" s="525" t="s">
        <v>373</v>
      </c>
      <c r="B152" s="526"/>
      <c r="C152" s="127">
        <f>C151+C150</f>
        <v>1.0000000000000002</v>
      </c>
      <c r="D152" s="166">
        <f>(D150+D139+D131)/0.8575</f>
        <v>3265.735264342235</v>
      </c>
      <c r="E152" s="171"/>
      <c r="F152" s="165">
        <f>D150+D151</f>
        <v>3265.7352643422355</v>
      </c>
      <c r="H152" s="172"/>
    </row>
    <row r="153" spans="1:8">
      <c r="E153" s="171"/>
    </row>
    <row r="154" spans="1:8">
      <c r="A154" s="186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1.299212598425197" right="0.51181102362204722" top="2.1653543307086616" bottom="0.98425196850393704" header="0.31496062992125984" footer="0.31496062992125984"/>
  <pageSetup paperSize="9" scale="79" fitToHeight="4" orientation="portrait" r:id="rId1"/>
  <headerFooter alignWithMargins="0"/>
  <rowBreaks count="3" manualBreakCount="3">
    <brk id="43" max="3" man="1"/>
    <brk id="88" max="3" man="1"/>
    <brk id="128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154"/>
  <sheetViews>
    <sheetView showGridLines="0" view="pageBreakPreview" topLeftCell="A27" zoomScale="90" zoomScaleSheetLayoutView="90" workbookViewId="0">
      <selection activeCell="E135" sqref="E135"/>
    </sheetView>
  </sheetViews>
  <sheetFormatPr defaultRowHeight="15.75"/>
  <cols>
    <col min="1" max="1" width="9.28515625" style="53" customWidth="1"/>
    <col min="2" max="2" width="39.85546875" style="53" customWidth="1"/>
    <col min="3" max="3" width="18.28515625" style="53" customWidth="1"/>
    <col min="4" max="4" width="23.85546875" style="53" customWidth="1"/>
    <col min="5" max="5" width="16" style="53" bestFit="1" customWidth="1"/>
    <col min="6" max="6" width="13.7109375" style="53" bestFit="1" customWidth="1"/>
    <col min="7" max="7" width="15.7109375" style="53" bestFit="1" customWidth="1"/>
    <col min="8" max="8" width="13.140625" style="53" bestFit="1" customWidth="1"/>
    <col min="9" max="9" width="11.85546875" style="53" bestFit="1" customWidth="1"/>
    <col min="10" max="10" width="12.85546875" style="53" bestFit="1" customWidth="1"/>
    <col min="11" max="256" width="9.140625" style="53"/>
    <col min="257" max="257" width="9.28515625" style="53" customWidth="1"/>
    <col min="258" max="258" width="39.85546875" style="53" customWidth="1"/>
    <col min="259" max="259" width="18.28515625" style="53" customWidth="1"/>
    <col min="260" max="260" width="23.85546875" style="53" customWidth="1"/>
    <col min="261" max="261" width="16" style="53" bestFit="1" customWidth="1"/>
    <col min="262" max="262" width="13.7109375" style="53" bestFit="1" customWidth="1"/>
    <col min="263" max="263" width="15.7109375" style="53" bestFit="1" customWidth="1"/>
    <col min="264" max="264" width="13.140625" style="53" bestFit="1" customWidth="1"/>
    <col min="265" max="265" width="11.85546875" style="53" bestFit="1" customWidth="1"/>
    <col min="266" max="266" width="12.85546875" style="53" bestFit="1" customWidth="1"/>
    <col min="267" max="512" width="9.140625" style="53"/>
    <col min="513" max="513" width="9.28515625" style="53" customWidth="1"/>
    <col min="514" max="514" width="39.85546875" style="53" customWidth="1"/>
    <col min="515" max="515" width="18.28515625" style="53" customWidth="1"/>
    <col min="516" max="516" width="23.85546875" style="53" customWidth="1"/>
    <col min="517" max="517" width="16" style="53" bestFit="1" customWidth="1"/>
    <col min="518" max="518" width="13.7109375" style="53" bestFit="1" customWidth="1"/>
    <col min="519" max="519" width="15.7109375" style="53" bestFit="1" customWidth="1"/>
    <col min="520" max="520" width="13.140625" style="53" bestFit="1" customWidth="1"/>
    <col min="521" max="521" width="11.85546875" style="53" bestFit="1" customWidth="1"/>
    <col min="522" max="522" width="12.85546875" style="53" bestFit="1" customWidth="1"/>
    <col min="523" max="768" width="9.140625" style="53"/>
    <col min="769" max="769" width="9.28515625" style="53" customWidth="1"/>
    <col min="770" max="770" width="39.85546875" style="53" customWidth="1"/>
    <col min="771" max="771" width="18.28515625" style="53" customWidth="1"/>
    <col min="772" max="772" width="23.85546875" style="53" customWidth="1"/>
    <col min="773" max="773" width="16" style="53" bestFit="1" customWidth="1"/>
    <col min="774" max="774" width="13.7109375" style="53" bestFit="1" customWidth="1"/>
    <col min="775" max="775" width="15.7109375" style="53" bestFit="1" customWidth="1"/>
    <col min="776" max="776" width="13.140625" style="53" bestFit="1" customWidth="1"/>
    <col min="777" max="777" width="11.85546875" style="53" bestFit="1" customWidth="1"/>
    <col min="778" max="778" width="12.85546875" style="53" bestFit="1" customWidth="1"/>
    <col min="779" max="1024" width="9.140625" style="53"/>
    <col min="1025" max="1025" width="9.28515625" style="53" customWidth="1"/>
    <col min="1026" max="1026" width="39.85546875" style="53" customWidth="1"/>
    <col min="1027" max="1027" width="18.28515625" style="53" customWidth="1"/>
    <col min="1028" max="1028" width="23.85546875" style="53" customWidth="1"/>
    <col min="1029" max="1029" width="16" style="53" bestFit="1" customWidth="1"/>
    <col min="1030" max="1030" width="13.7109375" style="53" bestFit="1" customWidth="1"/>
    <col min="1031" max="1031" width="15.7109375" style="53" bestFit="1" customWidth="1"/>
    <col min="1032" max="1032" width="13.140625" style="53" bestFit="1" customWidth="1"/>
    <col min="1033" max="1033" width="11.85546875" style="53" bestFit="1" customWidth="1"/>
    <col min="1034" max="1034" width="12.85546875" style="53" bestFit="1" customWidth="1"/>
    <col min="1035" max="1280" width="9.140625" style="53"/>
    <col min="1281" max="1281" width="9.28515625" style="53" customWidth="1"/>
    <col min="1282" max="1282" width="39.85546875" style="53" customWidth="1"/>
    <col min="1283" max="1283" width="18.28515625" style="53" customWidth="1"/>
    <col min="1284" max="1284" width="23.85546875" style="53" customWidth="1"/>
    <col min="1285" max="1285" width="16" style="53" bestFit="1" customWidth="1"/>
    <col min="1286" max="1286" width="13.7109375" style="53" bestFit="1" customWidth="1"/>
    <col min="1287" max="1287" width="15.7109375" style="53" bestFit="1" customWidth="1"/>
    <col min="1288" max="1288" width="13.140625" style="53" bestFit="1" customWidth="1"/>
    <col min="1289" max="1289" width="11.85546875" style="53" bestFit="1" customWidth="1"/>
    <col min="1290" max="1290" width="12.85546875" style="53" bestFit="1" customWidth="1"/>
    <col min="1291" max="1536" width="9.140625" style="53"/>
    <col min="1537" max="1537" width="9.28515625" style="53" customWidth="1"/>
    <col min="1538" max="1538" width="39.85546875" style="53" customWidth="1"/>
    <col min="1539" max="1539" width="18.28515625" style="53" customWidth="1"/>
    <col min="1540" max="1540" width="23.85546875" style="53" customWidth="1"/>
    <col min="1541" max="1541" width="16" style="53" bestFit="1" customWidth="1"/>
    <col min="1542" max="1542" width="13.7109375" style="53" bestFit="1" customWidth="1"/>
    <col min="1543" max="1543" width="15.7109375" style="53" bestFit="1" customWidth="1"/>
    <col min="1544" max="1544" width="13.140625" style="53" bestFit="1" customWidth="1"/>
    <col min="1545" max="1545" width="11.85546875" style="53" bestFit="1" customWidth="1"/>
    <col min="1546" max="1546" width="12.85546875" style="53" bestFit="1" customWidth="1"/>
    <col min="1547" max="1792" width="9.140625" style="53"/>
    <col min="1793" max="1793" width="9.28515625" style="53" customWidth="1"/>
    <col min="1794" max="1794" width="39.85546875" style="53" customWidth="1"/>
    <col min="1795" max="1795" width="18.28515625" style="53" customWidth="1"/>
    <col min="1796" max="1796" width="23.85546875" style="53" customWidth="1"/>
    <col min="1797" max="1797" width="16" style="53" bestFit="1" customWidth="1"/>
    <col min="1798" max="1798" width="13.7109375" style="53" bestFit="1" customWidth="1"/>
    <col min="1799" max="1799" width="15.7109375" style="53" bestFit="1" customWidth="1"/>
    <col min="1800" max="1800" width="13.140625" style="53" bestFit="1" customWidth="1"/>
    <col min="1801" max="1801" width="11.85546875" style="53" bestFit="1" customWidth="1"/>
    <col min="1802" max="1802" width="12.85546875" style="53" bestFit="1" customWidth="1"/>
    <col min="1803" max="2048" width="9.140625" style="53"/>
    <col min="2049" max="2049" width="9.28515625" style="53" customWidth="1"/>
    <col min="2050" max="2050" width="39.85546875" style="53" customWidth="1"/>
    <col min="2051" max="2051" width="18.28515625" style="53" customWidth="1"/>
    <col min="2052" max="2052" width="23.85546875" style="53" customWidth="1"/>
    <col min="2053" max="2053" width="16" style="53" bestFit="1" customWidth="1"/>
    <col min="2054" max="2054" width="13.7109375" style="53" bestFit="1" customWidth="1"/>
    <col min="2055" max="2055" width="15.7109375" style="53" bestFit="1" customWidth="1"/>
    <col min="2056" max="2056" width="13.140625" style="53" bestFit="1" customWidth="1"/>
    <col min="2057" max="2057" width="11.85546875" style="53" bestFit="1" customWidth="1"/>
    <col min="2058" max="2058" width="12.85546875" style="53" bestFit="1" customWidth="1"/>
    <col min="2059" max="2304" width="9.140625" style="53"/>
    <col min="2305" max="2305" width="9.28515625" style="53" customWidth="1"/>
    <col min="2306" max="2306" width="39.85546875" style="53" customWidth="1"/>
    <col min="2307" max="2307" width="18.28515625" style="53" customWidth="1"/>
    <col min="2308" max="2308" width="23.85546875" style="53" customWidth="1"/>
    <col min="2309" max="2309" width="16" style="53" bestFit="1" customWidth="1"/>
    <col min="2310" max="2310" width="13.7109375" style="53" bestFit="1" customWidth="1"/>
    <col min="2311" max="2311" width="15.7109375" style="53" bestFit="1" customWidth="1"/>
    <col min="2312" max="2312" width="13.140625" style="53" bestFit="1" customWidth="1"/>
    <col min="2313" max="2313" width="11.85546875" style="53" bestFit="1" customWidth="1"/>
    <col min="2314" max="2314" width="12.85546875" style="53" bestFit="1" customWidth="1"/>
    <col min="2315" max="2560" width="9.140625" style="53"/>
    <col min="2561" max="2561" width="9.28515625" style="53" customWidth="1"/>
    <col min="2562" max="2562" width="39.85546875" style="53" customWidth="1"/>
    <col min="2563" max="2563" width="18.28515625" style="53" customWidth="1"/>
    <col min="2564" max="2564" width="23.85546875" style="53" customWidth="1"/>
    <col min="2565" max="2565" width="16" style="53" bestFit="1" customWidth="1"/>
    <col min="2566" max="2566" width="13.7109375" style="53" bestFit="1" customWidth="1"/>
    <col min="2567" max="2567" width="15.7109375" style="53" bestFit="1" customWidth="1"/>
    <col min="2568" max="2568" width="13.140625" style="53" bestFit="1" customWidth="1"/>
    <col min="2569" max="2569" width="11.85546875" style="53" bestFit="1" customWidth="1"/>
    <col min="2570" max="2570" width="12.85546875" style="53" bestFit="1" customWidth="1"/>
    <col min="2571" max="2816" width="9.140625" style="53"/>
    <col min="2817" max="2817" width="9.28515625" style="53" customWidth="1"/>
    <col min="2818" max="2818" width="39.85546875" style="53" customWidth="1"/>
    <col min="2819" max="2819" width="18.28515625" style="53" customWidth="1"/>
    <col min="2820" max="2820" width="23.85546875" style="53" customWidth="1"/>
    <col min="2821" max="2821" width="16" style="53" bestFit="1" customWidth="1"/>
    <col min="2822" max="2822" width="13.7109375" style="53" bestFit="1" customWidth="1"/>
    <col min="2823" max="2823" width="15.7109375" style="53" bestFit="1" customWidth="1"/>
    <col min="2824" max="2824" width="13.140625" style="53" bestFit="1" customWidth="1"/>
    <col min="2825" max="2825" width="11.85546875" style="53" bestFit="1" customWidth="1"/>
    <col min="2826" max="2826" width="12.85546875" style="53" bestFit="1" customWidth="1"/>
    <col min="2827" max="3072" width="9.140625" style="53"/>
    <col min="3073" max="3073" width="9.28515625" style="53" customWidth="1"/>
    <col min="3074" max="3074" width="39.85546875" style="53" customWidth="1"/>
    <col min="3075" max="3075" width="18.28515625" style="53" customWidth="1"/>
    <col min="3076" max="3076" width="23.85546875" style="53" customWidth="1"/>
    <col min="3077" max="3077" width="16" style="53" bestFit="1" customWidth="1"/>
    <col min="3078" max="3078" width="13.7109375" style="53" bestFit="1" customWidth="1"/>
    <col min="3079" max="3079" width="15.7109375" style="53" bestFit="1" customWidth="1"/>
    <col min="3080" max="3080" width="13.140625" style="53" bestFit="1" customWidth="1"/>
    <col min="3081" max="3081" width="11.85546875" style="53" bestFit="1" customWidth="1"/>
    <col min="3082" max="3082" width="12.85546875" style="53" bestFit="1" customWidth="1"/>
    <col min="3083" max="3328" width="9.140625" style="53"/>
    <col min="3329" max="3329" width="9.28515625" style="53" customWidth="1"/>
    <col min="3330" max="3330" width="39.85546875" style="53" customWidth="1"/>
    <col min="3331" max="3331" width="18.28515625" style="53" customWidth="1"/>
    <col min="3332" max="3332" width="23.85546875" style="53" customWidth="1"/>
    <col min="3333" max="3333" width="16" style="53" bestFit="1" customWidth="1"/>
    <col min="3334" max="3334" width="13.7109375" style="53" bestFit="1" customWidth="1"/>
    <col min="3335" max="3335" width="15.7109375" style="53" bestFit="1" customWidth="1"/>
    <col min="3336" max="3336" width="13.140625" style="53" bestFit="1" customWidth="1"/>
    <col min="3337" max="3337" width="11.85546875" style="53" bestFit="1" customWidth="1"/>
    <col min="3338" max="3338" width="12.85546875" style="53" bestFit="1" customWidth="1"/>
    <col min="3339" max="3584" width="9.140625" style="53"/>
    <col min="3585" max="3585" width="9.28515625" style="53" customWidth="1"/>
    <col min="3586" max="3586" width="39.85546875" style="53" customWidth="1"/>
    <col min="3587" max="3587" width="18.28515625" style="53" customWidth="1"/>
    <col min="3588" max="3588" width="23.85546875" style="53" customWidth="1"/>
    <col min="3589" max="3589" width="16" style="53" bestFit="1" customWidth="1"/>
    <col min="3590" max="3590" width="13.7109375" style="53" bestFit="1" customWidth="1"/>
    <col min="3591" max="3591" width="15.7109375" style="53" bestFit="1" customWidth="1"/>
    <col min="3592" max="3592" width="13.140625" style="53" bestFit="1" customWidth="1"/>
    <col min="3593" max="3593" width="11.85546875" style="53" bestFit="1" customWidth="1"/>
    <col min="3594" max="3594" width="12.85546875" style="53" bestFit="1" customWidth="1"/>
    <col min="3595" max="3840" width="9.140625" style="53"/>
    <col min="3841" max="3841" width="9.28515625" style="53" customWidth="1"/>
    <col min="3842" max="3842" width="39.85546875" style="53" customWidth="1"/>
    <col min="3843" max="3843" width="18.28515625" style="53" customWidth="1"/>
    <col min="3844" max="3844" width="23.85546875" style="53" customWidth="1"/>
    <col min="3845" max="3845" width="16" style="53" bestFit="1" customWidth="1"/>
    <col min="3846" max="3846" width="13.7109375" style="53" bestFit="1" customWidth="1"/>
    <col min="3847" max="3847" width="15.7109375" style="53" bestFit="1" customWidth="1"/>
    <col min="3848" max="3848" width="13.140625" style="53" bestFit="1" customWidth="1"/>
    <col min="3849" max="3849" width="11.85546875" style="53" bestFit="1" customWidth="1"/>
    <col min="3850" max="3850" width="12.85546875" style="53" bestFit="1" customWidth="1"/>
    <col min="3851" max="4096" width="9.140625" style="53"/>
    <col min="4097" max="4097" width="9.28515625" style="53" customWidth="1"/>
    <col min="4098" max="4098" width="39.85546875" style="53" customWidth="1"/>
    <col min="4099" max="4099" width="18.28515625" style="53" customWidth="1"/>
    <col min="4100" max="4100" width="23.85546875" style="53" customWidth="1"/>
    <col min="4101" max="4101" width="16" style="53" bestFit="1" customWidth="1"/>
    <col min="4102" max="4102" width="13.7109375" style="53" bestFit="1" customWidth="1"/>
    <col min="4103" max="4103" width="15.7109375" style="53" bestFit="1" customWidth="1"/>
    <col min="4104" max="4104" width="13.140625" style="53" bestFit="1" customWidth="1"/>
    <col min="4105" max="4105" width="11.85546875" style="53" bestFit="1" customWidth="1"/>
    <col min="4106" max="4106" width="12.85546875" style="53" bestFit="1" customWidth="1"/>
    <col min="4107" max="4352" width="9.140625" style="53"/>
    <col min="4353" max="4353" width="9.28515625" style="53" customWidth="1"/>
    <col min="4354" max="4354" width="39.85546875" style="53" customWidth="1"/>
    <col min="4355" max="4355" width="18.28515625" style="53" customWidth="1"/>
    <col min="4356" max="4356" width="23.85546875" style="53" customWidth="1"/>
    <col min="4357" max="4357" width="16" style="53" bestFit="1" customWidth="1"/>
    <col min="4358" max="4358" width="13.7109375" style="53" bestFit="1" customWidth="1"/>
    <col min="4359" max="4359" width="15.7109375" style="53" bestFit="1" customWidth="1"/>
    <col min="4360" max="4360" width="13.140625" style="53" bestFit="1" customWidth="1"/>
    <col min="4361" max="4361" width="11.85546875" style="53" bestFit="1" customWidth="1"/>
    <col min="4362" max="4362" width="12.85546875" style="53" bestFit="1" customWidth="1"/>
    <col min="4363" max="4608" width="9.140625" style="53"/>
    <col min="4609" max="4609" width="9.28515625" style="53" customWidth="1"/>
    <col min="4610" max="4610" width="39.85546875" style="53" customWidth="1"/>
    <col min="4611" max="4611" width="18.28515625" style="53" customWidth="1"/>
    <col min="4612" max="4612" width="23.85546875" style="53" customWidth="1"/>
    <col min="4613" max="4613" width="16" style="53" bestFit="1" customWidth="1"/>
    <col min="4614" max="4614" width="13.7109375" style="53" bestFit="1" customWidth="1"/>
    <col min="4615" max="4615" width="15.7109375" style="53" bestFit="1" customWidth="1"/>
    <col min="4616" max="4616" width="13.140625" style="53" bestFit="1" customWidth="1"/>
    <col min="4617" max="4617" width="11.85546875" style="53" bestFit="1" customWidth="1"/>
    <col min="4618" max="4618" width="12.85546875" style="53" bestFit="1" customWidth="1"/>
    <col min="4619" max="4864" width="9.140625" style="53"/>
    <col min="4865" max="4865" width="9.28515625" style="53" customWidth="1"/>
    <col min="4866" max="4866" width="39.85546875" style="53" customWidth="1"/>
    <col min="4867" max="4867" width="18.28515625" style="53" customWidth="1"/>
    <col min="4868" max="4868" width="23.85546875" style="53" customWidth="1"/>
    <col min="4869" max="4869" width="16" style="53" bestFit="1" customWidth="1"/>
    <col min="4870" max="4870" width="13.7109375" style="53" bestFit="1" customWidth="1"/>
    <col min="4871" max="4871" width="15.7109375" style="53" bestFit="1" customWidth="1"/>
    <col min="4872" max="4872" width="13.140625" style="53" bestFit="1" customWidth="1"/>
    <col min="4873" max="4873" width="11.85546875" style="53" bestFit="1" customWidth="1"/>
    <col min="4874" max="4874" width="12.85546875" style="53" bestFit="1" customWidth="1"/>
    <col min="4875" max="5120" width="9.140625" style="53"/>
    <col min="5121" max="5121" width="9.28515625" style="53" customWidth="1"/>
    <col min="5122" max="5122" width="39.85546875" style="53" customWidth="1"/>
    <col min="5123" max="5123" width="18.28515625" style="53" customWidth="1"/>
    <col min="5124" max="5124" width="23.85546875" style="53" customWidth="1"/>
    <col min="5125" max="5125" width="16" style="53" bestFit="1" customWidth="1"/>
    <col min="5126" max="5126" width="13.7109375" style="53" bestFit="1" customWidth="1"/>
    <col min="5127" max="5127" width="15.7109375" style="53" bestFit="1" customWidth="1"/>
    <col min="5128" max="5128" width="13.140625" style="53" bestFit="1" customWidth="1"/>
    <col min="5129" max="5129" width="11.85546875" style="53" bestFit="1" customWidth="1"/>
    <col min="5130" max="5130" width="12.85546875" style="53" bestFit="1" customWidth="1"/>
    <col min="5131" max="5376" width="9.140625" style="53"/>
    <col min="5377" max="5377" width="9.28515625" style="53" customWidth="1"/>
    <col min="5378" max="5378" width="39.85546875" style="53" customWidth="1"/>
    <col min="5379" max="5379" width="18.28515625" style="53" customWidth="1"/>
    <col min="5380" max="5380" width="23.85546875" style="53" customWidth="1"/>
    <col min="5381" max="5381" width="16" style="53" bestFit="1" customWidth="1"/>
    <col min="5382" max="5382" width="13.7109375" style="53" bestFit="1" customWidth="1"/>
    <col min="5383" max="5383" width="15.7109375" style="53" bestFit="1" customWidth="1"/>
    <col min="5384" max="5384" width="13.140625" style="53" bestFit="1" customWidth="1"/>
    <col min="5385" max="5385" width="11.85546875" style="53" bestFit="1" customWidth="1"/>
    <col min="5386" max="5386" width="12.85546875" style="53" bestFit="1" customWidth="1"/>
    <col min="5387" max="5632" width="9.140625" style="53"/>
    <col min="5633" max="5633" width="9.28515625" style="53" customWidth="1"/>
    <col min="5634" max="5634" width="39.85546875" style="53" customWidth="1"/>
    <col min="5635" max="5635" width="18.28515625" style="53" customWidth="1"/>
    <col min="5636" max="5636" width="23.85546875" style="53" customWidth="1"/>
    <col min="5637" max="5637" width="16" style="53" bestFit="1" customWidth="1"/>
    <col min="5638" max="5638" width="13.7109375" style="53" bestFit="1" customWidth="1"/>
    <col min="5639" max="5639" width="15.7109375" style="53" bestFit="1" customWidth="1"/>
    <col min="5640" max="5640" width="13.140625" style="53" bestFit="1" customWidth="1"/>
    <col min="5641" max="5641" width="11.85546875" style="53" bestFit="1" customWidth="1"/>
    <col min="5642" max="5642" width="12.85546875" style="53" bestFit="1" customWidth="1"/>
    <col min="5643" max="5888" width="9.140625" style="53"/>
    <col min="5889" max="5889" width="9.28515625" style="53" customWidth="1"/>
    <col min="5890" max="5890" width="39.85546875" style="53" customWidth="1"/>
    <col min="5891" max="5891" width="18.28515625" style="53" customWidth="1"/>
    <col min="5892" max="5892" width="23.85546875" style="53" customWidth="1"/>
    <col min="5893" max="5893" width="16" style="53" bestFit="1" customWidth="1"/>
    <col min="5894" max="5894" width="13.7109375" style="53" bestFit="1" customWidth="1"/>
    <col min="5895" max="5895" width="15.7109375" style="53" bestFit="1" customWidth="1"/>
    <col min="5896" max="5896" width="13.140625" style="53" bestFit="1" customWidth="1"/>
    <col min="5897" max="5897" width="11.85546875" style="53" bestFit="1" customWidth="1"/>
    <col min="5898" max="5898" width="12.85546875" style="53" bestFit="1" customWidth="1"/>
    <col min="5899" max="6144" width="9.140625" style="53"/>
    <col min="6145" max="6145" width="9.28515625" style="53" customWidth="1"/>
    <col min="6146" max="6146" width="39.85546875" style="53" customWidth="1"/>
    <col min="6147" max="6147" width="18.28515625" style="53" customWidth="1"/>
    <col min="6148" max="6148" width="23.85546875" style="53" customWidth="1"/>
    <col min="6149" max="6149" width="16" style="53" bestFit="1" customWidth="1"/>
    <col min="6150" max="6150" width="13.7109375" style="53" bestFit="1" customWidth="1"/>
    <col min="6151" max="6151" width="15.7109375" style="53" bestFit="1" customWidth="1"/>
    <col min="6152" max="6152" width="13.140625" style="53" bestFit="1" customWidth="1"/>
    <col min="6153" max="6153" width="11.85546875" style="53" bestFit="1" customWidth="1"/>
    <col min="6154" max="6154" width="12.85546875" style="53" bestFit="1" customWidth="1"/>
    <col min="6155" max="6400" width="9.140625" style="53"/>
    <col min="6401" max="6401" width="9.28515625" style="53" customWidth="1"/>
    <col min="6402" max="6402" width="39.85546875" style="53" customWidth="1"/>
    <col min="6403" max="6403" width="18.28515625" style="53" customWidth="1"/>
    <col min="6404" max="6404" width="23.85546875" style="53" customWidth="1"/>
    <col min="6405" max="6405" width="16" style="53" bestFit="1" customWidth="1"/>
    <col min="6406" max="6406" width="13.7109375" style="53" bestFit="1" customWidth="1"/>
    <col min="6407" max="6407" width="15.7109375" style="53" bestFit="1" customWidth="1"/>
    <col min="6408" max="6408" width="13.140625" style="53" bestFit="1" customWidth="1"/>
    <col min="6409" max="6409" width="11.85546875" style="53" bestFit="1" customWidth="1"/>
    <col min="6410" max="6410" width="12.85546875" style="53" bestFit="1" customWidth="1"/>
    <col min="6411" max="6656" width="9.140625" style="53"/>
    <col min="6657" max="6657" width="9.28515625" style="53" customWidth="1"/>
    <col min="6658" max="6658" width="39.85546875" style="53" customWidth="1"/>
    <col min="6659" max="6659" width="18.28515625" style="53" customWidth="1"/>
    <col min="6660" max="6660" width="23.85546875" style="53" customWidth="1"/>
    <col min="6661" max="6661" width="16" style="53" bestFit="1" customWidth="1"/>
    <col min="6662" max="6662" width="13.7109375" style="53" bestFit="1" customWidth="1"/>
    <col min="6663" max="6663" width="15.7109375" style="53" bestFit="1" customWidth="1"/>
    <col min="6664" max="6664" width="13.140625" style="53" bestFit="1" customWidth="1"/>
    <col min="6665" max="6665" width="11.85546875" style="53" bestFit="1" customWidth="1"/>
    <col min="6666" max="6666" width="12.85546875" style="53" bestFit="1" customWidth="1"/>
    <col min="6667" max="6912" width="9.140625" style="53"/>
    <col min="6913" max="6913" width="9.28515625" style="53" customWidth="1"/>
    <col min="6914" max="6914" width="39.85546875" style="53" customWidth="1"/>
    <col min="6915" max="6915" width="18.28515625" style="53" customWidth="1"/>
    <col min="6916" max="6916" width="23.85546875" style="53" customWidth="1"/>
    <col min="6917" max="6917" width="16" style="53" bestFit="1" customWidth="1"/>
    <col min="6918" max="6918" width="13.7109375" style="53" bestFit="1" customWidth="1"/>
    <col min="6919" max="6919" width="15.7109375" style="53" bestFit="1" customWidth="1"/>
    <col min="6920" max="6920" width="13.140625" style="53" bestFit="1" customWidth="1"/>
    <col min="6921" max="6921" width="11.85546875" style="53" bestFit="1" customWidth="1"/>
    <col min="6922" max="6922" width="12.85546875" style="53" bestFit="1" customWidth="1"/>
    <col min="6923" max="7168" width="9.140625" style="53"/>
    <col min="7169" max="7169" width="9.28515625" style="53" customWidth="1"/>
    <col min="7170" max="7170" width="39.85546875" style="53" customWidth="1"/>
    <col min="7171" max="7171" width="18.28515625" style="53" customWidth="1"/>
    <col min="7172" max="7172" width="23.85546875" style="53" customWidth="1"/>
    <col min="7173" max="7173" width="16" style="53" bestFit="1" customWidth="1"/>
    <col min="7174" max="7174" width="13.7109375" style="53" bestFit="1" customWidth="1"/>
    <col min="7175" max="7175" width="15.7109375" style="53" bestFit="1" customWidth="1"/>
    <col min="7176" max="7176" width="13.140625" style="53" bestFit="1" customWidth="1"/>
    <col min="7177" max="7177" width="11.85546875" style="53" bestFit="1" customWidth="1"/>
    <col min="7178" max="7178" width="12.85546875" style="53" bestFit="1" customWidth="1"/>
    <col min="7179" max="7424" width="9.140625" style="53"/>
    <col min="7425" max="7425" width="9.28515625" style="53" customWidth="1"/>
    <col min="7426" max="7426" width="39.85546875" style="53" customWidth="1"/>
    <col min="7427" max="7427" width="18.28515625" style="53" customWidth="1"/>
    <col min="7428" max="7428" width="23.85546875" style="53" customWidth="1"/>
    <col min="7429" max="7429" width="16" style="53" bestFit="1" customWidth="1"/>
    <col min="7430" max="7430" width="13.7109375" style="53" bestFit="1" customWidth="1"/>
    <col min="7431" max="7431" width="15.7109375" style="53" bestFit="1" customWidth="1"/>
    <col min="7432" max="7432" width="13.140625" style="53" bestFit="1" customWidth="1"/>
    <col min="7433" max="7433" width="11.85546875" style="53" bestFit="1" customWidth="1"/>
    <col min="7434" max="7434" width="12.85546875" style="53" bestFit="1" customWidth="1"/>
    <col min="7435" max="7680" width="9.140625" style="53"/>
    <col min="7681" max="7681" width="9.28515625" style="53" customWidth="1"/>
    <col min="7682" max="7682" width="39.85546875" style="53" customWidth="1"/>
    <col min="7683" max="7683" width="18.28515625" style="53" customWidth="1"/>
    <col min="7684" max="7684" width="23.85546875" style="53" customWidth="1"/>
    <col min="7685" max="7685" width="16" style="53" bestFit="1" customWidth="1"/>
    <col min="7686" max="7686" width="13.7109375" style="53" bestFit="1" customWidth="1"/>
    <col min="7687" max="7687" width="15.7109375" style="53" bestFit="1" customWidth="1"/>
    <col min="7688" max="7688" width="13.140625" style="53" bestFit="1" customWidth="1"/>
    <col min="7689" max="7689" width="11.85546875" style="53" bestFit="1" customWidth="1"/>
    <col min="7690" max="7690" width="12.85546875" style="53" bestFit="1" customWidth="1"/>
    <col min="7691" max="7936" width="9.140625" style="53"/>
    <col min="7937" max="7937" width="9.28515625" style="53" customWidth="1"/>
    <col min="7938" max="7938" width="39.85546875" style="53" customWidth="1"/>
    <col min="7939" max="7939" width="18.28515625" style="53" customWidth="1"/>
    <col min="7940" max="7940" width="23.85546875" style="53" customWidth="1"/>
    <col min="7941" max="7941" width="16" style="53" bestFit="1" customWidth="1"/>
    <col min="7942" max="7942" width="13.7109375" style="53" bestFit="1" customWidth="1"/>
    <col min="7943" max="7943" width="15.7109375" style="53" bestFit="1" customWidth="1"/>
    <col min="7944" max="7944" width="13.140625" style="53" bestFit="1" customWidth="1"/>
    <col min="7945" max="7945" width="11.85546875" style="53" bestFit="1" customWidth="1"/>
    <col min="7946" max="7946" width="12.85546875" style="53" bestFit="1" customWidth="1"/>
    <col min="7947" max="8192" width="9.140625" style="53"/>
    <col min="8193" max="8193" width="9.28515625" style="53" customWidth="1"/>
    <col min="8194" max="8194" width="39.85546875" style="53" customWidth="1"/>
    <col min="8195" max="8195" width="18.28515625" style="53" customWidth="1"/>
    <col min="8196" max="8196" width="23.85546875" style="53" customWidth="1"/>
    <col min="8197" max="8197" width="16" style="53" bestFit="1" customWidth="1"/>
    <col min="8198" max="8198" width="13.7109375" style="53" bestFit="1" customWidth="1"/>
    <col min="8199" max="8199" width="15.7109375" style="53" bestFit="1" customWidth="1"/>
    <col min="8200" max="8200" width="13.140625" style="53" bestFit="1" customWidth="1"/>
    <col min="8201" max="8201" width="11.85546875" style="53" bestFit="1" customWidth="1"/>
    <col min="8202" max="8202" width="12.85546875" style="53" bestFit="1" customWidth="1"/>
    <col min="8203" max="8448" width="9.140625" style="53"/>
    <col min="8449" max="8449" width="9.28515625" style="53" customWidth="1"/>
    <col min="8450" max="8450" width="39.85546875" style="53" customWidth="1"/>
    <col min="8451" max="8451" width="18.28515625" style="53" customWidth="1"/>
    <col min="8452" max="8452" width="23.85546875" style="53" customWidth="1"/>
    <col min="8453" max="8453" width="16" style="53" bestFit="1" customWidth="1"/>
    <col min="8454" max="8454" width="13.7109375" style="53" bestFit="1" customWidth="1"/>
    <col min="8455" max="8455" width="15.7109375" style="53" bestFit="1" customWidth="1"/>
    <col min="8456" max="8456" width="13.140625" style="53" bestFit="1" customWidth="1"/>
    <col min="8457" max="8457" width="11.85546875" style="53" bestFit="1" customWidth="1"/>
    <col min="8458" max="8458" width="12.85546875" style="53" bestFit="1" customWidth="1"/>
    <col min="8459" max="8704" width="9.140625" style="53"/>
    <col min="8705" max="8705" width="9.28515625" style="53" customWidth="1"/>
    <col min="8706" max="8706" width="39.85546875" style="53" customWidth="1"/>
    <col min="8707" max="8707" width="18.28515625" style="53" customWidth="1"/>
    <col min="8708" max="8708" width="23.85546875" style="53" customWidth="1"/>
    <col min="8709" max="8709" width="16" style="53" bestFit="1" customWidth="1"/>
    <col min="8710" max="8710" width="13.7109375" style="53" bestFit="1" customWidth="1"/>
    <col min="8711" max="8711" width="15.7109375" style="53" bestFit="1" customWidth="1"/>
    <col min="8712" max="8712" width="13.140625" style="53" bestFit="1" customWidth="1"/>
    <col min="8713" max="8713" width="11.85546875" style="53" bestFit="1" customWidth="1"/>
    <col min="8714" max="8714" width="12.85546875" style="53" bestFit="1" customWidth="1"/>
    <col min="8715" max="8960" width="9.140625" style="53"/>
    <col min="8961" max="8961" width="9.28515625" style="53" customWidth="1"/>
    <col min="8962" max="8962" width="39.85546875" style="53" customWidth="1"/>
    <col min="8963" max="8963" width="18.28515625" style="53" customWidth="1"/>
    <col min="8964" max="8964" width="23.85546875" style="53" customWidth="1"/>
    <col min="8965" max="8965" width="16" style="53" bestFit="1" customWidth="1"/>
    <col min="8966" max="8966" width="13.7109375" style="53" bestFit="1" customWidth="1"/>
    <col min="8967" max="8967" width="15.7109375" style="53" bestFit="1" customWidth="1"/>
    <col min="8968" max="8968" width="13.140625" style="53" bestFit="1" customWidth="1"/>
    <col min="8969" max="8969" width="11.85546875" style="53" bestFit="1" customWidth="1"/>
    <col min="8970" max="8970" width="12.85546875" style="53" bestFit="1" customWidth="1"/>
    <col min="8971" max="9216" width="9.140625" style="53"/>
    <col min="9217" max="9217" width="9.28515625" style="53" customWidth="1"/>
    <col min="9218" max="9218" width="39.85546875" style="53" customWidth="1"/>
    <col min="9219" max="9219" width="18.28515625" style="53" customWidth="1"/>
    <col min="9220" max="9220" width="23.85546875" style="53" customWidth="1"/>
    <col min="9221" max="9221" width="16" style="53" bestFit="1" customWidth="1"/>
    <col min="9222" max="9222" width="13.7109375" style="53" bestFit="1" customWidth="1"/>
    <col min="9223" max="9223" width="15.7109375" style="53" bestFit="1" customWidth="1"/>
    <col min="9224" max="9224" width="13.140625" style="53" bestFit="1" customWidth="1"/>
    <col min="9225" max="9225" width="11.85546875" style="53" bestFit="1" customWidth="1"/>
    <col min="9226" max="9226" width="12.85546875" style="53" bestFit="1" customWidth="1"/>
    <col min="9227" max="9472" width="9.140625" style="53"/>
    <col min="9473" max="9473" width="9.28515625" style="53" customWidth="1"/>
    <col min="9474" max="9474" width="39.85546875" style="53" customWidth="1"/>
    <col min="9475" max="9475" width="18.28515625" style="53" customWidth="1"/>
    <col min="9476" max="9476" width="23.85546875" style="53" customWidth="1"/>
    <col min="9477" max="9477" width="16" style="53" bestFit="1" customWidth="1"/>
    <col min="9478" max="9478" width="13.7109375" style="53" bestFit="1" customWidth="1"/>
    <col min="9479" max="9479" width="15.7109375" style="53" bestFit="1" customWidth="1"/>
    <col min="9480" max="9480" width="13.140625" style="53" bestFit="1" customWidth="1"/>
    <col min="9481" max="9481" width="11.85546875" style="53" bestFit="1" customWidth="1"/>
    <col min="9482" max="9482" width="12.85546875" style="53" bestFit="1" customWidth="1"/>
    <col min="9483" max="9728" width="9.140625" style="53"/>
    <col min="9729" max="9729" width="9.28515625" style="53" customWidth="1"/>
    <col min="9730" max="9730" width="39.85546875" style="53" customWidth="1"/>
    <col min="9731" max="9731" width="18.28515625" style="53" customWidth="1"/>
    <col min="9732" max="9732" width="23.85546875" style="53" customWidth="1"/>
    <col min="9733" max="9733" width="16" style="53" bestFit="1" customWidth="1"/>
    <col min="9734" max="9734" width="13.7109375" style="53" bestFit="1" customWidth="1"/>
    <col min="9735" max="9735" width="15.7109375" style="53" bestFit="1" customWidth="1"/>
    <col min="9736" max="9736" width="13.140625" style="53" bestFit="1" customWidth="1"/>
    <col min="9737" max="9737" width="11.85546875" style="53" bestFit="1" customWidth="1"/>
    <col min="9738" max="9738" width="12.85546875" style="53" bestFit="1" customWidth="1"/>
    <col min="9739" max="9984" width="9.140625" style="53"/>
    <col min="9985" max="9985" width="9.28515625" style="53" customWidth="1"/>
    <col min="9986" max="9986" width="39.85546875" style="53" customWidth="1"/>
    <col min="9987" max="9987" width="18.28515625" style="53" customWidth="1"/>
    <col min="9988" max="9988" width="23.85546875" style="53" customWidth="1"/>
    <col min="9989" max="9989" width="16" style="53" bestFit="1" customWidth="1"/>
    <col min="9990" max="9990" width="13.7109375" style="53" bestFit="1" customWidth="1"/>
    <col min="9991" max="9991" width="15.7109375" style="53" bestFit="1" customWidth="1"/>
    <col min="9992" max="9992" width="13.140625" style="53" bestFit="1" customWidth="1"/>
    <col min="9993" max="9993" width="11.85546875" style="53" bestFit="1" customWidth="1"/>
    <col min="9994" max="9994" width="12.85546875" style="53" bestFit="1" customWidth="1"/>
    <col min="9995" max="10240" width="9.140625" style="53"/>
    <col min="10241" max="10241" width="9.28515625" style="53" customWidth="1"/>
    <col min="10242" max="10242" width="39.85546875" style="53" customWidth="1"/>
    <col min="10243" max="10243" width="18.28515625" style="53" customWidth="1"/>
    <col min="10244" max="10244" width="23.85546875" style="53" customWidth="1"/>
    <col min="10245" max="10245" width="16" style="53" bestFit="1" customWidth="1"/>
    <col min="10246" max="10246" width="13.7109375" style="53" bestFit="1" customWidth="1"/>
    <col min="10247" max="10247" width="15.7109375" style="53" bestFit="1" customWidth="1"/>
    <col min="10248" max="10248" width="13.140625" style="53" bestFit="1" customWidth="1"/>
    <col min="10249" max="10249" width="11.85546875" style="53" bestFit="1" customWidth="1"/>
    <col min="10250" max="10250" width="12.85546875" style="53" bestFit="1" customWidth="1"/>
    <col min="10251" max="10496" width="9.140625" style="53"/>
    <col min="10497" max="10497" width="9.28515625" style="53" customWidth="1"/>
    <col min="10498" max="10498" width="39.85546875" style="53" customWidth="1"/>
    <col min="10499" max="10499" width="18.28515625" style="53" customWidth="1"/>
    <col min="10500" max="10500" width="23.85546875" style="53" customWidth="1"/>
    <col min="10501" max="10501" width="16" style="53" bestFit="1" customWidth="1"/>
    <col min="10502" max="10502" width="13.7109375" style="53" bestFit="1" customWidth="1"/>
    <col min="10503" max="10503" width="15.7109375" style="53" bestFit="1" customWidth="1"/>
    <col min="10504" max="10504" width="13.140625" style="53" bestFit="1" customWidth="1"/>
    <col min="10505" max="10505" width="11.85546875" style="53" bestFit="1" customWidth="1"/>
    <col min="10506" max="10506" width="12.85546875" style="53" bestFit="1" customWidth="1"/>
    <col min="10507" max="10752" width="9.140625" style="53"/>
    <col min="10753" max="10753" width="9.28515625" style="53" customWidth="1"/>
    <col min="10754" max="10754" width="39.85546875" style="53" customWidth="1"/>
    <col min="10755" max="10755" width="18.28515625" style="53" customWidth="1"/>
    <col min="10756" max="10756" width="23.85546875" style="53" customWidth="1"/>
    <col min="10757" max="10757" width="16" style="53" bestFit="1" customWidth="1"/>
    <col min="10758" max="10758" width="13.7109375" style="53" bestFit="1" customWidth="1"/>
    <col min="10759" max="10759" width="15.7109375" style="53" bestFit="1" customWidth="1"/>
    <col min="10760" max="10760" width="13.140625" style="53" bestFit="1" customWidth="1"/>
    <col min="10761" max="10761" width="11.85546875" style="53" bestFit="1" customWidth="1"/>
    <col min="10762" max="10762" width="12.85546875" style="53" bestFit="1" customWidth="1"/>
    <col min="10763" max="11008" width="9.140625" style="53"/>
    <col min="11009" max="11009" width="9.28515625" style="53" customWidth="1"/>
    <col min="11010" max="11010" width="39.85546875" style="53" customWidth="1"/>
    <col min="11011" max="11011" width="18.28515625" style="53" customWidth="1"/>
    <col min="11012" max="11012" width="23.85546875" style="53" customWidth="1"/>
    <col min="11013" max="11013" width="16" style="53" bestFit="1" customWidth="1"/>
    <col min="11014" max="11014" width="13.7109375" style="53" bestFit="1" customWidth="1"/>
    <col min="11015" max="11015" width="15.7109375" style="53" bestFit="1" customWidth="1"/>
    <col min="11016" max="11016" width="13.140625" style="53" bestFit="1" customWidth="1"/>
    <col min="11017" max="11017" width="11.85546875" style="53" bestFit="1" customWidth="1"/>
    <col min="11018" max="11018" width="12.85546875" style="53" bestFit="1" customWidth="1"/>
    <col min="11019" max="11264" width="9.140625" style="53"/>
    <col min="11265" max="11265" width="9.28515625" style="53" customWidth="1"/>
    <col min="11266" max="11266" width="39.85546875" style="53" customWidth="1"/>
    <col min="11267" max="11267" width="18.28515625" style="53" customWidth="1"/>
    <col min="11268" max="11268" width="23.85546875" style="53" customWidth="1"/>
    <col min="11269" max="11269" width="16" style="53" bestFit="1" customWidth="1"/>
    <col min="11270" max="11270" width="13.7109375" style="53" bestFit="1" customWidth="1"/>
    <col min="11271" max="11271" width="15.7109375" style="53" bestFit="1" customWidth="1"/>
    <col min="11272" max="11272" width="13.140625" style="53" bestFit="1" customWidth="1"/>
    <col min="11273" max="11273" width="11.85546875" style="53" bestFit="1" customWidth="1"/>
    <col min="11274" max="11274" width="12.85546875" style="53" bestFit="1" customWidth="1"/>
    <col min="11275" max="11520" width="9.140625" style="53"/>
    <col min="11521" max="11521" width="9.28515625" style="53" customWidth="1"/>
    <col min="11522" max="11522" width="39.85546875" style="53" customWidth="1"/>
    <col min="11523" max="11523" width="18.28515625" style="53" customWidth="1"/>
    <col min="11524" max="11524" width="23.85546875" style="53" customWidth="1"/>
    <col min="11525" max="11525" width="16" style="53" bestFit="1" customWidth="1"/>
    <col min="11526" max="11526" width="13.7109375" style="53" bestFit="1" customWidth="1"/>
    <col min="11527" max="11527" width="15.7109375" style="53" bestFit="1" customWidth="1"/>
    <col min="11528" max="11528" width="13.140625" style="53" bestFit="1" customWidth="1"/>
    <col min="11529" max="11529" width="11.85546875" style="53" bestFit="1" customWidth="1"/>
    <col min="11530" max="11530" width="12.85546875" style="53" bestFit="1" customWidth="1"/>
    <col min="11531" max="11776" width="9.140625" style="53"/>
    <col min="11777" max="11777" width="9.28515625" style="53" customWidth="1"/>
    <col min="11778" max="11778" width="39.85546875" style="53" customWidth="1"/>
    <col min="11779" max="11779" width="18.28515625" style="53" customWidth="1"/>
    <col min="11780" max="11780" width="23.85546875" style="53" customWidth="1"/>
    <col min="11781" max="11781" width="16" style="53" bestFit="1" customWidth="1"/>
    <col min="11782" max="11782" width="13.7109375" style="53" bestFit="1" customWidth="1"/>
    <col min="11783" max="11783" width="15.7109375" style="53" bestFit="1" customWidth="1"/>
    <col min="11784" max="11784" width="13.140625" style="53" bestFit="1" customWidth="1"/>
    <col min="11785" max="11785" width="11.85546875" style="53" bestFit="1" customWidth="1"/>
    <col min="11786" max="11786" width="12.85546875" style="53" bestFit="1" customWidth="1"/>
    <col min="11787" max="12032" width="9.140625" style="53"/>
    <col min="12033" max="12033" width="9.28515625" style="53" customWidth="1"/>
    <col min="12034" max="12034" width="39.85546875" style="53" customWidth="1"/>
    <col min="12035" max="12035" width="18.28515625" style="53" customWidth="1"/>
    <col min="12036" max="12036" width="23.85546875" style="53" customWidth="1"/>
    <col min="12037" max="12037" width="16" style="53" bestFit="1" customWidth="1"/>
    <col min="12038" max="12038" width="13.7109375" style="53" bestFit="1" customWidth="1"/>
    <col min="12039" max="12039" width="15.7109375" style="53" bestFit="1" customWidth="1"/>
    <col min="12040" max="12040" width="13.140625" style="53" bestFit="1" customWidth="1"/>
    <col min="12041" max="12041" width="11.85546875" style="53" bestFit="1" customWidth="1"/>
    <col min="12042" max="12042" width="12.85546875" style="53" bestFit="1" customWidth="1"/>
    <col min="12043" max="12288" width="9.140625" style="53"/>
    <col min="12289" max="12289" width="9.28515625" style="53" customWidth="1"/>
    <col min="12290" max="12290" width="39.85546875" style="53" customWidth="1"/>
    <col min="12291" max="12291" width="18.28515625" style="53" customWidth="1"/>
    <col min="12292" max="12292" width="23.85546875" style="53" customWidth="1"/>
    <col min="12293" max="12293" width="16" style="53" bestFit="1" customWidth="1"/>
    <col min="12294" max="12294" width="13.7109375" style="53" bestFit="1" customWidth="1"/>
    <col min="12295" max="12295" width="15.7109375" style="53" bestFit="1" customWidth="1"/>
    <col min="12296" max="12296" width="13.140625" style="53" bestFit="1" customWidth="1"/>
    <col min="12297" max="12297" width="11.85546875" style="53" bestFit="1" customWidth="1"/>
    <col min="12298" max="12298" width="12.85546875" style="53" bestFit="1" customWidth="1"/>
    <col min="12299" max="12544" width="9.140625" style="53"/>
    <col min="12545" max="12545" width="9.28515625" style="53" customWidth="1"/>
    <col min="12546" max="12546" width="39.85546875" style="53" customWidth="1"/>
    <col min="12547" max="12547" width="18.28515625" style="53" customWidth="1"/>
    <col min="12548" max="12548" width="23.85546875" style="53" customWidth="1"/>
    <col min="12549" max="12549" width="16" style="53" bestFit="1" customWidth="1"/>
    <col min="12550" max="12550" width="13.7109375" style="53" bestFit="1" customWidth="1"/>
    <col min="12551" max="12551" width="15.7109375" style="53" bestFit="1" customWidth="1"/>
    <col min="12552" max="12552" width="13.140625" style="53" bestFit="1" customWidth="1"/>
    <col min="12553" max="12553" width="11.85546875" style="53" bestFit="1" customWidth="1"/>
    <col min="12554" max="12554" width="12.85546875" style="53" bestFit="1" customWidth="1"/>
    <col min="12555" max="12800" width="9.140625" style="53"/>
    <col min="12801" max="12801" width="9.28515625" style="53" customWidth="1"/>
    <col min="12802" max="12802" width="39.85546875" style="53" customWidth="1"/>
    <col min="12803" max="12803" width="18.28515625" style="53" customWidth="1"/>
    <col min="12804" max="12804" width="23.85546875" style="53" customWidth="1"/>
    <col min="12805" max="12805" width="16" style="53" bestFit="1" customWidth="1"/>
    <col min="12806" max="12806" width="13.7109375" style="53" bestFit="1" customWidth="1"/>
    <col min="12807" max="12807" width="15.7109375" style="53" bestFit="1" customWidth="1"/>
    <col min="12808" max="12808" width="13.140625" style="53" bestFit="1" customWidth="1"/>
    <col min="12809" max="12809" width="11.85546875" style="53" bestFit="1" customWidth="1"/>
    <col min="12810" max="12810" width="12.85546875" style="53" bestFit="1" customWidth="1"/>
    <col min="12811" max="13056" width="9.140625" style="53"/>
    <col min="13057" max="13057" width="9.28515625" style="53" customWidth="1"/>
    <col min="13058" max="13058" width="39.85546875" style="53" customWidth="1"/>
    <col min="13059" max="13059" width="18.28515625" style="53" customWidth="1"/>
    <col min="13060" max="13060" width="23.85546875" style="53" customWidth="1"/>
    <col min="13061" max="13061" width="16" style="53" bestFit="1" customWidth="1"/>
    <col min="13062" max="13062" width="13.7109375" style="53" bestFit="1" customWidth="1"/>
    <col min="13063" max="13063" width="15.7109375" style="53" bestFit="1" customWidth="1"/>
    <col min="13064" max="13064" width="13.140625" style="53" bestFit="1" customWidth="1"/>
    <col min="13065" max="13065" width="11.85546875" style="53" bestFit="1" customWidth="1"/>
    <col min="13066" max="13066" width="12.85546875" style="53" bestFit="1" customWidth="1"/>
    <col min="13067" max="13312" width="9.140625" style="53"/>
    <col min="13313" max="13313" width="9.28515625" style="53" customWidth="1"/>
    <col min="13314" max="13314" width="39.85546875" style="53" customWidth="1"/>
    <col min="13315" max="13315" width="18.28515625" style="53" customWidth="1"/>
    <col min="13316" max="13316" width="23.85546875" style="53" customWidth="1"/>
    <col min="13317" max="13317" width="16" style="53" bestFit="1" customWidth="1"/>
    <col min="13318" max="13318" width="13.7109375" style="53" bestFit="1" customWidth="1"/>
    <col min="13319" max="13319" width="15.7109375" style="53" bestFit="1" customWidth="1"/>
    <col min="13320" max="13320" width="13.140625" style="53" bestFit="1" customWidth="1"/>
    <col min="13321" max="13321" width="11.85546875" style="53" bestFit="1" customWidth="1"/>
    <col min="13322" max="13322" width="12.85546875" style="53" bestFit="1" customWidth="1"/>
    <col min="13323" max="13568" width="9.140625" style="53"/>
    <col min="13569" max="13569" width="9.28515625" style="53" customWidth="1"/>
    <col min="13570" max="13570" width="39.85546875" style="53" customWidth="1"/>
    <col min="13571" max="13571" width="18.28515625" style="53" customWidth="1"/>
    <col min="13572" max="13572" width="23.85546875" style="53" customWidth="1"/>
    <col min="13573" max="13573" width="16" style="53" bestFit="1" customWidth="1"/>
    <col min="13574" max="13574" width="13.7109375" style="53" bestFit="1" customWidth="1"/>
    <col min="13575" max="13575" width="15.7109375" style="53" bestFit="1" customWidth="1"/>
    <col min="13576" max="13576" width="13.140625" style="53" bestFit="1" customWidth="1"/>
    <col min="13577" max="13577" width="11.85546875" style="53" bestFit="1" customWidth="1"/>
    <col min="13578" max="13578" width="12.85546875" style="53" bestFit="1" customWidth="1"/>
    <col min="13579" max="13824" width="9.140625" style="53"/>
    <col min="13825" max="13825" width="9.28515625" style="53" customWidth="1"/>
    <col min="13826" max="13826" width="39.85546875" style="53" customWidth="1"/>
    <col min="13827" max="13827" width="18.28515625" style="53" customWidth="1"/>
    <col min="13828" max="13828" width="23.85546875" style="53" customWidth="1"/>
    <col min="13829" max="13829" width="16" style="53" bestFit="1" customWidth="1"/>
    <col min="13830" max="13830" width="13.7109375" style="53" bestFit="1" customWidth="1"/>
    <col min="13831" max="13831" width="15.7109375" style="53" bestFit="1" customWidth="1"/>
    <col min="13832" max="13832" width="13.140625" style="53" bestFit="1" customWidth="1"/>
    <col min="13833" max="13833" width="11.85546875" style="53" bestFit="1" customWidth="1"/>
    <col min="13834" max="13834" width="12.85546875" style="53" bestFit="1" customWidth="1"/>
    <col min="13835" max="14080" width="9.140625" style="53"/>
    <col min="14081" max="14081" width="9.28515625" style="53" customWidth="1"/>
    <col min="14082" max="14082" width="39.85546875" style="53" customWidth="1"/>
    <col min="14083" max="14083" width="18.28515625" style="53" customWidth="1"/>
    <col min="14084" max="14084" width="23.85546875" style="53" customWidth="1"/>
    <col min="14085" max="14085" width="16" style="53" bestFit="1" customWidth="1"/>
    <col min="14086" max="14086" width="13.7109375" style="53" bestFit="1" customWidth="1"/>
    <col min="14087" max="14087" width="15.7109375" style="53" bestFit="1" customWidth="1"/>
    <col min="14088" max="14088" width="13.140625" style="53" bestFit="1" customWidth="1"/>
    <col min="14089" max="14089" width="11.85546875" style="53" bestFit="1" customWidth="1"/>
    <col min="14090" max="14090" width="12.85546875" style="53" bestFit="1" customWidth="1"/>
    <col min="14091" max="14336" width="9.140625" style="53"/>
    <col min="14337" max="14337" width="9.28515625" style="53" customWidth="1"/>
    <col min="14338" max="14338" width="39.85546875" style="53" customWidth="1"/>
    <col min="14339" max="14339" width="18.28515625" style="53" customWidth="1"/>
    <col min="14340" max="14340" width="23.85546875" style="53" customWidth="1"/>
    <col min="14341" max="14341" width="16" style="53" bestFit="1" customWidth="1"/>
    <col min="14342" max="14342" width="13.7109375" style="53" bestFit="1" customWidth="1"/>
    <col min="14343" max="14343" width="15.7109375" style="53" bestFit="1" customWidth="1"/>
    <col min="14344" max="14344" width="13.140625" style="53" bestFit="1" customWidth="1"/>
    <col min="14345" max="14345" width="11.85546875" style="53" bestFit="1" customWidth="1"/>
    <col min="14346" max="14346" width="12.85546875" style="53" bestFit="1" customWidth="1"/>
    <col min="14347" max="14592" width="9.140625" style="53"/>
    <col min="14593" max="14593" width="9.28515625" style="53" customWidth="1"/>
    <col min="14594" max="14594" width="39.85546875" style="53" customWidth="1"/>
    <col min="14595" max="14595" width="18.28515625" style="53" customWidth="1"/>
    <col min="14596" max="14596" width="23.85546875" style="53" customWidth="1"/>
    <col min="14597" max="14597" width="16" style="53" bestFit="1" customWidth="1"/>
    <col min="14598" max="14598" width="13.7109375" style="53" bestFit="1" customWidth="1"/>
    <col min="14599" max="14599" width="15.7109375" style="53" bestFit="1" customWidth="1"/>
    <col min="14600" max="14600" width="13.140625" style="53" bestFit="1" customWidth="1"/>
    <col min="14601" max="14601" width="11.85546875" style="53" bestFit="1" customWidth="1"/>
    <col min="14602" max="14602" width="12.85546875" style="53" bestFit="1" customWidth="1"/>
    <col min="14603" max="14848" width="9.140625" style="53"/>
    <col min="14849" max="14849" width="9.28515625" style="53" customWidth="1"/>
    <col min="14850" max="14850" width="39.85546875" style="53" customWidth="1"/>
    <col min="14851" max="14851" width="18.28515625" style="53" customWidth="1"/>
    <col min="14852" max="14852" width="23.85546875" style="53" customWidth="1"/>
    <col min="14853" max="14853" width="16" style="53" bestFit="1" customWidth="1"/>
    <col min="14854" max="14854" width="13.7109375" style="53" bestFit="1" customWidth="1"/>
    <col min="14855" max="14855" width="15.7109375" style="53" bestFit="1" customWidth="1"/>
    <col min="14856" max="14856" width="13.140625" style="53" bestFit="1" customWidth="1"/>
    <col min="14857" max="14857" width="11.85546875" style="53" bestFit="1" customWidth="1"/>
    <col min="14858" max="14858" width="12.85546875" style="53" bestFit="1" customWidth="1"/>
    <col min="14859" max="15104" width="9.140625" style="53"/>
    <col min="15105" max="15105" width="9.28515625" style="53" customWidth="1"/>
    <col min="15106" max="15106" width="39.85546875" style="53" customWidth="1"/>
    <col min="15107" max="15107" width="18.28515625" style="53" customWidth="1"/>
    <col min="15108" max="15108" width="23.85546875" style="53" customWidth="1"/>
    <col min="15109" max="15109" width="16" style="53" bestFit="1" customWidth="1"/>
    <col min="15110" max="15110" width="13.7109375" style="53" bestFit="1" customWidth="1"/>
    <col min="15111" max="15111" width="15.7109375" style="53" bestFit="1" customWidth="1"/>
    <col min="15112" max="15112" width="13.140625" style="53" bestFit="1" customWidth="1"/>
    <col min="15113" max="15113" width="11.85546875" style="53" bestFit="1" customWidth="1"/>
    <col min="15114" max="15114" width="12.85546875" style="53" bestFit="1" customWidth="1"/>
    <col min="15115" max="15360" width="9.140625" style="53"/>
    <col min="15361" max="15361" width="9.28515625" style="53" customWidth="1"/>
    <col min="15362" max="15362" width="39.85546875" style="53" customWidth="1"/>
    <col min="15363" max="15363" width="18.28515625" style="53" customWidth="1"/>
    <col min="15364" max="15364" width="23.85546875" style="53" customWidth="1"/>
    <col min="15365" max="15365" width="16" style="53" bestFit="1" customWidth="1"/>
    <col min="15366" max="15366" width="13.7109375" style="53" bestFit="1" customWidth="1"/>
    <col min="15367" max="15367" width="15.7109375" style="53" bestFit="1" customWidth="1"/>
    <col min="15368" max="15368" width="13.140625" style="53" bestFit="1" customWidth="1"/>
    <col min="15369" max="15369" width="11.85546875" style="53" bestFit="1" customWidth="1"/>
    <col min="15370" max="15370" width="12.85546875" style="53" bestFit="1" customWidth="1"/>
    <col min="15371" max="15616" width="9.140625" style="53"/>
    <col min="15617" max="15617" width="9.28515625" style="53" customWidth="1"/>
    <col min="15618" max="15618" width="39.85546875" style="53" customWidth="1"/>
    <col min="15619" max="15619" width="18.28515625" style="53" customWidth="1"/>
    <col min="15620" max="15620" width="23.85546875" style="53" customWidth="1"/>
    <col min="15621" max="15621" width="16" style="53" bestFit="1" customWidth="1"/>
    <col min="15622" max="15622" width="13.7109375" style="53" bestFit="1" customWidth="1"/>
    <col min="15623" max="15623" width="15.7109375" style="53" bestFit="1" customWidth="1"/>
    <col min="15624" max="15624" width="13.140625" style="53" bestFit="1" customWidth="1"/>
    <col min="15625" max="15625" width="11.85546875" style="53" bestFit="1" customWidth="1"/>
    <col min="15626" max="15626" width="12.85546875" style="53" bestFit="1" customWidth="1"/>
    <col min="15627" max="15872" width="9.140625" style="53"/>
    <col min="15873" max="15873" width="9.28515625" style="53" customWidth="1"/>
    <col min="15874" max="15874" width="39.85546875" style="53" customWidth="1"/>
    <col min="15875" max="15875" width="18.28515625" style="53" customWidth="1"/>
    <col min="15876" max="15876" width="23.85546875" style="53" customWidth="1"/>
    <col min="15877" max="15877" width="16" style="53" bestFit="1" customWidth="1"/>
    <col min="15878" max="15878" width="13.7109375" style="53" bestFit="1" customWidth="1"/>
    <col min="15879" max="15879" width="15.7109375" style="53" bestFit="1" customWidth="1"/>
    <col min="15880" max="15880" width="13.140625" style="53" bestFit="1" customWidth="1"/>
    <col min="15881" max="15881" width="11.85546875" style="53" bestFit="1" customWidth="1"/>
    <col min="15882" max="15882" width="12.85546875" style="53" bestFit="1" customWidth="1"/>
    <col min="15883" max="16128" width="9.140625" style="53"/>
    <col min="16129" max="16129" width="9.28515625" style="53" customWidth="1"/>
    <col min="16130" max="16130" width="39.85546875" style="53" customWidth="1"/>
    <col min="16131" max="16131" width="18.28515625" style="53" customWidth="1"/>
    <col min="16132" max="16132" width="23.85546875" style="53" customWidth="1"/>
    <col min="16133" max="16133" width="16" style="53" bestFit="1" customWidth="1"/>
    <col min="16134" max="16134" width="13.7109375" style="53" bestFit="1" customWidth="1"/>
    <col min="16135" max="16135" width="15.7109375" style="53" bestFit="1" customWidth="1"/>
    <col min="16136" max="16136" width="13.140625" style="53" bestFit="1" customWidth="1"/>
    <col min="16137" max="16137" width="11.85546875" style="53" bestFit="1" customWidth="1"/>
    <col min="16138" max="16138" width="12.85546875" style="53" bestFit="1" customWidth="1"/>
    <col min="16139" max="16384" width="9.140625" style="53"/>
  </cols>
  <sheetData>
    <row r="3" spans="1:7" ht="15.75" customHeight="1">
      <c r="A3" s="543" t="s">
        <v>255</v>
      </c>
      <c r="B3" s="543"/>
      <c r="C3" s="543"/>
      <c r="D3" s="543"/>
      <c r="E3" s="52"/>
      <c r="F3" s="52"/>
      <c r="G3" s="52"/>
    </row>
    <row r="4" spans="1:7">
      <c r="A4" s="543"/>
      <c r="B4" s="543"/>
      <c r="C4" s="543"/>
      <c r="D4" s="543"/>
      <c r="E4" s="52"/>
      <c r="F4" s="52"/>
      <c r="G4" s="52"/>
    </row>
    <row r="5" spans="1:7">
      <c r="A5" s="54"/>
      <c r="B5" s="52"/>
      <c r="C5" s="52"/>
      <c r="D5" s="52"/>
      <c r="E5" s="52"/>
      <c r="F5" s="52"/>
      <c r="G5" s="52"/>
    </row>
    <row r="6" spans="1:7" ht="15.75" customHeight="1">
      <c r="A6" s="544" t="s">
        <v>550</v>
      </c>
      <c r="B6" s="544"/>
      <c r="C6" s="544"/>
      <c r="D6" s="544"/>
      <c r="E6" s="52"/>
      <c r="F6" s="52"/>
      <c r="G6" s="52"/>
    </row>
    <row r="7" spans="1:7">
      <c r="A7" s="522"/>
      <c r="B7" s="522"/>
      <c r="C7" s="522"/>
      <c r="D7" s="522"/>
    </row>
    <row r="8" spans="1:7">
      <c r="A8" s="237" t="s">
        <v>551</v>
      </c>
      <c r="B8" s="238"/>
      <c r="C8" s="187"/>
      <c r="D8" s="187"/>
    </row>
    <row r="9" spans="1:7">
      <c r="A9" s="522"/>
      <c r="B9" s="522"/>
      <c r="C9" s="522"/>
      <c r="D9" s="522"/>
    </row>
    <row r="10" spans="1:7">
      <c r="A10" s="57" t="s">
        <v>256</v>
      </c>
      <c r="B10" s="188"/>
      <c r="C10" s="187"/>
      <c r="D10" s="187"/>
    </row>
    <row r="11" spans="1:7">
      <c r="A11" s="59" t="s">
        <v>257</v>
      </c>
      <c r="B11" s="541" t="s">
        <v>258</v>
      </c>
      <c r="C11" s="542"/>
      <c r="D11" s="239">
        <v>42550</v>
      </c>
    </row>
    <row r="12" spans="1:7">
      <c r="A12" s="59" t="s">
        <v>259</v>
      </c>
      <c r="B12" s="62" t="s">
        <v>260</v>
      </c>
      <c r="C12" s="63"/>
      <c r="D12" s="240" t="s">
        <v>374</v>
      </c>
    </row>
    <row r="13" spans="1:7">
      <c r="A13" s="59" t="s">
        <v>261</v>
      </c>
      <c r="B13" s="541" t="s">
        <v>262</v>
      </c>
      <c r="C13" s="542"/>
      <c r="D13" s="240">
        <v>2016</v>
      </c>
    </row>
    <row r="14" spans="1:7">
      <c r="A14" s="64" t="s">
        <v>263</v>
      </c>
      <c r="B14" s="65" t="s">
        <v>555</v>
      </c>
      <c r="C14" s="66"/>
      <c r="D14" s="239">
        <v>42625</v>
      </c>
    </row>
    <row r="16" spans="1:7">
      <c r="A16" s="190"/>
    </row>
    <row r="17" spans="1:7">
      <c r="A17" s="523"/>
      <c r="B17" s="523"/>
      <c r="C17" s="523"/>
      <c r="D17" s="523"/>
      <c r="E17" s="523"/>
      <c r="F17" s="523"/>
      <c r="G17" s="523"/>
    </row>
    <row r="18" spans="1:7" ht="35.25" customHeight="1">
      <c r="A18" s="545" t="s">
        <v>264</v>
      </c>
      <c r="B18" s="545"/>
      <c r="C18" s="67" t="s">
        <v>265</v>
      </c>
      <c r="D18" s="67" t="s">
        <v>266</v>
      </c>
    </row>
    <row r="19" spans="1:7">
      <c r="A19" s="241">
        <v>1</v>
      </c>
      <c r="B19" s="242" t="s">
        <v>0</v>
      </c>
      <c r="C19" s="241" t="s">
        <v>267</v>
      </c>
      <c r="D19" s="243">
        <v>5</v>
      </c>
    </row>
    <row r="20" spans="1:7">
      <c r="A20" s="68"/>
      <c r="B20" s="69"/>
      <c r="C20" s="68"/>
      <c r="D20" s="70"/>
    </row>
    <row r="21" spans="1:7">
      <c r="A21" s="522" t="s">
        <v>268</v>
      </c>
      <c r="B21" s="522"/>
      <c r="C21" s="522"/>
      <c r="D21" s="522"/>
      <c r="E21" s="522"/>
      <c r="F21" s="522"/>
      <c r="G21" s="522"/>
    </row>
    <row r="22" spans="1:7">
      <c r="A22" s="71"/>
    </row>
    <row r="23" spans="1:7">
      <c r="A23" s="57" t="s">
        <v>269</v>
      </c>
    </row>
    <row r="24" spans="1:7">
      <c r="A24" s="57" t="s">
        <v>270</v>
      </c>
    </row>
    <row r="25" spans="1:7">
      <c r="A25" s="72" t="s">
        <v>271</v>
      </c>
      <c r="B25" s="60"/>
      <c r="C25" s="60"/>
      <c r="D25" s="61"/>
    </row>
    <row r="26" spans="1:7">
      <c r="A26" s="73">
        <v>1</v>
      </c>
      <c r="B26" s="74" t="s">
        <v>272</v>
      </c>
      <c r="C26" s="74"/>
      <c r="D26" s="244" t="str">
        <f>B19</f>
        <v>Copeira</v>
      </c>
    </row>
    <row r="27" spans="1:7" ht="30.75" customHeight="1">
      <c r="A27" s="73">
        <v>2</v>
      </c>
      <c r="B27" s="539" t="s">
        <v>273</v>
      </c>
      <c r="C27" s="540"/>
      <c r="D27" s="175">
        <v>1104</v>
      </c>
    </row>
    <row r="28" spans="1:7" ht="31.5" customHeight="1">
      <c r="A28" s="73">
        <v>3</v>
      </c>
      <c r="B28" s="539" t="s">
        <v>274</v>
      </c>
      <c r="C28" s="540"/>
      <c r="D28" s="176" t="s">
        <v>375</v>
      </c>
    </row>
    <row r="29" spans="1:7">
      <c r="A29" s="75">
        <v>4</v>
      </c>
      <c r="B29" s="76" t="s">
        <v>275</v>
      </c>
      <c r="C29" s="76"/>
      <c r="D29" s="77">
        <v>42401</v>
      </c>
    </row>
    <row r="30" spans="1:7">
      <c r="A30" s="71"/>
    </row>
    <row r="31" spans="1:7">
      <c r="A31" s="71"/>
    </row>
    <row r="32" spans="1:7">
      <c r="A32" s="71"/>
    </row>
    <row r="33" spans="1:7" ht="16.5" customHeight="1" thickBot="1">
      <c r="A33" s="523" t="s">
        <v>276</v>
      </c>
      <c r="B33" s="523"/>
      <c r="C33" s="523"/>
      <c r="D33" s="523"/>
      <c r="E33" s="523"/>
      <c r="F33" s="52"/>
      <c r="G33" s="52"/>
    </row>
    <row r="34" spans="1:7" ht="16.5" thickBot="1">
      <c r="A34" s="78" t="s">
        <v>277</v>
      </c>
      <c r="B34" s="79" t="s">
        <v>278</v>
      </c>
      <c r="C34" s="80"/>
      <c r="D34" s="81" t="s">
        <v>279</v>
      </c>
    </row>
    <row r="35" spans="1:7">
      <c r="A35" s="82" t="s">
        <v>257</v>
      </c>
      <c r="B35" s="83" t="s">
        <v>280</v>
      </c>
      <c r="C35" s="84"/>
      <c r="D35" s="85">
        <f>ROUND(((D27/220)*(365.25/12)*(30/6)),2)</f>
        <v>763.7</v>
      </c>
    </row>
    <row r="36" spans="1:7">
      <c r="A36" s="191" t="s">
        <v>259</v>
      </c>
      <c r="B36" s="87" t="s">
        <v>281</v>
      </c>
      <c r="C36" s="88"/>
      <c r="D36" s="89">
        <v>0</v>
      </c>
    </row>
    <row r="37" spans="1:7">
      <c r="A37" s="191" t="s">
        <v>261</v>
      </c>
      <c r="B37" s="87" t="s">
        <v>282</v>
      </c>
      <c r="C37" s="90"/>
      <c r="D37" s="89">
        <v>0</v>
      </c>
    </row>
    <row r="38" spans="1:7">
      <c r="A38" s="191" t="s">
        <v>263</v>
      </c>
      <c r="B38" s="91" t="s">
        <v>552</v>
      </c>
      <c r="C38" s="88"/>
      <c r="D38" s="89">
        <v>0</v>
      </c>
    </row>
    <row r="39" spans="1:7">
      <c r="A39" s="191" t="s">
        <v>284</v>
      </c>
      <c r="B39" s="91" t="s">
        <v>285</v>
      </c>
      <c r="C39" s="92"/>
      <c r="D39" s="89">
        <v>0</v>
      </c>
    </row>
    <row r="40" spans="1:7">
      <c r="A40" s="191" t="s">
        <v>286</v>
      </c>
      <c r="B40" s="93" t="s">
        <v>287</v>
      </c>
      <c r="C40" s="92"/>
      <c r="D40" s="89">
        <v>0</v>
      </c>
    </row>
    <row r="41" spans="1:7">
      <c r="A41" s="191" t="s">
        <v>288</v>
      </c>
      <c r="B41" s="93" t="s">
        <v>289</v>
      </c>
      <c r="C41" s="92"/>
      <c r="D41" s="89">
        <v>0</v>
      </c>
    </row>
    <row r="42" spans="1:7" ht="16.5" thickBot="1">
      <c r="A42" s="191" t="s">
        <v>290</v>
      </c>
      <c r="B42" s="94" t="s">
        <v>376</v>
      </c>
      <c r="C42" s="95"/>
      <c r="D42" s="89">
        <v>0</v>
      </c>
    </row>
    <row r="43" spans="1:7" ht="16.5" thickBot="1">
      <c r="A43" s="96"/>
      <c r="B43" s="97" t="s">
        <v>292</v>
      </c>
      <c r="C43" s="98"/>
      <c r="D43" s="99">
        <f>SUM(D35:D42)</f>
        <v>763.7</v>
      </c>
    </row>
    <row r="44" spans="1:7">
      <c r="A44" s="190"/>
    </row>
    <row r="45" spans="1:7" ht="16.5" thickBot="1">
      <c r="A45" s="523" t="s">
        <v>293</v>
      </c>
      <c r="B45" s="523"/>
      <c r="C45" s="523"/>
      <c r="D45" s="523"/>
      <c r="E45" s="523"/>
      <c r="F45" s="523"/>
      <c r="G45" s="523"/>
    </row>
    <row r="46" spans="1:7" ht="16.5" thickBot="1">
      <c r="A46" s="100">
        <v>2</v>
      </c>
      <c r="B46" s="189" t="s">
        <v>294</v>
      </c>
      <c r="C46" s="102"/>
      <c r="D46" s="100" t="s">
        <v>279</v>
      </c>
    </row>
    <row r="47" spans="1:7">
      <c r="A47" s="82" t="s">
        <v>257</v>
      </c>
      <c r="B47" s="83" t="s">
        <v>295</v>
      </c>
      <c r="C47" s="103"/>
      <c r="D47" s="104">
        <f>(3.7*44)-(D35*6%)</f>
        <v>116.97800000000001</v>
      </c>
    </row>
    <row r="48" spans="1:7" ht="31.5">
      <c r="A48" s="105" t="s">
        <v>259</v>
      </c>
      <c r="B48" s="106" t="s">
        <v>296</v>
      </c>
      <c r="C48" s="90"/>
      <c r="D48" s="107">
        <f>330*(1-20%)</f>
        <v>264</v>
      </c>
    </row>
    <row r="49" spans="1:7">
      <c r="A49" s="191" t="s">
        <v>261</v>
      </c>
      <c r="B49" s="87" t="s">
        <v>389</v>
      </c>
      <c r="C49" s="90"/>
      <c r="D49" s="107">
        <v>50</v>
      </c>
    </row>
    <row r="50" spans="1:7">
      <c r="A50" s="191" t="s">
        <v>263</v>
      </c>
      <c r="B50" s="87" t="s">
        <v>297</v>
      </c>
      <c r="C50" s="88"/>
      <c r="D50" s="107">
        <v>0</v>
      </c>
    </row>
    <row r="51" spans="1:7">
      <c r="A51" s="191" t="s">
        <v>284</v>
      </c>
      <c r="B51" s="87" t="s">
        <v>390</v>
      </c>
      <c r="C51" s="92"/>
      <c r="D51" s="108">
        <v>16</v>
      </c>
    </row>
    <row r="52" spans="1:7" ht="16.5" customHeight="1">
      <c r="A52" s="191" t="s">
        <v>286</v>
      </c>
      <c r="B52" s="535" t="s">
        <v>377</v>
      </c>
      <c r="C52" s="536"/>
      <c r="D52" s="108">
        <v>16</v>
      </c>
    </row>
    <row r="53" spans="1:7" ht="16.5" thickBot="1">
      <c r="A53" s="109" t="s">
        <v>288</v>
      </c>
      <c r="B53" s="537" t="s">
        <v>291</v>
      </c>
      <c r="C53" s="538"/>
      <c r="D53" s="110">
        <v>0</v>
      </c>
    </row>
    <row r="54" spans="1:7" ht="16.5" thickBot="1">
      <c r="A54" s="111"/>
      <c r="B54" s="189" t="s">
        <v>298</v>
      </c>
      <c r="C54" s="112"/>
      <c r="D54" s="113">
        <f>SUM(D47:D53)</f>
        <v>462.97800000000001</v>
      </c>
    </row>
    <row r="55" spans="1:7" ht="33" customHeight="1">
      <c r="A55" s="522" t="s">
        <v>299</v>
      </c>
      <c r="B55" s="522"/>
      <c r="C55" s="522"/>
      <c r="D55" s="522"/>
    </row>
    <row r="56" spans="1:7">
      <c r="A56" s="190"/>
    </row>
    <row r="57" spans="1:7" ht="16.5" thickBot="1">
      <c r="A57" s="523" t="s">
        <v>300</v>
      </c>
      <c r="B57" s="523"/>
      <c r="C57" s="523"/>
      <c r="D57" s="523"/>
      <c r="E57" s="523"/>
      <c r="F57" s="523"/>
      <c r="G57" s="523"/>
    </row>
    <row r="58" spans="1:7" ht="16.5" thickBot="1">
      <c r="A58" s="114">
        <v>3</v>
      </c>
      <c r="B58" s="189" t="s">
        <v>301</v>
      </c>
      <c r="C58" s="102"/>
      <c r="D58" s="100" t="s">
        <v>279</v>
      </c>
    </row>
    <row r="59" spans="1:7">
      <c r="A59" s="82" t="s">
        <v>257</v>
      </c>
      <c r="B59" s="83" t="s">
        <v>302</v>
      </c>
      <c r="C59" s="115"/>
      <c r="D59" s="116">
        <f>'ANEXO IV'!D43</f>
        <v>39.5</v>
      </c>
    </row>
    <row r="60" spans="1:7">
      <c r="A60" s="105" t="s">
        <v>259</v>
      </c>
      <c r="B60" s="106" t="s">
        <v>15</v>
      </c>
      <c r="C60" s="90"/>
      <c r="D60" s="107">
        <v>0</v>
      </c>
    </row>
    <row r="61" spans="1:7">
      <c r="A61" s="191" t="s">
        <v>261</v>
      </c>
      <c r="B61" s="87" t="s">
        <v>21</v>
      </c>
      <c r="C61" s="90"/>
      <c r="D61" s="107">
        <v>0</v>
      </c>
    </row>
    <row r="62" spans="1:7">
      <c r="A62" s="191" t="s">
        <v>263</v>
      </c>
      <c r="B62" s="535" t="s">
        <v>18</v>
      </c>
      <c r="C62" s="536"/>
      <c r="D62" s="108">
        <v>0</v>
      </c>
    </row>
    <row r="63" spans="1:7" ht="16.5" thickBot="1">
      <c r="A63" s="109" t="s">
        <v>284</v>
      </c>
      <c r="B63" s="537" t="s">
        <v>291</v>
      </c>
      <c r="C63" s="538"/>
      <c r="D63" s="110">
        <v>0</v>
      </c>
    </row>
    <row r="64" spans="1:7" ht="16.5" thickBot="1">
      <c r="A64" s="111"/>
      <c r="B64" s="189" t="s">
        <v>303</v>
      </c>
      <c r="C64" s="112"/>
      <c r="D64" s="113">
        <f>SUM(D59:D63)</f>
        <v>39.5</v>
      </c>
    </row>
    <row r="65" spans="1:7">
      <c r="A65" s="522" t="s">
        <v>304</v>
      </c>
      <c r="B65" s="522"/>
      <c r="C65" s="522"/>
      <c r="D65" s="522"/>
      <c r="E65" s="522"/>
      <c r="F65" s="522"/>
      <c r="G65" s="522"/>
    </row>
    <row r="66" spans="1:7">
      <c r="A66" s="190"/>
    </row>
    <row r="67" spans="1:7">
      <c r="A67" s="523" t="s">
        <v>305</v>
      </c>
      <c r="B67" s="523"/>
      <c r="C67" s="523"/>
      <c r="D67" s="523"/>
      <c r="E67" s="523"/>
      <c r="F67" s="523"/>
      <c r="G67" s="523"/>
    </row>
    <row r="68" spans="1:7" ht="16.5" thickBot="1">
      <c r="A68" s="523" t="s">
        <v>306</v>
      </c>
      <c r="B68" s="523"/>
      <c r="C68" s="523"/>
      <c r="D68" s="523"/>
      <c r="E68" s="523"/>
      <c r="F68" s="523"/>
      <c r="G68" s="523"/>
    </row>
    <row r="69" spans="1:7" ht="16.5" thickBot="1">
      <c r="A69" s="117" t="s">
        <v>307</v>
      </c>
      <c r="B69" s="118" t="s">
        <v>308</v>
      </c>
      <c r="C69" s="117" t="s">
        <v>4</v>
      </c>
      <c r="D69" s="117" t="s">
        <v>279</v>
      </c>
    </row>
    <row r="70" spans="1:7">
      <c r="A70" s="82" t="s">
        <v>257</v>
      </c>
      <c r="B70" s="119" t="s">
        <v>8</v>
      </c>
      <c r="C70" s="120">
        <v>0.2</v>
      </c>
      <c r="D70" s="104">
        <f t="shared" ref="D70:D77" si="0">ROUND($D$43*C70,2)</f>
        <v>152.74</v>
      </c>
    </row>
    <row r="71" spans="1:7">
      <c r="A71" s="105" t="s">
        <v>259</v>
      </c>
      <c r="B71" s="121" t="s">
        <v>309</v>
      </c>
      <c r="C71" s="122">
        <v>1.4999999999999999E-2</v>
      </c>
      <c r="D71" s="107">
        <f t="shared" si="0"/>
        <v>11.46</v>
      </c>
    </row>
    <row r="72" spans="1:7">
      <c r="A72" s="191" t="s">
        <v>261</v>
      </c>
      <c r="B72" s="123" t="s">
        <v>310</v>
      </c>
      <c r="C72" s="122">
        <v>0.01</v>
      </c>
      <c r="D72" s="107">
        <f t="shared" si="0"/>
        <v>7.64</v>
      </c>
    </row>
    <row r="73" spans="1:7">
      <c r="A73" s="105" t="s">
        <v>263</v>
      </c>
      <c r="B73" s="121" t="s">
        <v>9</v>
      </c>
      <c r="C73" s="122">
        <v>2E-3</v>
      </c>
      <c r="D73" s="107">
        <f t="shared" si="0"/>
        <v>1.53</v>
      </c>
    </row>
    <row r="74" spans="1:7">
      <c r="A74" s="191" t="s">
        <v>284</v>
      </c>
      <c r="B74" s="123" t="s">
        <v>10</v>
      </c>
      <c r="C74" s="122">
        <v>2.5000000000000001E-2</v>
      </c>
      <c r="D74" s="107">
        <f t="shared" si="0"/>
        <v>19.09</v>
      </c>
    </row>
    <row r="75" spans="1:7">
      <c r="A75" s="105" t="s">
        <v>286</v>
      </c>
      <c r="B75" s="121" t="s">
        <v>11</v>
      </c>
      <c r="C75" s="122">
        <v>0.08</v>
      </c>
      <c r="D75" s="107">
        <f t="shared" si="0"/>
        <v>61.1</v>
      </c>
    </row>
    <row r="76" spans="1:7" ht="31.5">
      <c r="A76" s="191" t="s">
        <v>288</v>
      </c>
      <c r="B76" s="123" t="s">
        <v>378</v>
      </c>
      <c r="C76" s="141">
        <v>3.0499999999999999E-2</v>
      </c>
      <c r="D76" s="245">
        <f t="shared" si="0"/>
        <v>23.29</v>
      </c>
    </row>
    <row r="77" spans="1:7" ht="16.5" thickBot="1">
      <c r="A77" s="124" t="s">
        <v>290</v>
      </c>
      <c r="B77" s="125" t="s">
        <v>12</v>
      </c>
      <c r="C77" s="126">
        <v>6.0000000000000001E-3</v>
      </c>
      <c r="D77" s="110">
        <f t="shared" si="0"/>
        <v>4.58</v>
      </c>
    </row>
    <row r="78" spans="1:7" ht="16.5" thickBot="1">
      <c r="A78" s="530" t="s">
        <v>7</v>
      </c>
      <c r="B78" s="531"/>
      <c r="C78" s="127">
        <f>SUM(C70:C77)</f>
        <v>0.36850000000000005</v>
      </c>
      <c r="D78" s="113">
        <f>SUM(D70:D77)</f>
        <v>281.43</v>
      </c>
    </row>
    <row r="79" spans="1:7">
      <c r="A79" s="534" t="s">
        <v>311</v>
      </c>
      <c r="B79" s="534"/>
      <c r="C79" s="534"/>
      <c r="D79" s="534"/>
    </row>
    <row r="80" spans="1:7" ht="16.5" customHeight="1">
      <c r="A80" s="534" t="s">
        <v>312</v>
      </c>
      <c r="B80" s="534"/>
      <c r="C80" s="534"/>
      <c r="D80" s="534"/>
    </row>
    <row r="81" spans="1:7">
      <c r="A81" s="190"/>
    </row>
    <row r="82" spans="1:7" ht="16.5" thickBot="1">
      <c r="A82" s="523" t="s">
        <v>313</v>
      </c>
      <c r="B82" s="523"/>
      <c r="C82" s="523"/>
      <c r="D82" s="523"/>
      <c r="E82" s="523"/>
      <c r="F82" s="523"/>
      <c r="G82" s="523"/>
    </row>
    <row r="83" spans="1:7" ht="16.5" thickBot="1">
      <c r="A83" s="117" t="s">
        <v>314</v>
      </c>
      <c r="B83" s="118" t="s">
        <v>315</v>
      </c>
      <c r="C83" s="117" t="s">
        <v>4</v>
      </c>
      <c r="D83" s="117" t="s">
        <v>279</v>
      </c>
    </row>
    <row r="84" spans="1:7">
      <c r="A84" s="82" t="s">
        <v>257</v>
      </c>
      <c r="B84" s="119" t="s">
        <v>316</v>
      </c>
      <c r="C84" s="120">
        <f>((5/56)*100)/100</f>
        <v>8.9285714285714288E-2</v>
      </c>
      <c r="D84" s="104">
        <f>ROUND($D$43*C84,2)</f>
        <v>68.19</v>
      </c>
    </row>
    <row r="85" spans="1:7">
      <c r="A85" s="105" t="s">
        <v>259</v>
      </c>
      <c r="B85" s="121" t="s">
        <v>317</v>
      </c>
      <c r="C85" s="128">
        <f>(1/3)*(5/56)</f>
        <v>2.976190476190476E-2</v>
      </c>
      <c r="D85" s="129">
        <f>ROUND($D$43*C85,2)</f>
        <v>22.73</v>
      </c>
    </row>
    <row r="86" spans="1:7">
      <c r="A86" s="130" t="s">
        <v>318</v>
      </c>
      <c r="B86" s="121"/>
      <c r="C86" s="131">
        <f>SUM(C84:C85)</f>
        <v>0.11904761904761904</v>
      </c>
      <c r="D86" s="132">
        <f>SUM(D84:D85)</f>
        <v>90.92</v>
      </c>
    </row>
    <row r="87" spans="1:7" ht="32.25" thickBot="1">
      <c r="A87" s="105" t="s">
        <v>261</v>
      </c>
      <c r="B87" s="121" t="s">
        <v>319</v>
      </c>
      <c r="C87" s="122">
        <f>D87/D43</f>
        <v>4.3865392169700139E-2</v>
      </c>
      <c r="D87" s="107">
        <f>ROUND(D78*C86,2)</f>
        <v>33.5</v>
      </c>
    </row>
    <row r="88" spans="1:7" ht="16.5" thickBot="1">
      <c r="A88" s="530" t="s">
        <v>7</v>
      </c>
      <c r="B88" s="531"/>
      <c r="C88" s="127">
        <f>C87+C86</f>
        <v>0.16291301121731919</v>
      </c>
      <c r="D88" s="113">
        <f>D86+D87</f>
        <v>124.42</v>
      </c>
    </row>
    <row r="89" spans="1:7">
      <c r="A89" s="190"/>
    </row>
    <row r="90" spans="1:7" ht="16.5" thickBot="1">
      <c r="A90" s="523" t="s">
        <v>320</v>
      </c>
      <c r="B90" s="523"/>
      <c r="C90" s="523"/>
      <c r="D90" s="523"/>
      <c r="E90" s="523"/>
      <c r="F90" s="523"/>
      <c r="G90" s="523"/>
    </row>
    <row r="91" spans="1:7" ht="16.5" thickBot="1">
      <c r="A91" s="117" t="s">
        <v>321</v>
      </c>
      <c r="B91" s="118" t="s">
        <v>322</v>
      </c>
      <c r="C91" s="117" t="s">
        <v>4</v>
      </c>
      <c r="D91" s="117" t="s">
        <v>279</v>
      </c>
    </row>
    <row r="92" spans="1:7">
      <c r="A92" s="82" t="s">
        <v>257</v>
      </c>
      <c r="B92" s="133" t="s">
        <v>323</v>
      </c>
      <c r="C92" s="120">
        <f>0.1111*0.02*0.3333</f>
        <v>7.4059259999999997E-4</v>
      </c>
      <c r="D92" s="104">
        <f>ROUND($D$43*C92,2)</f>
        <v>0.56999999999999995</v>
      </c>
    </row>
    <row r="93" spans="1:7" ht="32.25" thickBot="1">
      <c r="A93" s="109" t="s">
        <v>259</v>
      </c>
      <c r="B93" s="134" t="s">
        <v>324</v>
      </c>
      <c r="C93" s="126">
        <f>D93/D43</f>
        <v>2.7497708524289638E-4</v>
      </c>
      <c r="D93" s="110">
        <f>ROUND(D78*C92,2)</f>
        <v>0.21</v>
      </c>
    </row>
    <row r="94" spans="1:7" ht="16.5" thickBot="1">
      <c r="A94" s="530" t="s">
        <v>7</v>
      </c>
      <c r="B94" s="531"/>
      <c r="C94" s="127">
        <f>SUM(C92:C93)</f>
        <v>1.0155696852428963E-3</v>
      </c>
      <c r="D94" s="113">
        <f>SUM(D92:D93)</f>
        <v>0.77999999999999992</v>
      </c>
    </row>
    <row r="95" spans="1:7">
      <c r="A95" s="190"/>
    </row>
    <row r="96" spans="1:7">
      <c r="A96" s="190"/>
    </row>
    <row r="97" spans="1:7" ht="16.5" thickBot="1">
      <c r="A97" s="523" t="s">
        <v>325</v>
      </c>
      <c r="B97" s="523"/>
      <c r="C97" s="523"/>
      <c r="D97" s="523"/>
      <c r="E97" s="523"/>
      <c r="F97" s="523"/>
      <c r="G97" s="523"/>
    </row>
    <row r="98" spans="1:7" ht="16.5" thickBot="1">
      <c r="A98" s="117" t="s">
        <v>326</v>
      </c>
      <c r="B98" s="118" t="s">
        <v>327</v>
      </c>
      <c r="C98" s="117" t="s">
        <v>4</v>
      </c>
      <c r="D98" s="117" t="s">
        <v>279</v>
      </c>
    </row>
    <row r="99" spans="1:7">
      <c r="A99" s="82" t="s">
        <v>257</v>
      </c>
      <c r="B99" s="133" t="s">
        <v>328</v>
      </c>
      <c r="C99" s="135">
        <f>((1/12)*0.05)</f>
        <v>4.1666666666666666E-3</v>
      </c>
      <c r="D99" s="104">
        <f>ROUND($D$43*C99,2)</f>
        <v>3.18</v>
      </c>
    </row>
    <row r="100" spans="1:7" ht="31.5">
      <c r="A100" s="191" t="s">
        <v>259</v>
      </c>
      <c r="B100" s="91" t="s">
        <v>329</v>
      </c>
      <c r="C100" s="136">
        <f>D100/D43</f>
        <v>3.2735367290821001E-4</v>
      </c>
      <c r="D100" s="137">
        <f>ROUND(D75*C99,2)</f>
        <v>0.25</v>
      </c>
    </row>
    <row r="101" spans="1:7">
      <c r="A101" s="191" t="s">
        <v>261</v>
      </c>
      <c r="B101" s="138" t="s">
        <v>330</v>
      </c>
      <c r="C101" s="139">
        <f>0.08*0.5*0.9*(1+(5/56)+(5/56)+(1/3)*(5/56))</f>
        <v>4.3499999999999997E-2</v>
      </c>
      <c r="D101" s="107">
        <f>ROUND($D$43*C101,2)</f>
        <v>33.22</v>
      </c>
    </row>
    <row r="102" spans="1:7">
      <c r="A102" s="191" t="s">
        <v>263</v>
      </c>
      <c r="B102" s="138" t="s">
        <v>331</v>
      </c>
      <c r="C102" s="140">
        <f>(((7/30)/12))</f>
        <v>1.9444444444444445E-2</v>
      </c>
      <c r="D102" s="107">
        <f>ROUND($D$43*C102,2)</f>
        <v>14.85</v>
      </c>
    </row>
    <row r="103" spans="1:7" ht="31.5">
      <c r="A103" s="191" t="s">
        <v>284</v>
      </c>
      <c r="B103" s="138" t="s">
        <v>332</v>
      </c>
      <c r="C103" s="141">
        <f>D103/D43</f>
        <v>7.1624983632316347E-3</v>
      </c>
      <c r="D103" s="107">
        <f>ROUND(D78*C102,2)</f>
        <v>5.47</v>
      </c>
    </row>
    <row r="104" spans="1:7" ht="16.5" thickBot="1">
      <c r="A104" s="109" t="s">
        <v>286</v>
      </c>
      <c r="B104" s="134" t="s">
        <v>333</v>
      </c>
      <c r="C104" s="142">
        <f>(40%+10%)*C75*C102</f>
        <v>7.7777777777777784E-4</v>
      </c>
      <c r="D104" s="107">
        <f>ROUND($D$43*C104,2)</f>
        <v>0.59</v>
      </c>
    </row>
    <row r="105" spans="1:7" ht="16.5" thickBot="1">
      <c r="A105" s="525" t="s">
        <v>7</v>
      </c>
      <c r="B105" s="526"/>
      <c r="C105" s="127">
        <f>SUM(C99:C104)</f>
        <v>7.5378740925028734E-2</v>
      </c>
      <c r="D105" s="143">
        <f>SUM(D99:D104)</f>
        <v>57.56</v>
      </c>
    </row>
    <row r="106" spans="1:7">
      <c r="A106" s="71"/>
    </row>
    <row r="107" spans="1:7" ht="16.5" thickBot="1">
      <c r="A107" s="523" t="s">
        <v>334</v>
      </c>
      <c r="B107" s="523"/>
      <c r="C107" s="523"/>
      <c r="D107" s="523"/>
      <c r="E107" s="523"/>
      <c r="F107" s="523"/>
      <c r="G107" s="523"/>
    </row>
    <row r="108" spans="1:7" ht="32.25" thickBot="1">
      <c r="A108" s="117" t="s">
        <v>335</v>
      </c>
      <c r="B108" s="118" t="s">
        <v>336</v>
      </c>
      <c r="C108" s="117" t="s">
        <v>4</v>
      </c>
      <c r="D108" s="117" t="s">
        <v>279</v>
      </c>
    </row>
    <row r="109" spans="1:7">
      <c r="A109" s="82" t="s">
        <v>257</v>
      </c>
      <c r="B109" s="133" t="s">
        <v>13</v>
      </c>
      <c r="C109" s="144">
        <f>(5/56)</f>
        <v>8.9285714285714288E-2</v>
      </c>
      <c r="D109" s="107">
        <f t="shared" ref="D109:D114" si="1">ROUND($D$43*C109,2)</f>
        <v>68.19</v>
      </c>
    </row>
    <row r="110" spans="1:7">
      <c r="A110" s="191" t="s">
        <v>259</v>
      </c>
      <c r="B110" s="138" t="s">
        <v>379</v>
      </c>
      <c r="C110" s="122">
        <f>(10.96/30)/12</f>
        <v>3.0444444444444444E-2</v>
      </c>
      <c r="D110" s="107">
        <f t="shared" si="1"/>
        <v>23.25</v>
      </c>
      <c r="E110" s="184"/>
    </row>
    <row r="111" spans="1:7">
      <c r="A111" s="191" t="s">
        <v>261</v>
      </c>
      <c r="B111" s="138" t="s">
        <v>337</v>
      </c>
      <c r="C111" s="122">
        <f>((5/30)/12)*0.015</f>
        <v>2.0833333333333332E-4</v>
      </c>
      <c r="D111" s="107">
        <f t="shared" si="1"/>
        <v>0.16</v>
      </c>
    </row>
    <row r="112" spans="1:7">
      <c r="A112" s="191" t="s">
        <v>263</v>
      </c>
      <c r="B112" s="138" t="s">
        <v>338</v>
      </c>
      <c r="C112" s="122">
        <f>((1/30)/12)</f>
        <v>2.7777777777777779E-3</v>
      </c>
      <c r="D112" s="107">
        <f t="shared" si="1"/>
        <v>2.12</v>
      </c>
    </row>
    <row r="113" spans="1:7">
      <c r="A113" s="191" t="s">
        <v>284</v>
      </c>
      <c r="B113" s="138" t="s">
        <v>339</v>
      </c>
      <c r="C113" s="122">
        <f>((15/30)/12)*0.0078</f>
        <v>3.2499999999999999E-4</v>
      </c>
      <c r="D113" s="107">
        <f t="shared" si="1"/>
        <v>0.25</v>
      </c>
    </row>
    <row r="114" spans="1:7">
      <c r="A114" s="191" t="s">
        <v>286</v>
      </c>
      <c r="B114" s="138" t="s">
        <v>291</v>
      </c>
      <c r="C114" s="145"/>
      <c r="D114" s="107">
        <f t="shared" si="1"/>
        <v>0</v>
      </c>
    </row>
    <row r="115" spans="1:7">
      <c r="A115" s="532" t="s">
        <v>318</v>
      </c>
      <c r="B115" s="533"/>
      <c r="C115" s="122">
        <f>SUM(C109:C114)</f>
        <v>0.12304126984126985</v>
      </c>
      <c r="D115" s="107">
        <f>SUM(D109:D114)</f>
        <v>93.97</v>
      </c>
    </row>
    <row r="116" spans="1:7" ht="32.25" thickBot="1">
      <c r="A116" s="109" t="s">
        <v>288</v>
      </c>
      <c r="B116" s="134" t="s">
        <v>340</v>
      </c>
      <c r="C116" s="142">
        <f>D116/$D$43</f>
        <v>4.5345030771245257E-2</v>
      </c>
      <c r="D116" s="107">
        <f>ROUND(D78*C115,2)</f>
        <v>34.630000000000003</v>
      </c>
    </row>
    <row r="117" spans="1:7" ht="16.5" thickBot="1">
      <c r="A117" s="525" t="s">
        <v>7</v>
      </c>
      <c r="B117" s="526"/>
      <c r="C117" s="127">
        <f>C116+C115</f>
        <v>0.16838630061251511</v>
      </c>
      <c r="D117" s="146">
        <f>D116+D115</f>
        <v>128.6</v>
      </c>
    </row>
    <row r="118" spans="1:7">
      <c r="A118" s="190" t="s">
        <v>341</v>
      </c>
    </row>
    <row r="119" spans="1:7" ht="16.5" thickBot="1">
      <c r="A119" s="522" t="s">
        <v>342</v>
      </c>
      <c r="B119" s="522"/>
      <c r="C119" s="522"/>
      <c r="D119" s="522"/>
      <c r="E119" s="522"/>
      <c r="F119" s="522"/>
      <c r="G119" s="522"/>
    </row>
    <row r="120" spans="1:7" ht="32.25" customHeight="1" thickBot="1">
      <c r="A120" s="147">
        <v>4</v>
      </c>
      <c r="B120" s="148" t="s">
        <v>343</v>
      </c>
      <c r="C120" s="149" t="s">
        <v>4</v>
      </c>
      <c r="D120" s="150" t="s">
        <v>279</v>
      </c>
    </row>
    <row r="121" spans="1:7">
      <c r="A121" s="82" t="s">
        <v>307</v>
      </c>
      <c r="B121" s="133" t="s">
        <v>344</v>
      </c>
      <c r="C121" s="142">
        <f t="shared" ref="C121:C126" si="2">D121/$D$43</f>
        <v>0.16291737593295796</v>
      </c>
      <c r="D121" s="107">
        <f>D88</f>
        <v>124.42</v>
      </c>
    </row>
    <row r="122" spans="1:7">
      <c r="A122" s="191" t="s">
        <v>314</v>
      </c>
      <c r="B122" s="138" t="s">
        <v>308</v>
      </c>
      <c r="C122" s="142">
        <f t="shared" si="2"/>
        <v>0.36850857666623016</v>
      </c>
      <c r="D122" s="107">
        <f>D78</f>
        <v>281.43</v>
      </c>
    </row>
    <row r="123" spans="1:7">
      <c r="A123" s="191" t="s">
        <v>321</v>
      </c>
      <c r="B123" s="138" t="s">
        <v>323</v>
      </c>
      <c r="C123" s="142">
        <f t="shared" si="2"/>
        <v>1.021343459473615E-3</v>
      </c>
      <c r="D123" s="107">
        <f>D94</f>
        <v>0.77999999999999992</v>
      </c>
    </row>
    <row r="124" spans="1:7">
      <c r="A124" s="151" t="s">
        <v>326</v>
      </c>
      <c r="B124" s="152" t="s">
        <v>345</v>
      </c>
      <c r="C124" s="142">
        <f t="shared" si="2"/>
        <v>7.5369909650386271E-2</v>
      </c>
      <c r="D124" s="107">
        <f>D105</f>
        <v>57.56</v>
      </c>
    </row>
    <row r="125" spans="1:7">
      <c r="A125" s="153" t="s">
        <v>335</v>
      </c>
      <c r="B125" s="154" t="s">
        <v>346</v>
      </c>
      <c r="C125" s="142">
        <f t="shared" si="2"/>
        <v>0.16839072934398322</v>
      </c>
      <c r="D125" s="107">
        <f>D117</f>
        <v>128.6</v>
      </c>
    </row>
    <row r="126" spans="1:7" ht="16.5" thickBot="1">
      <c r="A126" s="191" t="s">
        <v>347</v>
      </c>
      <c r="B126" s="138" t="s">
        <v>291</v>
      </c>
      <c r="C126" s="142">
        <f t="shared" si="2"/>
        <v>0</v>
      </c>
      <c r="D126" s="107">
        <v>0</v>
      </c>
    </row>
    <row r="127" spans="1:7" ht="37.5" customHeight="1" thickBot="1">
      <c r="A127" s="530" t="s">
        <v>348</v>
      </c>
      <c r="B127" s="531"/>
      <c r="C127" s="127">
        <f>SUM(C121:C126)</f>
        <v>0.77620793505303121</v>
      </c>
      <c r="D127" s="113">
        <f>SUM(D121:D126)</f>
        <v>592.79</v>
      </c>
    </row>
    <row r="128" spans="1:7">
      <c r="A128" s="155"/>
      <c r="B128" s="155"/>
      <c r="C128" s="156"/>
      <c r="D128" s="157"/>
      <c r="E128" s="158"/>
      <c r="F128" s="159"/>
      <c r="G128" s="159"/>
    </row>
    <row r="129" spans="1:8" ht="16.5" thickBot="1">
      <c r="A129" s="522" t="s">
        <v>349</v>
      </c>
      <c r="B129" s="522"/>
      <c r="C129" s="522"/>
      <c r="D129" s="522"/>
      <c r="E129" s="522"/>
      <c r="F129" s="522"/>
      <c r="G129" s="522"/>
      <c r="H129" s="160"/>
    </row>
    <row r="130" spans="1:8" ht="16.5" thickBot="1">
      <c r="A130" s="147" t="s">
        <v>350</v>
      </c>
      <c r="B130" s="148" t="s">
        <v>351</v>
      </c>
      <c r="C130" s="149" t="s">
        <v>4</v>
      </c>
      <c r="D130" s="114" t="s">
        <v>279</v>
      </c>
      <c r="E130" s="161">
        <f>D43+D54+D64+D78+D88+D94+D105+D117</f>
        <v>1858.9680000000001</v>
      </c>
      <c r="G130" s="160"/>
    </row>
    <row r="131" spans="1:8">
      <c r="A131" s="82" t="s">
        <v>257</v>
      </c>
      <c r="B131" s="133" t="s">
        <v>352</v>
      </c>
      <c r="C131" s="162">
        <v>7.2075E-2</v>
      </c>
      <c r="D131" s="163">
        <f>E130*C131</f>
        <v>133.98511859999999</v>
      </c>
      <c r="G131" s="160"/>
    </row>
    <row r="132" spans="1:8">
      <c r="A132" s="191" t="s">
        <v>259</v>
      </c>
      <c r="B132" s="138" t="s">
        <v>353</v>
      </c>
      <c r="C132" s="142"/>
      <c r="D132" s="164"/>
      <c r="F132" s="165"/>
    </row>
    <row r="133" spans="1:8">
      <c r="A133" s="191"/>
      <c r="B133" s="138" t="s">
        <v>354</v>
      </c>
      <c r="C133" s="142"/>
      <c r="D133" s="129"/>
      <c r="F133" s="182"/>
      <c r="G133" s="160"/>
    </row>
    <row r="134" spans="1:8">
      <c r="A134" s="191"/>
      <c r="B134" s="138" t="s">
        <v>355</v>
      </c>
      <c r="C134" s="142">
        <v>7.5999999999999998E-2</v>
      </c>
      <c r="D134" s="107">
        <f>$D$152*C134</f>
        <v>175.06379264997167</v>
      </c>
      <c r="E134" s="165">
        <f>D152</f>
        <v>2303.4709559206799</v>
      </c>
      <c r="G134" s="160"/>
    </row>
    <row r="135" spans="1:8">
      <c r="A135" s="191"/>
      <c r="B135" s="138" t="s">
        <v>356</v>
      </c>
      <c r="C135" s="142">
        <v>1.6500000000000001E-2</v>
      </c>
      <c r="D135" s="107">
        <f>$D$152*C135</f>
        <v>38.007270772691221</v>
      </c>
      <c r="E135" s="246"/>
      <c r="G135" s="160"/>
    </row>
    <row r="136" spans="1:8">
      <c r="A136" s="191"/>
      <c r="B136" s="138" t="s">
        <v>357</v>
      </c>
      <c r="C136" s="142"/>
      <c r="D136" s="107"/>
    </row>
    <row r="137" spans="1:8">
      <c r="A137" s="191"/>
      <c r="B137" s="138" t="s">
        <v>358</v>
      </c>
      <c r="C137" s="142">
        <v>2.5000000000000001E-2</v>
      </c>
      <c r="D137" s="107">
        <f>$D$152*C137</f>
        <v>57.586773898017</v>
      </c>
      <c r="G137" s="160"/>
    </row>
    <row r="138" spans="1:8">
      <c r="A138" s="191"/>
      <c r="B138" s="138" t="s">
        <v>359</v>
      </c>
      <c r="C138" s="142"/>
      <c r="D138" s="107"/>
    </row>
    <row r="139" spans="1:8" ht="16.5" thickBot="1">
      <c r="A139" s="191" t="s">
        <v>261</v>
      </c>
      <c r="B139" s="138" t="s">
        <v>360</v>
      </c>
      <c r="C139" s="142">
        <v>0.02</v>
      </c>
      <c r="D139" s="107">
        <f>ROUND(E139*C139,2)</f>
        <v>39.86</v>
      </c>
      <c r="E139" s="132">
        <f>E130+D131</f>
        <v>1992.9531186000002</v>
      </c>
    </row>
    <row r="140" spans="1:8" ht="33" customHeight="1" thickBot="1">
      <c r="A140" s="527" t="s">
        <v>361</v>
      </c>
      <c r="B140" s="528"/>
      <c r="C140" s="529"/>
      <c r="D140" s="166">
        <f>D131+D134+D135+D137+D139</f>
        <v>444.50295592067988</v>
      </c>
    </row>
    <row r="141" spans="1:8">
      <c r="A141" s="522" t="s">
        <v>362</v>
      </c>
      <c r="B141" s="522"/>
      <c r="C141" s="522"/>
      <c r="D141" s="522"/>
      <c r="E141" s="522"/>
      <c r="F141" s="522"/>
      <c r="G141" s="522"/>
    </row>
    <row r="142" spans="1:8">
      <c r="A142" s="522" t="s">
        <v>363</v>
      </c>
      <c r="B142" s="522"/>
      <c r="C142" s="522"/>
      <c r="D142" s="522"/>
      <c r="E142" s="522"/>
      <c r="F142" s="522"/>
      <c r="G142" s="522"/>
    </row>
    <row r="143" spans="1:8">
      <c r="A143" s="190"/>
    </row>
    <row r="144" spans="1:8" ht="16.5" thickBot="1">
      <c r="A144" s="523" t="s">
        <v>364</v>
      </c>
      <c r="B144" s="523"/>
      <c r="C144" s="523"/>
      <c r="D144" s="523"/>
      <c r="E144" s="523"/>
      <c r="F144" s="523"/>
      <c r="G144" s="523"/>
    </row>
    <row r="145" spans="1:8" ht="32.25" customHeight="1" thickBot="1">
      <c r="A145" s="147"/>
      <c r="B145" s="524" t="s">
        <v>365</v>
      </c>
      <c r="C145" s="524"/>
      <c r="D145" s="167" t="s">
        <v>366</v>
      </c>
    </row>
    <row r="146" spans="1:8">
      <c r="A146" s="191" t="s">
        <v>257</v>
      </c>
      <c r="B146" s="138" t="s">
        <v>367</v>
      </c>
      <c r="C146" s="122">
        <f t="shared" ref="C146:C151" si="3">D146/$D$152</f>
        <v>0.33154314276767383</v>
      </c>
      <c r="D146" s="129">
        <f>D43</f>
        <v>763.7</v>
      </c>
    </row>
    <row r="147" spans="1:8">
      <c r="A147" s="191" t="s">
        <v>259</v>
      </c>
      <c r="B147" s="138" t="s">
        <v>368</v>
      </c>
      <c r="C147" s="122">
        <f t="shared" si="3"/>
        <v>0.20099146412503874</v>
      </c>
      <c r="D147" s="129">
        <f>D54</f>
        <v>462.97800000000001</v>
      </c>
    </row>
    <row r="148" spans="1:8" ht="31.5">
      <c r="A148" s="191" t="s">
        <v>261</v>
      </c>
      <c r="B148" s="138" t="s">
        <v>369</v>
      </c>
      <c r="C148" s="122">
        <f t="shared" si="3"/>
        <v>1.7148034750979594E-2</v>
      </c>
      <c r="D148" s="129">
        <f>D64</f>
        <v>39.5</v>
      </c>
      <c r="E148" s="165">
        <f>D150+D131+D139</f>
        <v>2032.8131186000001</v>
      </c>
    </row>
    <row r="149" spans="1:8" ht="31.5">
      <c r="A149" s="191" t="s">
        <v>263</v>
      </c>
      <c r="B149" s="138" t="s">
        <v>370</v>
      </c>
      <c r="C149" s="122">
        <f t="shared" si="3"/>
        <v>0.25734641822868842</v>
      </c>
      <c r="D149" s="129">
        <f>D127</f>
        <v>592.79</v>
      </c>
      <c r="E149" s="174">
        <f>C137+C135+C134</f>
        <v>0.11749999999999999</v>
      </c>
    </row>
    <row r="150" spans="1:8" ht="16.5" customHeight="1">
      <c r="A150" s="168" t="s">
        <v>371</v>
      </c>
      <c r="B150" s="169"/>
      <c r="C150" s="131">
        <f t="shared" si="3"/>
        <v>0.80702905987238061</v>
      </c>
      <c r="D150" s="170">
        <f>SUM(D146:D149)</f>
        <v>1858.9680000000001</v>
      </c>
      <c r="E150" s="174">
        <f>100%-E149</f>
        <v>0.88250000000000006</v>
      </c>
    </row>
    <row r="151" spans="1:8" ht="32.25" thickBot="1">
      <c r="A151" s="191" t="s">
        <v>284</v>
      </c>
      <c r="B151" s="138" t="s">
        <v>372</v>
      </c>
      <c r="C151" s="122">
        <f t="shared" si="3"/>
        <v>0.19297094012761945</v>
      </c>
      <c r="D151" s="129">
        <f>D140</f>
        <v>444.50295592067988</v>
      </c>
      <c r="G151" s="171"/>
    </row>
    <row r="152" spans="1:8" ht="16.5" customHeight="1" thickBot="1">
      <c r="A152" s="525" t="s">
        <v>373</v>
      </c>
      <c r="B152" s="526"/>
      <c r="C152" s="127">
        <f>C151+C150</f>
        <v>1</v>
      </c>
      <c r="D152" s="166">
        <f>(D150+D139+D131)/0.8825</f>
        <v>2303.4709559206799</v>
      </c>
      <c r="E152" s="171"/>
      <c r="F152" s="165">
        <f>D150+D151</f>
        <v>2303.4709559206799</v>
      </c>
      <c r="H152" s="172"/>
    </row>
    <row r="153" spans="1:8">
      <c r="E153" s="171"/>
    </row>
    <row r="154" spans="1:8">
      <c r="A154" s="186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1.299212598425197" right="0.51181102362204722" top="2.1653543307086616" bottom="0.98425196850393704" header="0.31496062992125984" footer="0.31496062992125984"/>
  <pageSetup paperSize="9" scale="79" fitToHeight="4" orientation="portrait" r:id="rId1"/>
  <headerFooter alignWithMargins="0"/>
  <rowBreaks count="3" manualBreakCount="3">
    <brk id="43" max="3" man="1"/>
    <brk id="88" max="3" man="1"/>
    <brk id="1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34</vt:i4>
      </vt:variant>
      <vt:variant>
        <vt:lpstr>Intervalos nomeados</vt:lpstr>
      </vt:variant>
      <vt:variant>
        <vt:i4>37</vt:i4>
      </vt:variant>
    </vt:vector>
  </HeadingPairs>
  <TitlesOfParts>
    <vt:vector size="71" baseType="lpstr">
      <vt:lpstr>Alterações 2016</vt:lpstr>
      <vt:lpstr>ISS - VT</vt:lpstr>
      <vt:lpstr>Resumo PARCIAL</vt:lpstr>
      <vt:lpstr>1-A</vt:lpstr>
      <vt:lpstr>2-A</vt:lpstr>
      <vt:lpstr>3-A</vt:lpstr>
      <vt:lpstr>4-A</vt:lpstr>
      <vt:lpstr>5-A</vt:lpstr>
      <vt:lpstr>6-A</vt:lpstr>
      <vt:lpstr>7-A</vt:lpstr>
      <vt:lpstr>8-A</vt:lpstr>
      <vt:lpstr>9-A</vt:lpstr>
      <vt:lpstr>10-A</vt:lpstr>
      <vt:lpstr>11-A</vt:lpstr>
      <vt:lpstr>12-A</vt:lpstr>
      <vt:lpstr>13-A</vt:lpstr>
      <vt:lpstr>14-A</vt:lpstr>
      <vt:lpstr>15-A</vt:lpstr>
      <vt:lpstr>16-A</vt:lpstr>
      <vt:lpstr>17-A</vt:lpstr>
      <vt:lpstr>18-A</vt:lpstr>
      <vt:lpstr>19-A</vt:lpstr>
      <vt:lpstr>20-A</vt:lpstr>
      <vt:lpstr>21-A</vt:lpstr>
      <vt:lpstr>22-A</vt:lpstr>
      <vt:lpstr>23-A</vt:lpstr>
      <vt:lpstr>24-A</vt:lpstr>
      <vt:lpstr>25-A</vt:lpstr>
      <vt:lpstr>26-A</vt:lpstr>
      <vt:lpstr>27-A</vt:lpstr>
      <vt:lpstr>28-A</vt:lpstr>
      <vt:lpstr>29-A</vt:lpstr>
      <vt:lpstr>Equipamentos</vt:lpstr>
      <vt:lpstr>ANEXO IV</vt:lpstr>
      <vt:lpstr>'10-A'!Area_de_impressao</vt:lpstr>
      <vt:lpstr>'11-A'!Area_de_impressao</vt:lpstr>
      <vt:lpstr>'12-A'!Area_de_impressao</vt:lpstr>
      <vt:lpstr>'13-A'!Area_de_impressao</vt:lpstr>
      <vt:lpstr>'14-A'!Area_de_impressao</vt:lpstr>
      <vt:lpstr>'15-A'!Area_de_impressao</vt:lpstr>
      <vt:lpstr>'16-A'!Area_de_impressao</vt:lpstr>
      <vt:lpstr>'17-A'!Area_de_impressao</vt:lpstr>
      <vt:lpstr>'18-A'!Area_de_impressao</vt:lpstr>
      <vt:lpstr>'19-A'!Area_de_impressao</vt:lpstr>
      <vt:lpstr>'1-A'!Area_de_impressao</vt:lpstr>
      <vt:lpstr>'20-A'!Area_de_impressao</vt:lpstr>
      <vt:lpstr>'21-A'!Area_de_impressao</vt:lpstr>
      <vt:lpstr>'22-A'!Area_de_impressao</vt:lpstr>
      <vt:lpstr>'23-A'!Area_de_impressao</vt:lpstr>
      <vt:lpstr>'24-A'!Area_de_impressao</vt:lpstr>
      <vt:lpstr>'25-A'!Area_de_impressao</vt:lpstr>
      <vt:lpstr>'26-A'!Area_de_impressao</vt:lpstr>
      <vt:lpstr>'27-A'!Area_de_impressao</vt:lpstr>
      <vt:lpstr>'28-A'!Area_de_impressao</vt:lpstr>
      <vt:lpstr>'29-A'!Area_de_impressao</vt:lpstr>
      <vt:lpstr>'2-A'!Area_de_impressao</vt:lpstr>
      <vt:lpstr>'3-A'!Area_de_impressao</vt:lpstr>
      <vt:lpstr>'4-A'!Area_de_impressao</vt:lpstr>
      <vt:lpstr>'5-A'!Area_de_impressao</vt:lpstr>
      <vt:lpstr>'6-A'!Area_de_impressao</vt:lpstr>
      <vt:lpstr>'7-A'!Area_de_impressao</vt:lpstr>
      <vt:lpstr>'8-A'!Area_de_impressao</vt:lpstr>
      <vt:lpstr>'9-A'!Area_de_impressao</vt:lpstr>
      <vt:lpstr>'ANEXO IV'!Area_de_impressao</vt:lpstr>
      <vt:lpstr>Equipamentos!Area_de_impressao</vt:lpstr>
      <vt:lpstr>'ISS - VT'!Area_de_impressao</vt:lpstr>
      <vt:lpstr>'Resumo PARCIAL'!Area_de_impressao</vt:lpstr>
      <vt:lpstr>Cidades</vt:lpstr>
      <vt:lpstr>Escala</vt:lpstr>
      <vt:lpstr>Serviços</vt:lpstr>
      <vt:lpstr>Servíços</vt:lpstr>
    </vt:vector>
  </TitlesOfParts>
  <Company>ONDREPSB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Ondrepsb</dc:creator>
  <cp:lastModifiedBy>IFPR</cp:lastModifiedBy>
  <cp:lastPrinted>2016-07-11T14:14:41Z</cp:lastPrinted>
  <dcterms:created xsi:type="dcterms:W3CDTF">2007-08-03T17:01:23Z</dcterms:created>
  <dcterms:modified xsi:type="dcterms:W3CDTF">2017-09-29T20:38:36Z</dcterms:modified>
</cp:coreProperties>
</file>