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05" tabRatio="902" activeTab="4"/>
  </bookViews>
  <sheets>
    <sheet name="iss" sheetId="116" r:id="rId1"/>
    <sheet name="INSUMOS" sheetId="117" r:id="rId2"/>
    <sheet name="base" sheetId="106" r:id="rId3"/>
    <sheet name="PROPOSTA DE PREÇO" sheetId="102" r:id="rId4"/>
    <sheet name="PROPOSTA DE PREÇO (2)" sheetId="132" r:id="rId5"/>
    <sheet name="CWB-12X36-NOTURNO- 2º A DOM   " sheetId="1" r:id="rId6"/>
    <sheet name="CWB-12X36-DIURNO- 2º A DOM   " sheetId="7" r:id="rId7"/>
    <sheet name="CWB- SDF 24 24HORAS" sheetId="94" r:id="rId8"/>
    <sheet name="ASSIS-12X36-NOTURNO- 2º A DOM" sheetId="16" r:id="rId9"/>
    <sheet name="ASSIS-12X36 DIURNO- 2º A DOM" sheetId="17" r:id="rId10"/>
    <sheet name="ASSIS- SDF 24HORAS" sheetId="41" r:id="rId11"/>
    <sheet name="FOZ-12X36 -NOTURNO- 2º A DOM" sheetId="20" r:id="rId12"/>
    <sheet name="FOZ-12X36-DIURNO - 2º A DOM" sheetId="21" r:id="rId13"/>
    <sheet name="FOZ- SDF 24HORAS" sheetId="42" r:id="rId14"/>
    <sheet name="IRATI-12X36 DIURNO 2º A DOM " sheetId="25" r:id="rId15"/>
    <sheet name="IRATI -12X36 NOTURNO 2º A DOM" sheetId="24" r:id="rId16"/>
    <sheet name="IVAIPORÃ 12X36 DIURNO 2º A DOM" sheetId="27" r:id="rId17"/>
    <sheet name="IVAIPORA 12X36 NOTURN  2ª A DOM" sheetId="28" r:id="rId18"/>
    <sheet name="JACAREZINHO 12X36 DIURNO 2ºADOM" sheetId="30" r:id="rId19"/>
    <sheet name="JACAREZINHO 12X36 NOT 2ºADOM" sheetId="31" r:id="rId20"/>
    <sheet name="LONDRINA 12X36 DIURNO 2º A DOM" sheetId="34" r:id="rId21"/>
    <sheet name="LONDRINA 12X36 NOTURNO 2º A DOM" sheetId="33" r:id="rId22"/>
    <sheet name="PARANAGUA 12X36 DIURNO 2º A DOM" sheetId="36" r:id="rId23"/>
    <sheet name="PARANAGUA 12X36 NOTURNO 2ºADOM" sheetId="92" r:id="rId24"/>
    <sheet name="PARANAVAÍ 12X36 NOTURN 2º A DOM" sheetId="43" r:id="rId25"/>
    <sheet name="PARANAVAI 44H SEMANAIS " sheetId="44" r:id="rId26"/>
    <sheet name="TELEMACO 12X36 DIURNO 2º A DOM" sheetId="48" r:id="rId27"/>
    <sheet name="TELEMACO 12X36 NOTURNO 2º A DOM" sheetId="47" r:id="rId28"/>
    <sheet name="UMUARAMA 12X36 DIURNO 2º A DOM" sheetId="51" r:id="rId29"/>
    <sheet name="UMUARAMA 12X36 NOTURNO 2º A DOM" sheetId="50" r:id="rId30"/>
    <sheet name="PALMAS 12X36 DIURNO 2º A DOM" sheetId="52" r:id="rId31"/>
    <sheet name="PALMAS 12X36 NOTURNO 2º A DOM" sheetId="53" r:id="rId32"/>
    <sheet name="PALMAS 12X36 NOTU 2º A DOM MOTO" sheetId="5" r:id="rId33"/>
    <sheet name="PALMAS- SDF 24 24HORAS" sheetId="40" r:id="rId34"/>
    <sheet name="CORONEL 12X36 NOTURNO 2º A DOM" sheetId="56" r:id="rId35"/>
    <sheet name="CASCAVEL 12X36 DIURNO 2º A DOM" sheetId="58" r:id="rId36"/>
    <sheet name="CASCAVEL 12X36 NOTURNO 2º A DOM" sheetId="59" r:id="rId37"/>
    <sheet name="Londrina 44H SEMANAIS " sheetId="61" r:id="rId38"/>
    <sheet name="CAMPO LAR 12X36 DIURNO 2º A DOM" sheetId="63" r:id="rId39"/>
    <sheet name="CAMPO LAR 12X36 NOTURN 2º A DOM" sheetId="64" r:id="rId40"/>
    <sheet name="CAMPO LARGO - SDF 24 24HORAS" sheetId="97" r:id="rId41"/>
    <sheet name="CAPANEMA 12X36 DIURNO 2º A DOM" sheetId="100" r:id="rId42"/>
    <sheet name="CAPANEMA 12X36 NOTURNO 2º A DOM" sheetId="101" r:id="rId43"/>
    <sheet name="COLOMBO12X36 DIURNO 2º A DOM" sheetId="69" r:id="rId44"/>
    <sheet name="COLOMBO12X36 NOTURNO 2º A DOM" sheetId="70" r:id="rId45"/>
    <sheet name="COLOMBO - SDF 24 24HORAS" sheetId="71" r:id="rId46"/>
    <sheet name="GOIOERE 12X36 DIURNO 2º A DOM" sheetId="75" r:id="rId47"/>
    <sheet name="GOIOERE12X36 NOTURNO 2º A DOM" sheetId="76" r:id="rId48"/>
    <sheet name="JAGUARIAI 12X36 DIURNO 2º A DOM" sheetId="78" r:id="rId49"/>
    <sheet name="JAGUARIAI 12X36 NOTURN 2º A DOM" sheetId="95" r:id="rId50"/>
    <sheet name="PINHAIS 12X36 DIURNO 2º A DOM" sheetId="81" r:id="rId51"/>
    <sheet name="PINHAIS 12X36 NOTURNO 2º A DOM" sheetId="82" r:id="rId52"/>
    <sheet name="PITANGA 12X36 DIURNO 2º A DOM" sheetId="85" r:id="rId53"/>
    <sheet name="PITANGA 12X36 NOTURNO 2º A DOM" sheetId="86" r:id="rId54"/>
    <sheet name="UNIAO 12X36 DIURNO 2º A DOM" sheetId="91" r:id="rId55"/>
    <sheet name="UNIAO 12X36 NOTURNO 2º A DOM" sheetId="98" r:id="rId56"/>
    <sheet name="ASTORGA 12X36 DIURNO " sheetId="121" r:id="rId57"/>
    <sheet name="ASTORGA 12X36 NOTURNO 2º A (2" sheetId="122" r:id="rId58"/>
    <sheet name="QUEDAS SDF 24 24HORAS (2)" sheetId="124" r:id="rId59"/>
    <sheet name="QUEDAS 12X36 NOTURNO 2º A (2" sheetId="125" r:id="rId60"/>
    <sheet name="BARRACAO 12X36 DIURNO 2º A  (2" sheetId="127" r:id="rId61"/>
    <sheet name="BARRACAO 12X36 NOTURNO 2º A (2" sheetId="128" r:id="rId62"/>
    <sheet name="CASCAVEL - SDF 24HORAS (2)" sheetId="126" r:id="rId63"/>
    <sheet name="Uniforme" sheetId="103" r:id="rId64"/>
    <sheet name="depreciação de equipamento" sheetId="104" r:id="rId65"/>
    <sheet name="depreciacao equipamento motoriz" sheetId="105" r:id="rId66"/>
  </sheets>
  <definedNames>
    <definedName name="_xlnm._FilterDatabase" localSheetId="4" hidden="1">'PROPOSTA DE PREÇO (2)'!$A$2:$Q$65</definedName>
    <definedName name="_xlnm.Print_Area" localSheetId="10">'ASSIS- SDF 24HORAS'!$A$2:$C$99</definedName>
    <definedName name="_xlnm.Print_Area" localSheetId="9">'ASSIS-12X36 DIURNO- 2º A DOM'!$A$2:$C$98</definedName>
    <definedName name="_xlnm.Print_Area" localSheetId="8">'ASSIS-12X36-NOTURNO- 2º A DOM'!$A$2:$C$99</definedName>
    <definedName name="_xlnm.Print_Area" localSheetId="56">'ASTORGA 12X36 DIURNO '!$A$2:$C$98</definedName>
    <definedName name="_xlnm.Print_Area" localSheetId="57">'ASTORGA 12X36 NOTURNO 2º A (2'!$A$2:$C$99</definedName>
    <definedName name="_xlnm.Print_Area" localSheetId="60">'BARRACAO 12X36 DIURNO 2º A  (2'!$A$2:$C$98</definedName>
    <definedName name="_xlnm.Print_Area" localSheetId="61">'BARRACAO 12X36 NOTURNO 2º A (2'!$A$2:$C$99</definedName>
    <definedName name="_xlnm.Print_Area" localSheetId="2">base!$E$38</definedName>
    <definedName name="_xlnm.Print_Area" localSheetId="38">'CAMPO LAR 12X36 DIURNO 2º A DOM'!$A$2:$C$98</definedName>
    <definedName name="_xlnm.Print_Area" localSheetId="39">'CAMPO LAR 12X36 NOTURN 2º A DOM'!$A$2:$C$99</definedName>
    <definedName name="_xlnm.Print_Area" localSheetId="40">'CAMPO LARGO - SDF 24 24HORAS'!$A$2:$C$99</definedName>
    <definedName name="_xlnm.Print_Area" localSheetId="41">'CAPANEMA 12X36 DIURNO 2º A DOM'!$A$2:$C$98</definedName>
    <definedName name="_xlnm.Print_Area" localSheetId="42">'CAPANEMA 12X36 NOTURNO 2º A DOM'!$A$2:$C$99</definedName>
    <definedName name="_xlnm.Print_Area" localSheetId="62">'CASCAVEL - SDF 24HORAS (2)'!$A$2:$C$99</definedName>
    <definedName name="_xlnm.Print_Area" localSheetId="35">'CASCAVEL 12X36 DIURNO 2º A DOM'!$A$2:$C$98</definedName>
    <definedName name="_xlnm.Print_Area" localSheetId="36">'CASCAVEL 12X36 NOTURNO 2º A DOM'!$A$2:$C$99</definedName>
    <definedName name="_xlnm.Print_Area" localSheetId="45">'COLOMBO - SDF 24 24HORAS'!$A$2:$C$99</definedName>
    <definedName name="_xlnm.Print_Area" localSheetId="43">'COLOMBO12X36 DIURNO 2º A DOM'!$A$2:$C$98</definedName>
    <definedName name="_xlnm.Print_Area" localSheetId="44">'COLOMBO12X36 NOTURNO 2º A DOM'!$A$2:$C$99</definedName>
    <definedName name="_xlnm.Print_Area" localSheetId="34">'CORONEL 12X36 NOTURNO 2º A DOM'!$A$2:$C$99</definedName>
    <definedName name="_xlnm.Print_Area" localSheetId="5">'CWB-12X36-NOTURNO- 2º A DOM   '!$A$2:$C$99</definedName>
    <definedName name="_xlnm.Print_Area" localSheetId="64">'depreciação de equipamento'!$A$1:$G$13</definedName>
    <definedName name="_xlnm.Print_Area" localSheetId="65">'depreciacao equipamento motoriz'!$A$1:$G$39</definedName>
    <definedName name="_xlnm.Print_Area" localSheetId="13">'FOZ- SDF 24HORAS'!$A$2:$C$99</definedName>
    <definedName name="_xlnm.Print_Area" localSheetId="11">'FOZ-12X36 -NOTURNO- 2º A DOM'!$A$2:$C$99</definedName>
    <definedName name="_xlnm.Print_Area" localSheetId="12">'FOZ-12X36-DIURNO - 2º A DOM'!$A$2:$C$98</definedName>
    <definedName name="_xlnm.Print_Area" localSheetId="46">'GOIOERE 12X36 DIURNO 2º A DOM'!$A$2:$C$98</definedName>
    <definedName name="_xlnm.Print_Area" localSheetId="47">'GOIOERE12X36 NOTURNO 2º A DOM'!$A$2:$C$99</definedName>
    <definedName name="_xlnm.Print_Area" localSheetId="15">'IRATI -12X36 NOTURNO 2º A DOM'!$A$2:$C$99</definedName>
    <definedName name="_xlnm.Print_Area" localSheetId="14">'IRATI-12X36 DIURNO 2º A DOM '!$A$2:$C$98</definedName>
    <definedName name="_xlnm.Print_Area" localSheetId="0">iss!$H$1</definedName>
    <definedName name="_xlnm.Print_Area" localSheetId="16">'IVAIPORÃ 12X36 DIURNO 2º A DOM'!$A$2:$C$98</definedName>
    <definedName name="_xlnm.Print_Area" localSheetId="17">'IVAIPORA 12X36 NOTURN  2ª A DOM'!$A$2:$C$99</definedName>
    <definedName name="_xlnm.Print_Area" localSheetId="18">'JACAREZINHO 12X36 DIURNO 2ºADOM'!$A$2:$C$98</definedName>
    <definedName name="_xlnm.Print_Area" localSheetId="19">'JACAREZINHO 12X36 NOT 2ºADOM'!$A$2:$C$99</definedName>
    <definedName name="_xlnm.Print_Area" localSheetId="48">'JAGUARIAI 12X36 DIURNO 2º A DOM'!$A$2:$C$98</definedName>
    <definedName name="_xlnm.Print_Area" localSheetId="49">'JAGUARIAI 12X36 NOTURN 2º A DOM'!$A$2:$C$99</definedName>
    <definedName name="_xlnm.Print_Area" localSheetId="20">'LONDRINA 12X36 DIURNO 2º A DOM'!$A$2:$C$98</definedName>
    <definedName name="_xlnm.Print_Area" localSheetId="21">'LONDRINA 12X36 NOTURNO 2º A DOM'!$A$2:$C$99</definedName>
    <definedName name="_xlnm.Print_Area" localSheetId="37">'Londrina 44H SEMANAIS '!$A$2:$C$97</definedName>
    <definedName name="_xlnm.Print_Area" localSheetId="30">'PALMAS 12X36 DIURNO 2º A DOM'!$A$2:$C$98</definedName>
    <definedName name="_xlnm.Print_Area" localSheetId="32">'PALMAS 12X36 NOTU 2º A DOM MOTO'!$A$2:$C$102</definedName>
    <definedName name="_xlnm.Print_Area" localSheetId="31">'PALMAS 12X36 NOTURNO 2º A DOM'!$A$2:$C$99</definedName>
    <definedName name="_xlnm.Print_Area" localSheetId="33">'PALMAS- SDF 24 24HORAS'!$A$2:$C$99</definedName>
    <definedName name="_xlnm.Print_Area" localSheetId="22">'PARANAGUA 12X36 DIURNO 2º A DOM'!$A$2:$C$98</definedName>
    <definedName name="_xlnm.Print_Area" localSheetId="23">'PARANAGUA 12X36 NOTURNO 2ºADOM'!$A$2:$C$99</definedName>
    <definedName name="_xlnm.Print_Area" localSheetId="24">'PARANAVAÍ 12X36 NOTURN 2º A DOM'!$A$2:$C$99</definedName>
    <definedName name="_xlnm.Print_Area" localSheetId="25">'PARANAVAI 44H SEMANAIS '!$A$2:$C$97</definedName>
    <definedName name="_xlnm.Print_Area" localSheetId="50">'PINHAIS 12X36 DIURNO 2º A DOM'!$A$2:$C$98</definedName>
    <definedName name="_xlnm.Print_Area" localSheetId="51">'PINHAIS 12X36 NOTURNO 2º A DOM'!$A$2:$C$99</definedName>
    <definedName name="_xlnm.Print_Area" localSheetId="52">'PITANGA 12X36 DIURNO 2º A DOM'!$A$2:$C$98</definedName>
    <definedName name="_xlnm.Print_Area" localSheetId="53">'PITANGA 12X36 NOTURNO 2º A DOM'!$A$2:$C$99</definedName>
    <definedName name="_xlnm.Print_Area" localSheetId="3">'PROPOSTA DE PREÇO'!$A$2:$AG$65</definedName>
    <definedName name="_xlnm.Print_Area" localSheetId="4">'PROPOSTA DE PREÇO (2)'!$A$2:$K$65</definedName>
    <definedName name="_xlnm.Print_Area" localSheetId="59">'QUEDAS 12X36 NOTURNO 2º A (2'!$A$2:$C$99</definedName>
    <definedName name="_xlnm.Print_Area" localSheetId="58">'QUEDAS SDF 24 24HORAS (2)'!$A$2:$C$99</definedName>
    <definedName name="_xlnm.Print_Area" localSheetId="26">'TELEMACO 12X36 DIURNO 2º A DOM'!$A$2:$C$98</definedName>
    <definedName name="_xlnm.Print_Area" localSheetId="27">'TELEMACO 12X36 NOTURNO 2º A DOM'!$A$2:$C$99</definedName>
    <definedName name="_xlnm.Print_Area" localSheetId="28">'UMUARAMA 12X36 DIURNO 2º A DOM'!$A$2:$C$98</definedName>
    <definedName name="_xlnm.Print_Area" localSheetId="29">'UMUARAMA 12X36 NOTURNO 2º A DOM'!$A$2:$C$99</definedName>
    <definedName name="_xlnm.Print_Area" localSheetId="54">'UNIAO 12X36 DIURNO 2º A DOM'!$A$2:$C$98</definedName>
    <definedName name="_xlnm.Print_Area" localSheetId="55">'UNIAO 12X36 NOTURNO 2º A DOM'!$A$2:$C$99</definedName>
    <definedName name="_xlnm.Print_Area" localSheetId="63">Uniforme!$A$2:$F$28</definedName>
    <definedName name="_xlnm.Print_Titles" localSheetId="4">'PROPOSTA DE PREÇO (2)'!$2:$2</definedName>
  </definedNames>
  <calcPr calcId="144525"/>
</workbook>
</file>

<file path=xl/calcChain.xml><?xml version="1.0" encoding="utf-8"?>
<calcChain xmlns="http://schemas.openxmlformats.org/spreadsheetml/2006/main">
  <c r="I74" i="132" l="1"/>
  <c r="I72" i="132"/>
  <c r="I71" i="132"/>
  <c r="I70" i="132"/>
  <c r="D72" i="132" l="1"/>
  <c r="G65" i="132" l="1"/>
  <c r="D71" i="132" l="1"/>
  <c r="D70" i="132" l="1"/>
  <c r="D68" i="132"/>
  <c r="E42" i="132"/>
  <c r="H42" i="132" s="1"/>
  <c r="J42" i="132" s="1"/>
  <c r="E53" i="132"/>
  <c r="H53" i="132" s="1"/>
  <c r="J53" i="132" s="1"/>
  <c r="E17" i="132"/>
  <c r="H17" i="132" s="1"/>
  <c r="J17" i="132" s="1"/>
  <c r="E16" i="132"/>
  <c r="H16" i="132" s="1"/>
  <c r="J16" i="132" s="1"/>
  <c r="E58" i="132"/>
  <c r="H58" i="132" s="1"/>
  <c r="J58" i="132" s="1"/>
  <c r="E62" i="132"/>
  <c r="H62" i="132" s="1"/>
  <c r="J62" i="132" s="1"/>
  <c r="E57" i="132"/>
  <c r="H57" i="132" s="1"/>
  <c r="J57" i="132" s="1"/>
  <c r="E61" i="132"/>
  <c r="H61" i="132" s="1"/>
  <c r="J61" i="132" s="1"/>
  <c r="E7" i="132"/>
  <c r="H7" i="132" s="1"/>
  <c r="J7" i="132" s="1"/>
  <c r="E60" i="132"/>
  <c r="H60" i="132" s="1"/>
  <c r="J60" i="132" s="1"/>
  <c r="E6" i="132"/>
  <c r="H6" i="132" s="1"/>
  <c r="J6" i="132" s="1"/>
  <c r="E59" i="132"/>
  <c r="H59" i="132" s="1"/>
  <c r="J59" i="132" s="1"/>
  <c r="E64" i="132"/>
  <c r="H64" i="132" s="1"/>
  <c r="J64" i="132" s="1"/>
  <c r="E52" i="132"/>
  <c r="H52" i="132" s="1"/>
  <c r="J52" i="132" s="1"/>
  <c r="E63" i="132"/>
  <c r="H63" i="132" s="1"/>
  <c r="J63" i="132" s="1"/>
  <c r="E51" i="132"/>
  <c r="H51" i="132" s="1"/>
  <c r="J51" i="132" s="1"/>
  <c r="E56" i="132"/>
  <c r="H56" i="132" s="1"/>
  <c r="J56" i="132" s="1"/>
  <c r="E50" i="132"/>
  <c r="H50" i="132" s="1"/>
  <c r="J50" i="132" s="1"/>
  <c r="E55" i="132"/>
  <c r="H55" i="132" s="1"/>
  <c r="J55" i="132" s="1"/>
  <c r="E49" i="132"/>
  <c r="H49" i="132" s="1"/>
  <c r="J49" i="132" s="1"/>
  <c r="E54" i="132"/>
  <c r="H54" i="132" s="1"/>
  <c r="J54" i="132" s="1"/>
  <c r="E44" i="132"/>
  <c r="H44" i="132" s="1"/>
  <c r="J44" i="132" s="1"/>
  <c r="E43" i="132"/>
  <c r="H43" i="132" s="1"/>
  <c r="J43" i="132" s="1"/>
  <c r="E41" i="132"/>
  <c r="H41" i="132" s="1"/>
  <c r="J41" i="132" s="1"/>
  <c r="E39" i="132"/>
  <c r="H39" i="132" s="1"/>
  <c r="J39" i="132" s="1"/>
  <c r="E40" i="132"/>
  <c r="H40" i="132" s="1"/>
  <c r="J40" i="132" s="1"/>
  <c r="E38" i="132"/>
  <c r="H38" i="132" s="1"/>
  <c r="J38" i="132" s="1"/>
  <c r="E33" i="132"/>
  <c r="H33" i="132" s="1"/>
  <c r="J33" i="132" s="1"/>
  <c r="E37" i="132"/>
  <c r="H37" i="132" s="1"/>
  <c r="J37" i="132" s="1"/>
  <c r="E32" i="132"/>
  <c r="H32" i="132" s="1"/>
  <c r="J32" i="132" s="1"/>
  <c r="E36" i="132"/>
  <c r="H36" i="132" s="1"/>
  <c r="J36" i="132" s="1"/>
  <c r="E20" i="132"/>
  <c r="H20" i="132" s="1"/>
  <c r="J20" i="132" s="1"/>
  <c r="E35" i="132"/>
  <c r="H35" i="132" s="1"/>
  <c r="J35" i="132" s="1"/>
  <c r="E19" i="132"/>
  <c r="H19" i="132" s="1"/>
  <c r="J19" i="132" s="1"/>
  <c r="E34" i="132"/>
  <c r="H34" i="132" s="1"/>
  <c r="J34" i="132" s="1"/>
  <c r="E18" i="132"/>
  <c r="H18" i="132" s="1"/>
  <c r="J18" i="132" s="1"/>
  <c r="E31" i="132"/>
  <c r="H31" i="132" s="1"/>
  <c r="J31" i="132" s="1"/>
  <c r="E13" i="132"/>
  <c r="H13" i="132" s="1"/>
  <c r="J13" i="132" s="1"/>
  <c r="E30" i="132"/>
  <c r="H30" i="132" s="1"/>
  <c r="J30" i="132" s="1"/>
  <c r="E12" i="132"/>
  <c r="H12" i="132" s="1"/>
  <c r="J12" i="132" s="1"/>
  <c r="E29" i="132"/>
  <c r="H29" i="132" s="1"/>
  <c r="J29" i="132" s="1"/>
  <c r="E11" i="132"/>
  <c r="H11" i="132" s="1"/>
  <c r="J11" i="132" s="1"/>
  <c r="E28" i="132"/>
  <c r="H28" i="132" s="1"/>
  <c r="J28" i="132" s="1"/>
  <c r="E10" i="132"/>
  <c r="H10" i="132" s="1"/>
  <c r="J10" i="132" s="1"/>
  <c r="E5" i="132"/>
  <c r="H5" i="132" s="1"/>
  <c r="J5" i="132" s="1"/>
  <c r="E9" i="132"/>
  <c r="H9" i="132" s="1"/>
  <c r="J9" i="132" s="1"/>
  <c r="E4" i="132"/>
  <c r="H4" i="132" s="1"/>
  <c r="J4" i="132" s="1"/>
  <c r="E8" i="132"/>
  <c r="H8" i="132" s="1"/>
  <c r="J8" i="132" s="1"/>
  <c r="E15" i="132"/>
  <c r="H15" i="132" s="1"/>
  <c r="J15" i="132" s="1"/>
  <c r="E3" i="132"/>
  <c r="H3" i="132" s="1"/>
  <c r="J3" i="132" s="1"/>
  <c r="E14" i="132"/>
  <c r="H14" i="132" s="1"/>
  <c r="J14" i="132" s="1"/>
  <c r="E27" i="132"/>
  <c r="H27" i="132" s="1"/>
  <c r="J27" i="132" s="1"/>
  <c r="E21" i="132"/>
  <c r="H21" i="132" s="1"/>
  <c r="J21" i="132" s="1"/>
  <c r="E26" i="132"/>
  <c r="H26" i="132" s="1"/>
  <c r="J26" i="132" s="1"/>
  <c r="E48" i="132"/>
  <c r="H48" i="132" s="1"/>
  <c r="J48" i="132" s="1"/>
  <c r="E25" i="132"/>
  <c r="H25" i="132" s="1"/>
  <c r="J25" i="132" s="1"/>
  <c r="E47" i="132"/>
  <c r="H47" i="132" s="1"/>
  <c r="J47" i="132" s="1"/>
  <c r="E24" i="132"/>
  <c r="H24" i="132" s="1"/>
  <c r="J24" i="132" s="1"/>
  <c r="E46" i="132"/>
  <c r="H46" i="132" s="1"/>
  <c r="J46" i="132" s="1"/>
  <c r="E23" i="132"/>
  <c r="H23" i="132" s="1"/>
  <c r="J23" i="132" s="1"/>
  <c r="E45" i="132"/>
  <c r="H45" i="132" s="1"/>
  <c r="J45" i="132" s="1"/>
  <c r="E22" i="132"/>
  <c r="H22" i="132" s="1"/>
  <c r="H65" i="132" l="1"/>
  <c r="D75" i="132" s="1"/>
  <c r="J22" i="132"/>
  <c r="J65" i="132" s="1"/>
  <c r="AD10" i="102"/>
  <c r="AD12" i="102" s="1"/>
  <c r="AD14" i="102" s="1"/>
  <c r="K67" i="132" l="1"/>
  <c r="D76" i="132"/>
  <c r="C76" i="97"/>
  <c r="C76" i="64"/>
  <c r="C75" i="63"/>
  <c r="C76" i="59"/>
  <c r="C75" i="58"/>
  <c r="C76" i="40"/>
  <c r="C75" i="44"/>
  <c r="C76" i="43"/>
  <c r="C76" i="92"/>
  <c r="C75" i="36"/>
  <c r="C76" i="33"/>
  <c r="C75" i="34"/>
  <c r="C76" i="42"/>
  <c r="C75" i="21"/>
  <c r="C76" i="20"/>
  <c r="E4" i="106"/>
  <c r="C76" i="91" l="1"/>
  <c r="C76" i="82"/>
  <c r="C75" i="81"/>
  <c r="C75" i="69"/>
  <c r="C76" i="70"/>
  <c r="C76" i="71"/>
  <c r="G5" i="105"/>
  <c r="G6" i="105"/>
  <c r="G7" i="105"/>
  <c r="G8" i="105"/>
  <c r="F17" i="105"/>
  <c r="F13" i="105"/>
  <c r="F14" i="105"/>
  <c r="F12" i="105"/>
  <c r="F5" i="105"/>
  <c r="F6" i="105"/>
  <c r="F7" i="105"/>
  <c r="F8" i="105"/>
  <c r="F4" i="105"/>
  <c r="F30" i="105"/>
  <c r="F31" i="105"/>
  <c r="F32" i="105"/>
  <c r="F33" i="105"/>
  <c r="F34" i="105"/>
  <c r="F35" i="105"/>
  <c r="F29" i="105"/>
  <c r="F22" i="105"/>
  <c r="F23" i="105"/>
  <c r="F24" i="105"/>
  <c r="F25" i="105"/>
  <c r="F21" i="105"/>
  <c r="C79" i="92"/>
  <c r="C76" i="34"/>
  <c r="C76" i="61"/>
  <c r="C81" i="41"/>
  <c r="F6" i="106"/>
  <c r="F13" i="104"/>
  <c r="F3" i="104"/>
  <c r="F4" i="104"/>
  <c r="F5" i="104"/>
  <c r="F6" i="104"/>
  <c r="F7" i="104"/>
  <c r="F2" i="104"/>
  <c r="F18" i="103"/>
  <c r="F19" i="103"/>
  <c r="F20" i="103"/>
  <c r="F21" i="103"/>
  <c r="F22" i="103"/>
  <c r="F23" i="103"/>
  <c r="F24" i="103"/>
  <c r="F25" i="103"/>
  <c r="F26" i="103"/>
  <c r="F17" i="103"/>
  <c r="F5" i="103"/>
  <c r="F6" i="103"/>
  <c r="F7" i="103"/>
  <c r="F8" i="103"/>
  <c r="F9" i="103"/>
  <c r="F10" i="103"/>
  <c r="F11" i="103"/>
  <c r="F12" i="103"/>
  <c r="F13" i="103"/>
  <c r="F4" i="103"/>
  <c r="C74" i="44" l="1"/>
  <c r="C76" i="94"/>
  <c r="C75" i="7"/>
  <c r="B34" i="1"/>
  <c r="H9" i="117"/>
  <c r="E5" i="106"/>
  <c r="E6" i="106" l="1"/>
  <c r="C90" i="128"/>
  <c r="C89" i="128"/>
  <c r="C88" i="128"/>
  <c r="C83" i="128"/>
  <c r="C80" i="128"/>
  <c r="C79" i="128"/>
  <c r="B53" i="128"/>
  <c r="B52" i="128"/>
  <c r="B51" i="128"/>
  <c r="B50" i="128"/>
  <c r="B61" i="128" s="1"/>
  <c r="B45" i="128"/>
  <c r="B44" i="128"/>
  <c r="B43" i="128"/>
  <c r="B42" i="128"/>
  <c r="B62" i="128" s="1"/>
  <c r="B41" i="128"/>
  <c r="B40" i="128"/>
  <c r="B39" i="128"/>
  <c r="B38" i="128"/>
  <c r="B47" i="128" s="1"/>
  <c r="B34" i="128"/>
  <c r="B35" i="128" s="1"/>
  <c r="C12" i="128"/>
  <c r="C15" i="128" s="1"/>
  <c r="C89" i="127"/>
  <c r="C88" i="127"/>
  <c r="C87" i="127"/>
  <c r="C92" i="127" s="1"/>
  <c r="B93" i="127" s="1"/>
  <c r="C93" i="127" s="1"/>
  <c r="C82" i="127"/>
  <c r="C79" i="127"/>
  <c r="B52" i="127"/>
  <c r="B51" i="127"/>
  <c r="B50" i="127"/>
  <c r="B49" i="127"/>
  <c r="B60" i="127" s="1"/>
  <c r="B44" i="127"/>
  <c r="B43" i="127"/>
  <c r="B42" i="127"/>
  <c r="B41" i="127"/>
  <c r="B61" i="127" s="1"/>
  <c r="B40" i="127"/>
  <c r="B39" i="127"/>
  <c r="B38" i="127"/>
  <c r="B37" i="127"/>
  <c r="B46" i="127" s="1"/>
  <c r="B33" i="127"/>
  <c r="B34" i="127" s="1"/>
  <c r="C12" i="127"/>
  <c r="C15" i="127" s="1"/>
  <c r="C75" i="128" l="1"/>
  <c r="C75" i="125"/>
  <c r="C74" i="121"/>
  <c r="C74" i="91"/>
  <c r="C74" i="85"/>
  <c r="C74" i="81"/>
  <c r="C74" i="78"/>
  <c r="C74" i="75"/>
  <c r="C74" i="69"/>
  <c r="C74" i="100"/>
  <c r="C74" i="63"/>
  <c r="C74" i="58"/>
  <c r="C75" i="5"/>
  <c r="C74" i="52"/>
  <c r="C74" i="51"/>
  <c r="C74" i="48"/>
  <c r="C75" i="92"/>
  <c r="C75" i="33"/>
  <c r="C75" i="31"/>
  <c r="C75" i="28"/>
  <c r="C74" i="25"/>
  <c r="C75" i="20"/>
  <c r="C75" i="16"/>
  <c r="C75" i="1"/>
  <c r="C75" i="24"/>
  <c r="C74" i="127"/>
  <c r="C75" i="122"/>
  <c r="C75" i="98"/>
  <c r="C75" i="86"/>
  <c r="C75" i="82"/>
  <c r="C75" i="95"/>
  <c r="C75" i="76"/>
  <c r="C75" i="70"/>
  <c r="C75" i="101"/>
  <c r="C75" i="64"/>
  <c r="C75" i="59"/>
  <c r="C75" i="56"/>
  <c r="C75" i="53"/>
  <c r="C75" i="50"/>
  <c r="C75" i="47"/>
  <c r="C75" i="43"/>
  <c r="C74" i="36"/>
  <c r="C74" i="34"/>
  <c r="C74" i="30"/>
  <c r="C74" i="27"/>
  <c r="C74" i="21"/>
  <c r="C74" i="17"/>
  <c r="C74" i="7"/>
  <c r="C93" i="128"/>
  <c r="B94" i="128" s="1"/>
  <c r="C94" i="128" s="1"/>
  <c r="B63" i="128"/>
  <c r="B66" i="128"/>
  <c r="B67" i="128" s="1"/>
  <c r="B57" i="128"/>
  <c r="B58" i="128" s="1"/>
  <c r="C16" i="128"/>
  <c r="C17" i="128" s="1"/>
  <c r="B54" i="128"/>
  <c r="B62" i="127"/>
  <c r="C16" i="127"/>
  <c r="C20" i="127"/>
  <c r="B65" i="127"/>
  <c r="B66" i="127" s="1"/>
  <c r="B56" i="127"/>
  <c r="B57" i="127" s="1"/>
  <c r="B53" i="127"/>
  <c r="C88" i="126"/>
  <c r="C93" i="126" s="1"/>
  <c r="B94" i="126" s="1"/>
  <c r="C94" i="126" s="1"/>
  <c r="C80" i="126"/>
  <c r="C79" i="126"/>
  <c r="B53" i="126"/>
  <c r="B52" i="126"/>
  <c r="B51" i="126"/>
  <c r="B50" i="126"/>
  <c r="B61" i="126" s="1"/>
  <c r="B45" i="126"/>
  <c r="B44" i="126"/>
  <c r="B43" i="126"/>
  <c r="B42" i="126"/>
  <c r="B62" i="126" s="1"/>
  <c r="B41" i="126"/>
  <c r="B40" i="126"/>
  <c r="B39" i="126"/>
  <c r="B38" i="126"/>
  <c r="B47" i="126" s="1"/>
  <c r="B34" i="126"/>
  <c r="B35" i="126" s="1"/>
  <c r="C21" i="126"/>
  <c r="C19" i="126"/>
  <c r="C18" i="126"/>
  <c r="C12" i="126"/>
  <c r="C15" i="126" s="1"/>
  <c r="C76" i="126" s="1"/>
  <c r="C17" i="127" l="1"/>
  <c r="C21" i="127" s="1"/>
  <c r="C20" i="128"/>
  <c r="D18" i="128"/>
  <c r="C18" i="128" s="1"/>
  <c r="C21" i="128" s="1"/>
  <c r="C23" i="128" s="1"/>
  <c r="B69" i="128"/>
  <c r="B68" i="127"/>
  <c r="B66" i="126"/>
  <c r="B67" i="126" s="1"/>
  <c r="B57" i="126"/>
  <c r="B58" i="126" s="1"/>
  <c r="B63" i="126"/>
  <c r="C16" i="126"/>
  <c r="C17" i="126" s="1"/>
  <c r="C23" i="126" s="1"/>
  <c r="B54" i="126"/>
  <c r="C90" i="125"/>
  <c r="C88" i="125"/>
  <c r="C83" i="125"/>
  <c r="C80" i="125"/>
  <c r="C79" i="125"/>
  <c r="B53" i="125"/>
  <c r="B52" i="125"/>
  <c r="B51" i="125"/>
  <c r="B50" i="125"/>
  <c r="B61" i="125" s="1"/>
  <c r="B45" i="125"/>
  <c r="B44" i="125"/>
  <c r="B43" i="125"/>
  <c r="B42" i="125"/>
  <c r="B62" i="125" s="1"/>
  <c r="B41" i="125"/>
  <c r="B40" i="125"/>
  <c r="B39" i="125"/>
  <c r="B38" i="125"/>
  <c r="B47" i="125" s="1"/>
  <c r="B34" i="125"/>
  <c r="B35" i="125" s="1"/>
  <c r="C12" i="125"/>
  <c r="C15" i="125" s="1"/>
  <c r="C90" i="124"/>
  <c r="C89" i="124"/>
  <c r="C88" i="124"/>
  <c r="C80" i="124"/>
  <c r="C79" i="124"/>
  <c r="B53" i="124"/>
  <c r="B52" i="124"/>
  <c r="B51" i="124"/>
  <c r="B50" i="124"/>
  <c r="B61" i="124" s="1"/>
  <c r="B63" i="124" s="1"/>
  <c r="B45" i="124"/>
  <c r="B44" i="124"/>
  <c r="B43" i="124"/>
  <c r="B42" i="124"/>
  <c r="B62" i="124" s="1"/>
  <c r="B41" i="124"/>
  <c r="B40" i="124"/>
  <c r="B39" i="124"/>
  <c r="B38" i="124"/>
  <c r="B47" i="124" s="1"/>
  <c r="B34" i="124"/>
  <c r="B35" i="124" s="1"/>
  <c r="C21" i="124"/>
  <c r="C19" i="124"/>
  <c r="C18" i="124"/>
  <c r="C12" i="124"/>
  <c r="C15" i="124" s="1"/>
  <c r="C76" i="124" s="1"/>
  <c r="C90" i="122"/>
  <c r="C89" i="122"/>
  <c r="C88" i="122"/>
  <c r="C83" i="122"/>
  <c r="C80" i="122"/>
  <c r="C79" i="122"/>
  <c r="B53" i="122"/>
  <c r="B52" i="122"/>
  <c r="B51" i="122"/>
  <c r="B50" i="122"/>
  <c r="B61" i="122" s="1"/>
  <c r="B45" i="122"/>
  <c r="B44" i="122"/>
  <c r="B43" i="122"/>
  <c r="B42" i="122"/>
  <c r="B62" i="122" s="1"/>
  <c r="B41" i="122"/>
  <c r="B40" i="122"/>
  <c r="B39" i="122"/>
  <c r="B38" i="122"/>
  <c r="B47" i="122" s="1"/>
  <c r="B34" i="122"/>
  <c r="B35" i="122" s="1"/>
  <c r="C12" i="122"/>
  <c r="C15" i="122" s="1"/>
  <c r="C89" i="121"/>
  <c r="C87" i="121"/>
  <c r="C82" i="121"/>
  <c r="C79" i="121"/>
  <c r="B52" i="121"/>
  <c r="B51" i="121"/>
  <c r="B50" i="121"/>
  <c r="B49" i="121"/>
  <c r="B60" i="121" s="1"/>
  <c r="B44" i="121"/>
  <c r="B43" i="121"/>
  <c r="B42" i="121"/>
  <c r="B41" i="121"/>
  <c r="B61" i="121" s="1"/>
  <c r="B40" i="121"/>
  <c r="B39" i="121"/>
  <c r="B38" i="121"/>
  <c r="B37" i="121"/>
  <c r="B46" i="121" s="1"/>
  <c r="B33" i="121"/>
  <c r="B34" i="121" s="1"/>
  <c r="C12" i="121"/>
  <c r="C15" i="121" s="1"/>
  <c r="C93" i="122" l="1"/>
  <c r="B94" i="122" s="1"/>
  <c r="C94" i="122" s="1"/>
  <c r="C22" i="127"/>
  <c r="C66" i="128"/>
  <c r="C67" i="128" s="1"/>
  <c r="C62" i="128"/>
  <c r="C61" i="128"/>
  <c r="C57" i="128"/>
  <c r="C58" i="128" s="1"/>
  <c r="C53" i="128"/>
  <c r="C52" i="128"/>
  <c r="C51" i="128"/>
  <c r="C50" i="128"/>
  <c r="C45" i="128"/>
  <c r="C44" i="128"/>
  <c r="C43" i="128"/>
  <c r="C42" i="128"/>
  <c r="C41" i="128"/>
  <c r="C40" i="128"/>
  <c r="C39" i="128"/>
  <c r="C38" i="128"/>
  <c r="C34" i="128"/>
  <c r="C33" i="128"/>
  <c r="C31" i="128"/>
  <c r="C29" i="128"/>
  <c r="C27" i="128"/>
  <c r="C32" i="128"/>
  <c r="C30" i="128"/>
  <c r="C28" i="128"/>
  <c r="C32" i="126"/>
  <c r="C28" i="126"/>
  <c r="C66" i="126"/>
  <c r="C67" i="126" s="1"/>
  <c r="C62" i="126"/>
  <c r="C61" i="126"/>
  <c r="C57" i="126"/>
  <c r="C58" i="126" s="1"/>
  <c r="C53" i="126"/>
  <c r="C52" i="126"/>
  <c r="C51" i="126"/>
  <c r="C50" i="126"/>
  <c r="C45" i="126"/>
  <c r="C44" i="126"/>
  <c r="C43" i="126"/>
  <c r="C42" i="126"/>
  <c r="C41" i="126"/>
  <c r="C40" i="126"/>
  <c r="C39" i="126"/>
  <c r="C38" i="126"/>
  <c r="C34" i="126"/>
  <c r="C33" i="126"/>
  <c r="C31" i="126"/>
  <c r="C29" i="126"/>
  <c r="C27" i="126"/>
  <c r="C30" i="126"/>
  <c r="B69" i="126"/>
  <c r="C92" i="121"/>
  <c r="B93" i="121" s="1"/>
  <c r="C93" i="121" s="1"/>
  <c r="C93" i="125"/>
  <c r="B94" i="125" s="1"/>
  <c r="C94" i="125" s="1"/>
  <c r="B63" i="125"/>
  <c r="B66" i="125"/>
  <c r="B67" i="125" s="1"/>
  <c r="B57" i="125"/>
  <c r="B58" i="125" s="1"/>
  <c r="C76" i="125"/>
  <c r="C16" i="125"/>
  <c r="C20" i="125" s="1"/>
  <c r="B54" i="125"/>
  <c r="C93" i="124"/>
  <c r="B94" i="124" s="1"/>
  <c r="C94" i="124" s="1"/>
  <c r="B66" i="124"/>
  <c r="B67" i="124" s="1"/>
  <c r="B57" i="124"/>
  <c r="B58" i="124" s="1"/>
  <c r="B54" i="124"/>
  <c r="C16" i="124"/>
  <c r="C16" i="122"/>
  <c r="D18" i="122" s="1"/>
  <c r="C18" i="122" s="1"/>
  <c r="B66" i="122"/>
  <c r="B67" i="122" s="1"/>
  <c r="B57" i="122"/>
  <c r="B58" i="122" s="1"/>
  <c r="B63" i="122"/>
  <c r="B54" i="122"/>
  <c r="C16" i="121"/>
  <c r="C17" i="121" s="1"/>
  <c r="C21" i="121" s="1"/>
  <c r="B62" i="121"/>
  <c r="B65" i="121"/>
  <c r="B66" i="121" s="1"/>
  <c r="B56" i="121"/>
  <c r="B57" i="121" s="1"/>
  <c r="B53" i="121"/>
  <c r="C63" i="126" l="1"/>
  <c r="C54" i="126"/>
  <c r="C47" i="128"/>
  <c r="C20" i="121"/>
  <c r="C63" i="128"/>
  <c r="C29" i="127"/>
  <c r="C61" i="127"/>
  <c r="C56" i="127"/>
  <c r="C57" i="127" s="1"/>
  <c r="C51" i="127"/>
  <c r="C49" i="127"/>
  <c r="C43" i="127"/>
  <c r="C41" i="127"/>
  <c r="C39" i="127"/>
  <c r="C37" i="127"/>
  <c r="C32" i="127"/>
  <c r="C28" i="127"/>
  <c r="C27" i="127"/>
  <c r="C31" i="127"/>
  <c r="C65" i="127"/>
  <c r="C66" i="127" s="1"/>
  <c r="C60" i="127"/>
  <c r="C52" i="127"/>
  <c r="C50" i="127"/>
  <c r="C44" i="127"/>
  <c r="C42" i="127"/>
  <c r="C40" i="127"/>
  <c r="C38" i="127"/>
  <c r="C33" i="127"/>
  <c r="C30" i="127"/>
  <c r="C26" i="127"/>
  <c r="C47" i="126"/>
  <c r="C54" i="128"/>
  <c r="C35" i="128"/>
  <c r="C35" i="126"/>
  <c r="C20" i="122"/>
  <c r="C17" i="125"/>
  <c r="B69" i="125"/>
  <c r="D18" i="125"/>
  <c r="C18" i="125" s="1"/>
  <c r="C17" i="124"/>
  <c r="C23" i="124" s="1"/>
  <c r="B69" i="124"/>
  <c r="C17" i="122"/>
  <c r="C21" i="122" s="1"/>
  <c r="C23" i="122" s="1"/>
  <c r="B69" i="122"/>
  <c r="C22" i="121"/>
  <c r="B68" i="121"/>
  <c r="C69" i="126" l="1"/>
  <c r="C71" i="126" s="1"/>
  <c r="C69" i="128"/>
  <c r="C71" i="128" s="1"/>
  <c r="C62" i="127"/>
  <c r="C34" i="127"/>
  <c r="C46" i="127"/>
  <c r="C53" i="127"/>
  <c r="C21" i="125"/>
  <c r="C23" i="125" s="1"/>
  <c r="C66" i="124"/>
  <c r="C67" i="124" s="1"/>
  <c r="C62" i="124"/>
  <c r="C61" i="124"/>
  <c r="C57" i="124"/>
  <c r="C58" i="124" s="1"/>
  <c r="C53" i="124"/>
  <c r="C52" i="124"/>
  <c r="C51" i="124"/>
  <c r="C50" i="124"/>
  <c r="C45" i="124"/>
  <c r="C44" i="124"/>
  <c r="C43" i="124"/>
  <c r="C42" i="124"/>
  <c r="C41" i="124"/>
  <c r="C40" i="124"/>
  <c r="C39" i="124"/>
  <c r="C38" i="124"/>
  <c r="C34" i="124"/>
  <c r="C33" i="124"/>
  <c r="C31" i="124"/>
  <c r="C29" i="124"/>
  <c r="C27" i="124"/>
  <c r="C32" i="124"/>
  <c r="C30" i="124"/>
  <c r="C28" i="124"/>
  <c r="C66" i="122"/>
  <c r="C67" i="122" s="1"/>
  <c r="C62" i="122"/>
  <c r="C61" i="122"/>
  <c r="C57" i="122"/>
  <c r="C58" i="122" s="1"/>
  <c r="C53" i="122"/>
  <c r="C52" i="122"/>
  <c r="C51" i="122"/>
  <c r="C50" i="122"/>
  <c r="C45" i="122"/>
  <c r="C44" i="122"/>
  <c r="C43" i="122"/>
  <c r="C42" i="122"/>
  <c r="C41" i="122"/>
  <c r="C40" i="122"/>
  <c r="C39" i="122"/>
  <c r="C38" i="122"/>
  <c r="C34" i="122"/>
  <c r="C33" i="122"/>
  <c r="C31" i="122"/>
  <c r="C29" i="122"/>
  <c r="C27" i="122"/>
  <c r="C32" i="122"/>
  <c r="C30" i="122"/>
  <c r="C28" i="122"/>
  <c r="C65" i="121"/>
  <c r="C66" i="121" s="1"/>
  <c r="C61" i="121"/>
  <c r="C60" i="121"/>
  <c r="C56" i="121"/>
  <c r="C57" i="121" s="1"/>
  <c r="C52" i="121"/>
  <c r="C51" i="121"/>
  <c r="C50" i="121"/>
  <c r="C49" i="121"/>
  <c r="C44" i="121"/>
  <c r="C43" i="121"/>
  <c r="C42" i="121"/>
  <c r="C41" i="121"/>
  <c r="C40" i="121"/>
  <c r="C39" i="121"/>
  <c r="C38" i="121"/>
  <c r="C37" i="121"/>
  <c r="C33" i="121"/>
  <c r="C32" i="121"/>
  <c r="C30" i="121"/>
  <c r="C28" i="121"/>
  <c r="C26" i="121"/>
  <c r="C31" i="121"/>
  <c r="C29" i="121"/>
  <c r="C27" i="121"/>
  <c r="C68" i="127" l="1"/>
  <c r="C70" i="127" s="1"/>
  <c r="C46" i="121"/>
  <c r="C47" i="122"/>
  <c r="C47" i="124"/>
  <c r="C54" i="124"/>
  <c r="C62" i="121"/>
  <c r="C63" i="122"/>
  <c r="C63" i="124"/>
  <c r="C32" i="125"/>
  <c r="C30" i="125"/>
  <c r="C28" i="125"/>
  <c r="C66" i="125"/>
  <c r="C67" i="125" s="1"/>
  <c r="C62" i="125"/>
  <c r="C61" i="125"/>
  <c r="C57" i="125"/>
  <c r="C58" i="125" s="1"/>
  <c r="C53" i="125"/>
  <c r="C52" i="125"/>
  <c r="C51" i="125"/>
  <c r="C50" i="125"/>
  <c r="C45" i="125"/>
  <c r="C44" i="125"/>
  <c r="C43" i="125"/>
  <c r="C42" i="125"/>
  <c r="C41" i="125"/>
  <c r="C40" i="125"/>
  <c r="C39" i="125"/>
  <c r="C38" i="125"/>
  <c r="C34" i="125"/>
  <c r="C33" i="125"/>
  <c r="C31" i="125"/>
  <c r="C29" i="125"/>
  <c r="C27" i="125"/>
  <c r="C35" i="124"/>
  <c r="C54" i="122"/>
  <c r="C35" i="122"/>
  <c r="C53" i="121"/>
  <c r="C34" i="121"/>
  <c r="C69" i="124" l="1"/>
  <c r="C68" i="121"/>
  <c r="C70" i="121" s="1"/>
  <c r="C47" i="125"/>
  <c r="C54" i="125"/>
  <c r="C69" i="122"/>
  <c r="C71" i="122" s="1"/>
  <c r="C35" i="125"/>
  <c r="C63" i="125"/>
  <c r="C69" i="125" s="1"/>
  <c r="C71" i="124"/>
  <c r="C71" i="125" l="1"/>
  <c r="B41" i="98" l="1"/>
  <c r="B40" i="91"/>
  <c r="B41" i="86"/>
  <c r="B40" i="85"/>
  <c r="B41" i="82"/>
  <c r="B40" i="81"/>
  <c r="B41" i="95"/>
  <c r="B40" i="78"/>
  <c r="B41" i="76"/>
  <c r="B40" i="75"/>
  <c r="B41" i="71"/>
  <c r="B41" i="70"/>
  <c r="B40" i="69"/>
  <c r="B41" i="101"/>
  <c r="B40" i="100"/>
  <c r="B41" i="97"/>
  <c r="B41" i="64"/>
  <c r="B40" i="63"/>
  <c r="B40" i="61"/>
  <c r="B41" i="59"/>
  <c r="B40" i="58"/>
  <c r="B41" i="56"/>
  <c r="B41" i="40"/>
  <c r="B41" i="5"/>
  <c r="B41" i="53"/>
  <c r="B40" i="52"/>
  <c r="B41" i="50"/>
  <c r="B40" i="51"/>
  <c r="B41" i="47"/>
  <c r="B40" i="48"/>
  <c r="B40" i="44"/>
  <c r="B41" i="43"/>
  <c r="B41" i="92"/>
  <c r="B40" i="36"/>
  <c r="B41" i="33"/>
  <c r="B40" i="34"/>
  <c r="B41" i="31"/>
  <c r="B40" i="30"/>
  <c r="B41" i="28"/>
  <c r="B40" i="27"/>
  <c r="B41" i="24"/>
  <c r="B40" i="25"/>
  <c r="B41" i="42"/>
  <c r="B40" i="21"/>
  <c r="B41" i="20"/>
  <c r="B41" i="41"/>
  <c r="B40" i="17"/>
  <c r="B41" i="16"/>
  <c r="B41" i="94"/>
  <c r="B40" i="7"/>
  <c r="B41" i="1"/>
  <c r="C80" i="97" l="1"/>
  <c r="C21" i="97"/>
  <c r="C80" i="71"/>
  <c r="C80" i="40"/>
  <c r="C21" i="71"/>
  <c r="C21" i="40"/>
  <c r="C21" i="42"/>
  <c r="C21" i="41"/>
  <c r="C21" i="94"/>
  <c r="B42" i="98" l="1"/>
  <c r="C80" i="98"/>
  <c r="C79" i="91"/>
  <c r="C79" i="85"/>
  <c r="C80" i="86"/>
  <c r="C80" i="82"/>
  <c r="C79" i="81"/>
  <c r="C80" i="95"/>
  <c r="C79" i="78"/>
  <c r="C80" i="76"/>
  <c r="C79" i="75"/>
  <c r="C80" i="70"/>
  <c r="C79" i="69"/>
  <c r="C80" i="101"/>
  <c r="C79" i="100"/>
  <c r="C18" i="94"/>
  <c r="C79" i="63" l="1"/>
  <c r="C80" i="64"/>
  <c r="C78" i="61"/>
  <c r="C80" i="53"/>
  <c r="C80" i="59"/>
  <c r="C79" i="58"/>
  <c r="C80" i="56"/>
  <c r="C83" i="5"/>
  <c r="C79" i="52"/>
  <c r="C80" i="50"/>
  <c r="C79" i="51"/>
  <c r="C80" i="47"/>
  <c r="C79" i="48"/>
  <c r="C78" i="44"/>
  <c r="C80" i="43"/>
  <c r="C80" i="92"/>
  <c r="C79" i="36"/>
  <c r="C80" i="33"/>
  <c r="C79" i="34"/>
  <c r="C80" i="31"/>
  <c r="C79" i="30"/>
  <c r="C79" i="27"/>
  <c r="C80" i="28"/>
  <c r="C80" i="24"/>
  <c r="C79" i="25"/>
  <c r="C80" i="42"/>
  <c r="C79" i="21"/>
  <c r="C80" i="20"/>
  <c r="C80" i="41"/>
  <c r="C79" i="17"/>
  <c r="C80" i="16"/>
  <c r="C80" i="94"/>
  <c r="C79" i="7"/>
  <c r="C80" i="1"/>
  <c r="E7" i="106" l="1"/>
  <c r="C26" i="106"/>
  <c r="F8" i="117"/>
  <c r="H8" i="117" s="1"/>
  <c r="F7" i="117"/>
  <c r="H7" i="117" s="1"/>
  <c r="F6" i="117"/>
  <c r="H6" i="117" s="1"/>
  <c r="F5" i="117"/>
  <c r="H5" i="117" s="1"/>
  <c r="F4" i="117"/>
  <c r="H4" i="117" s="1"/>
  <c r="F3" i="117"/>
  <c r="H3" i="117" s="1"/>
  <c r="C31" i="106" l="1"/>
  <c r="C30" i="106"/>
  <c r="C22" i="106"/>
  <c r="C18" i="106"/>
  <c r="C8" i="106"/>
  <c r="C7" i="106"/>
  <c r="C5" i="106"/>
  <c r="C4" i="106"/>
  <c r="E8" i="106"/>
  <c r="E18" i="106"/>
  <c r="E30" i="106"/>
  <c r="E31" i="106" s="1"/>
  <c r="C6" i="106" l="1"/>
  <c r="C89" i="28"/>
  <c r="C89" i="76" s="1"/>
  <c r="C88" i="27"/>
  <c r="C88" i="75"/>
  <c r="C88" i="44"/>
  <c r="C89" i="50"/>
  <c r="C88" i="51"/>
  <c r="C90" i="31"/>
  <c r="C90" i="98" l="1"/>
  <c r="C89" i="91"/>
  <c r="C90" i="86"/>
  <c r="C89" i="85"/>
  <c r="C90" i="82"/>
  <c r="C89" i="81"/>
  <c r="C90" i="95"/>
  <c r="C89" i="78"/>
  <c r="C90" i="76"/>
  <c r="C89" i="75"/>
  <c r="C90" i="71"/>
  <c r="C90" i="70"/>
  <c r="C89" i="69"/>
  <c r="C90" i="101"/>
  <c r="C89" i="100"/>
  <c r="C90" i="97"/>
  <c r="C90" i="64"/>
  <c r="C89" i="63"/>
  <c r="C88" i="61"/>
  <c r="C90" i="59"/>
  <c r="C89" i="58"/>
  <c r="C90" i="56"/>
  <c r="C90" i="50"/>
  <c r="C90" i="40"/>
  <c r="C93" i="5"/>
  <c r="C90" i="53"/>
  <c r="C89" i="52"/>
  <c r="C89" i="51"/>
  <c r="C90" i="43"/>
  <c r="C89" i="36"/>
  <c r="C90" i="33"/>
  <c r="C89" i="34"/>
  <c r="C89" i="30"/>
  <c r="C90" i="28"/>
  <c r="C89" i="27"/>
  <c r="C90" i="24"/>
  <c r="C89" i="25"/>
  <c r="C90" i="21"/>
  <c r="C90" i="41"/>
  <c r="C89" i="17"/>
  <c r="C90" i="16"/>
  <c r="C90" i="94"/>
  <c r="C89" i="7"/>
  <c r="C90" i="1"/>
  <c r="C92" i="5" l="1"/>
  <c r="C91" i="5"/>
  <c r="B61" i="5"/>
  <c r="B53" i="5"/>
  <c r="B52" i="5"/>
  <c r="B51" i="5"/>
  <c r="B50" i="5"/>
  <c r="B54" i="5" s="1"/>
  <c r="B45" i="5"/>
  <c r="B44" i="5"/>
  <c r="B43" i="5"/>
  <c r="B42" i="5"/>
  <c r="B62" i="5" s="1"/>
  <c r="B40" i="5"/>
  <c r="B39" i="5"/>
  <c r="B38" i="5"/>
  <c r="B47" i="5" s="1"/>
  <c r="C86" i="61"/>
  <c r="B60" i="61"/>
  <c r="B52" i="61"/>
  <c r="B51" i="61"/>
  <c r="B50" i="61"/>
  <c r="B49" i="61"/>
  <c r="B53" i="61" s="1"/>
  <c r="B44" i="61"/>
  <c r="B43" i="61"/>
  <c r="B42" i="61"/>
  <c r="B41" i="61"/>
  <c r="B61" i="61" s="1"/>
  <c r="B62" i="61" s="1"/>
  <c r="B39" i="61"/>
  <c r="B38" i="61"/>
  <c r="B37" i="61"/>
  <c r="B46" i="61" s="1"/>
  <c r="C86" i="44"/>
  <c r="C91" i="44" l="1"/>
  <c r="B92" i="44" s="1"/>
  <c r="C92" i="44" s="1"/>
  <c r="C91" i="61"/>
  <c r="B92" i="61" s="1"/>
  <c r="C92" i="61" s="1"/>
  <c r="B63" i="5"/>
  <c r="C89" i="71"/>
  <c r="C88" i="71"/>
  <c r="C79" i="71"/>
  <c r="B62" i="71"/>
  <c r="B53" i="71"/>
  <c r="B52" i="71"/>
  <c r="B51" i="71"/>
  <c r="B50" i="71"/>
  <c r="B61" i="71" s="1"/>
  <c r="B63" i="71" s="1"/>
  <c r="B45" i="71"/>
  <c r="B44" i="71"/>
  <c r="B43" i="71"/>
  <c r="B42" i="71"/>
  <c r="B40" i="71"/>
  <c r="B39" i="71"/>
  <c r="B38" i="71"/>
  <c r="B47" i="71" s="1"/>
  <c r="C19" i="71"/>
  <c r="C18" i="71"/>
  <c r="C89" i="97"/>
  <c r="C88" i="97"/>
  <c r="C79" i="97"/>
  <c r="B53" i="97"/>
  <c r="B52" i="97"/>
  <c r="B51" i="97"/>
  <c r="B50" i="97"/>
  <c r="B61" i="97" s="1"/>
  <c r="B45" i="97"/>
  <c r="B44" i="97"/>
  <c r="B43" i="97"/>
  <c r="B42" i="97"/>
  <c r="B62" i="97" s="1"/>
  <c r="B40" i="97"/>
  <c r="B39" i="97"/>
  <c r="B38" i="97"/>
  <c r="B47" i="97" s="1"/>
  <c r="C19" i="97"/>
  <c r="C18" i="97"/>
  <c r="C89" i="40"/>
  <c r="C88" i="40"/>
  <c r="C79" i="40"/>
  <c r="B53" i="40"/>
  <c r="B52" i="40"/>
  <c r="B51" i="40"/>
  <c r="B50" i="40"/>
  <c r="B61" i="40" s="1"/>
  <c r="B63" i="40" s="1"/>
  <c r="B45" i="40"/>
  <c r="B44" i="40"/>
  <c r="B43" i="40"/>
  <c r="B42" i="40"/>
  <c r="B62" i="40" s="1"/>
  <c r="B40" i="40"/>
  <c r="B39" i="40"/>
  <c r="B38" i="40"/>
  <c r="B47" i="40" s="1"/>
  <c r="C19" i="40"/>
  <c r="C18" i="40"/>
  <c r="C89" i="42"/>
  <c r="C88" i="42"/>
  <c r="C79" i="42"/>
  <c r="B53" i="42"/>
  <c r="B52" i="42"/>
  <c r="B51" i="42"/>
  <c r="B50" i="42"/>
  <c r="B61" i="42" s="1"/>
  <c r="B45" i="42"/>
  <c r="B44" i="42"/>
  <c r="B43" i="42"/>
  <c r="B42" i="42"/>
  <c r="B62" i="42" s="1"/>
  <c r="B40" i="42"/>
  <c r="B39" i="42"/>
  <c r="B38" i="42"/>
  <c r="B47" i="42" s="1"/>
  <c r="C19" i="42"/>
  <c r="C18" i="42"/>
  <c r="C88" i="41"/>
  <c r="C79" i="41"/>
  <c r="B61" i="41"/>
  <c r="B53" i="41"/>
  <c r="B52" i="41"/>
  <c r="B51" i="41"/>
  <c r="B50" i="41"/>
  <c r="B54" i="41" s="1"/>
  <c r="B45" i="41"/>
  <c r="B44" i="41"/>
  <c r="B43" i="41"/>
  <c r="B42" i="41"/>
  <c r="B62" i="41" s="1"/>
  <c r="B40" i="41"/>
  <c r="B39" i="41"/>
  <c r="B38" i="41"/>
  <c r="B47" i="41" s="1"/>
  <c r="C19" i="41"/>
  <c r="C18" i="41"/>
  <c r="C93" i="41" l="1"/>
  <c r="B94" i="41" s="1"/>
  <c r="C94" i="41" s="1"/>
  <c r="C93" i="42"/>
  <c r="B94" i="42" s="1"/>
  <c r="C94" i="42" s="1"/>
  <c r="C93" i="40"/>
  <c r="B94" i="40" s="1"/>
  <c r="C94" i="40" s="1"/>
  <c r="C93" i="97"/>
  <c r="B94" i="97" s="1"/>
  <c r="C94" i="97" s="1"/>
  <c r="C93" i="71"/>
  <c r="B94" i="71" s="1"/>
  <c r="C94" i="71" s="1"/>
  <c r="B54" i="71"/>
  <c r="B63" i="97"/>
  <c r="B54" i="97"/>
  <c r="B54" i="40"/>
  <c r="B63" i="42"/>
  <c r="B54" i="42"/>
  <c r="B63" i="41"/>
  <c r="F36" i="105"/>
  <c r="F37" i="105" s="1"/>
  <c r="F39" i="105" s="1"/>
  <c r="C77" i="5" s="1"/>
  <c r="B25" i="105"/>
  <c r="B23" i="105"/>
  <c r="G17" i="105"/>
  <c r="G18" i="105" s="1"/>
  <c r="C79" i="5" s="1"/>
  <c r="G14" i="105"/>
  <c r="G13" i="105"/>
  <c r="G15" i="105" s="1"/>
  <c r="C81" i="5" s="1"/>
  <c r="G12" i="105"/>
  <c r="G4" i="105"/>
  <c r="G9" i="105" s="1"/>
  <c r="C80" i="5" s="1"/>
  <c r="F8" i="104"/>
  <c r="F9" i="104" s="1"/>
  <c r="F11" i="104" s="1"/>
  <c r="D28" i="103"/>
  <c r="F27" i="103"/>
  <c r="D27" i="103"/>
  <c r="D26" i="103"/>
  <c r="D25" i="103"/>
  <c r="D24" i="103"/>
  <c r="D23" i="103"/>
  <c r="D22" i="103"/>
  <c r="D21" i="103"/>
  <c r="D20" i="103"/>
  <c r="D19" i="103"/>
  <c r="D18" i="103"/>
  <c r="D17" i="103"/>
  <c r="F14" i="103"/>
  <c r="F28" i="103" s="1"/>
  <c r="D14" i="103"/>
  <c r="D13" i="103"/>
  <c r="D12" i="103"/>
  <c r="D11" i="103"/>
  <c r="D10" i="103"/>
  <c r="D9" i="103"/>
  <c r="D8" i="103"/>
  <c r="D7" i="103"/>
  <c r="D6" i="103"/>
  <c r="D5" i="103"/>
  <c r="D4" i="103"/>
  <c r="C88" i="98"/>
  <c r="C83" i="98"/>
  <c r="C79" i="98"/>
  <c r="B62" i="98"/>
  <c r="B63" i="98" s="1"/>
  <c r="B61" i="98"/>
  <c r="B54" i="98"/>
  <c r="B53" i="98"/>
  <c r="B52" i="98"/>
  <c r="B51" i="98"/>
  <c r="B50" i="98"/>
  <c r="B47" i="98"/>
  <c r="B45" i="98"/>
  <c r="B44" i="98"/>
  <c r="B43" i="98"/>
  <c r="B40" i="98"/>
  <c r="B39" i="98"/>
  <c r="B38" i="98"/>
  <c r="C12" i="98"/>
  <c r="C15" i="98" s="1"/>
  <c r="C87" i="91"/>
  <c r="C82" i="91"/>
  <c r="B62" i="91"/>
  <c r="B61" i="91"/>
  <c r="B60" i="91"/>
  <c r="B53" i="91"/>
  <c r="B52" i="91"/>
  <c r="B51" i="91"/>
  <c r="B50" i="91"/>
  <c r="B49" i="91"/>
  <c r="B46" i="91"/>
  <c r="B44" i="91"/>
  <c r="B43" i="91"/>
  <c r="B42" i="91"/>
  <c r="B41" i="91"/>
  <c r="B39" i="91"/>
  <c r="B38" i="91"/>
  <c r="B37" i="91"/>
  <c r="C12" i="91"/>
  <c r="C15" i="91" s="1"/>
  <c r="C89" i="86"/>
  <c r="C88" i="86"/>
  <c r="C83" i="86"/>
  <c r="C79" i="86"/>
  <c r="B63" i="86"/>
  <c r="B62" i="86"/>
  <c r="B61" i="86"/>
  <c r="B54" i="86"/>
  <c r="B53" i="86"/>
  <c r="B52" i="86"/>
  <c r="B51" i="86"/>
  <c r="B50" i="86"/>
  <c r="B47" i="86"/>
  <c r="B45" i="86"/>
  <c r="B44" i="86"/>
  <c r="B43" i="86"/>
  <c r="B42" i="86"/>
  <c r="B40" i="86"/>
  <c r="B39" i="86"/>
  <c r="B38" i="86"/>
  <c r="C12" i="86"/>
  <c r="C15" i="86" s="1"/>
  <c r="C88" i="85"/>
  <c r="C87" i="85"/>
  <c r="C82" i="85"/>
  <c r="C78" i="85"/>
  <c r="B62" i="85"/>
  <c r="B61" i="85"/>
  <c r="B60" i="85"/>
  <c r="B53" i="85"/>
  <c r="B52" i="85"/>
  <c r="B51" i="85"/>
  <c r="B50" i="85"/>
  <c r="B49" i="85"/>
  <c r="B46" i="85"/>
  <c r="B44" i="85"/>
  <c r="B43" i="85"/>
  <c r="B42" i="85"/>
  <c r="B41" i="85"/>
  <c r="B39" i="85"/>
  <c r="B38" i="85"/>
  <c r="B37" i="85"/>
  <c r="C12" i="85"/>
  <c r="C15" i="85" s="1"/>
  <c r="C89" i="82"/>
  <c r="C88" i="82"/>
  <c r="C83" i="82"/>
  <c r="C79" i="82"/>
  <c r="B63" i="82"/>
  <c r="B62" i="82"/>
  <c r="B61" i="82"/>
  <c r="B54" i="82"/>
  <c r="B53" i="82"/>
  <c r="B52" i="82"/>
  <c r="B51" i="82"/>
  <c r="B50" i="82"/>
  <c r="B47" i="82"/>
  <c r="B45" i="82"/>
  <c r="B44" i="82"/>
  <c r="B43" i="82"/>
  <c r="B42" i="82"/>
  <c r="B40" i="82"/>
  <c r="B39" i="82"/>
  <c r="B38" i="82"/>
  <c r="C12" i="82"/>
  <c r="C15" i="82" s="1"/>
  <c r="C88" i="81"/>
  <c r="C87" i="81"/>
  <c r="C82" i="81"/>
  <c r="C78" i="81"/>
  <c r="B62" i="81"/>
  <c r="B61" i="81"/>
  <c r="B60" i="81"/>
  <c r="B53" i="81"/>
  <c r="B52" i="81"/>
  <c r="B51" i="81"/>
  <c r="B50" i="81"/>
  <c r="B49" i="81"/>
  <c r="B46" i="81"/>
  <c r="B44" i="81"/>
  <c r="B43" i="81"/>
  <c r="B42" i="81"/>
  <c r="B41" i="81"/>
  <c r="B39" i="81"/>
  <c r="B38" i="81"/>
  <c r="B37" i="81"/>
  <c r="C12" i="81"/>
  <c r="C15" i="81" s="1"/>
  <c r="C89" i="95"/>
  <c r="C88" i="95"/>
  <c r="C83" i="95"/>
  <c r="C79" i="95"/>
  <c r="B63" i="95"/>
  <c r="B62" i="95"/>
  <c r="B61" i="95"/>
  <c r="B54" i="95"/>
  <c r="B53" i="95"/>
  <c r="B52" i="95"/>
  <c r="B51" i="95"/>
  <c r="B50" i="95"/>
  <c r="B47" i="95"/>
  <c r="B45" i="95"/>
  <c r="B44" i="95"/>
  <c r="B43" i="95"/>
  <c r="B42" i="95"/>
  <c r="B40" i="95"/>
  <c r="B39" i="95"/>
  <c r="B38" i="95"/>
  <c r="C12" i="95"/>
  <c r="C15" i="95" s="1"/>
  <c r="C88" i="78"/>
  <c r="C87" i="78"/>
  <c r="C82" i="78"/>
  <c r="C78" i="78"/>
  <c r="B62" i="78"/>
  <c r="B61" i="78"/>
  <c r="B60" i="78"/>
  <c r="B53" i="78"/>
  <c r="B52" i="78"/>
  <c r="B51" i="78"/>
  <c r="B50" i="78"/>
  <c r="B49" i="78"/>
  <c r="B46" i="78"/>
  <c r="B44" i="78"/>
  <c r="B43" i="78"/>
  <c r="B42" i="78"/>
  <c r="B41" i="78"/>
  <c r="B39" i="78"/>
  <c r="B38" i="78"/>
  <c r="B37" i="78"/>
  <c r="C12" i="78"/>
  <c r="C15" i="78" s="1"/>
  <c r="C88" i="76"/>
  <c r="C83" i="76"/>
  <c r="C79" i="76"/>
  <c r="B63" i="76"/>
  <c r="B62" i="76"/>
  <c r="B61" i="76"/>
  <c r="B54" i="76"/>
  <c r="B53" i="76"/>
  <c r="B52" i="76"/>
  <c r="B51" i="76"/>
  <c r="B50" i="76"/>
  <c r="B47" i="76"/>
  <c r="B45" i="76"/>
  <c r="B44" i="76"/>
  <c r="B43" i="76"/>
  <c r="B42" i="76"/>
  <c r="B40" i="76"/>
  <c r="B39" i="76"/>
  <c r="B38" i="76"/>
  <c r="C12" i="76"/>
  <c r="C15" i="76" s="1"/>
  <c r="C87" i="75"/>
  <c r="C82" i="75"/>
  <c r="C78" i="75"/>
  <c r="B62" i="75"/>
  <c r="B61" i="75"/>
  <c r="B60" i="75"/>
  <c r="B53" i="75"/>
  <c r="B52" i="75"/>
  <c r="B51" i="75"/>
  <c r="B50" i="75"/>
  <c r="B49" i="75"/>
  <c r="B46" i="75"/>
  <c r="B44" i="75"/>
  <c r="B43" i="75"/>
  <c r="B42" i="75"/>
  <c r="B41" i="75"/>
  <c r="B39" i="75"/>
  <c r="B38" i="75"/>
  <c r="B37" i="75"/>
  <c r="C12" i="75"/>
  <c r="C15" i="75" s="1"/>
  <c r="C12" i="71"/>
  <c r="C15" i="71" s="1"/>
  <c r="C89" i="70"/>
  <c r="C88" i="70"/>
  <c r="C83" i="70"/>
  <c r="C79" i="70"/>
  <c r="B63" i="70"/>
  <c r="B62" i="70"/>
  <c r="B61" i="70"/>
  <c r="B54" i="70"/>
  <c r="B53" i="70"/>
  <c r="B52" i="70"/>
  <c r="B51" i="70"/>
  <c r="B50" i="70"/>
  <c r="B47" i="70"/>
  <c r="B45" i="70"/>
  <c r="B44" i="70"/>
  <c r="B43" i="70"/>
  <c r="B42" i="70"/>
  <c r="B40" i="70"/>
  <c r="B39" i="70"/>
  <c r="B38" i="70"/>
  <c r="C12" i="70"/>
  <c r="C15" i="70" s="1"/>
  <c r="C88" i="69"/>
  <c r="C87" i="69"/>
  <c r="C82" i="69"/>
  <c r="C78" i="69"/>
  <c r="B62" i="69"/>
  <c r="B61" i="69"/>
  <c r="B60" i="69"/>
  <c r="B53" i="69"/>
  <c r="B52" i="69"/>
  <c r="B51" i="69"/>
  <c r="B50" i="69"/>
  <c r="B49" i="69"/>
  <c r="B46" i="69"/>
  <c r="B44" i="69"/>
  <c r="B43" i="69"/>
  <c r="B42" i="69"/>
  <c r="B41" i="69"/>
  <c r="B39" i="69"/>
  <c r="B38" i="69"/>
  <c r="B37" i="69"/>
  <c r="C12" i="69"/>
  <c r="C15" i="69" s="1"/>
  <c r="C89" i="101"/>
  <c r="C88" i="101"/>
  <c r="C83" i="101"/>
  <c r="C79" i="101"/>
  <c r="B63" i="101"/>
  <c r="B62" i="101"/>
  <c r="B61" i="101"/>
  <c r="B54" i="101"/>
  <c r="B53" i="101"/>
  <c r="B52" i="101"/>
  <c r="B51" i="101"/>
  <c r="B50" i="101"/>
  <c r="B47" i="101"/>
  <c r="B45" i="101"/>
  <c r="B44" i="101"/>
  <c r="B43" i="101"/>
  <c r="B42" i="101"/>
  <c r="B40" i="101"/>
  <c r="B39" i="101"/>
  <c r="B38" i="101"/>
  <c r="C12" i="101"/>
  <c r="C15" i="101" s="1"/>
  <c r="C88" i="100"/>
  <c r="C87" i="100"/>
  <c r="C82" i="100"/>
  <c r="C78" i="100"/>
  <c r="B62" i="100"/>
  <c r="B61" i="100"/>
  <c r="B60" i="100"/>
  <c r="B53" i="100"/>
  <c r="B52" i="100"/>
  <c r="B51" i="100"/>
  <c r="B50" i="100"/>
  <c r="B49" i="100"/>
  <c r="B46" i="100"/>
  <c r="B44" i="100"/>
  <c r="B43" i="100"/>
  <c r="B42" i="100"/>
  <c r="B41" i="100"/>
  <c r="B39" i="100"/>
  <c r="B38" i="100"/>
  <c r="B37" i="100"/>
  <c r="C12" i="100"/>
  <c r="C15" i="100" s="1"/>
  <c r="C12" i="97"/>
  <c r="C15" i="97" s="1"/>
  <c r="C89" i="64"/>
  <c r="C88" i="64"/>
  <c r="C83" i="64"/>
  <c r="C79" i="64"/>
  <c r="B63" i="64"/>
  <c r="B62" i="64"/>
  <c r="B61" i="64"/>
  <c r="B54" i="64"/>
  <c r="B53" i="64"/>
  <c r="B52" i="64"/>
  <c r="B51" i="64"/>
  <c r="B50" i="64"/>
  <c r="B47" i="64"/>
  <c r="B45" i="64"/>
  <c r="B44" i="64"/>
  <c r="B43" i="64"/>
  <c r="B42" i="64"/>
  <c r="B40" i="64"/>
  <c r="B39" i="64"/>
  <c r="B38" i="64"/>
  <c r="C12" i="64"/>
  <c r="C15" i="64" s="1"/>
  <c r="C88" i="63"/>
  <c r="C87" i="63"/>
  <c r="C82" i="63"/>
  <c r="C78" i="63"/>
  <c r="B62" i="63"/>
  <c r="B61" i="63"/>
  <c r="B60" i="63"/>
  <c r="B53" i="63"/>
  <c r="B52" i="63"/>
  <c r="B51" i="63"/>
  <c r="B50" i="63"/>
  <c r="B49" i="63"/>
  <c r="B46" i="63"/>
  <c r="B44" i="63"/>
  <c r="B43" i="63"/>
  <c r="B42" i="63"/>
  <c r="B41" i="63"/>
  <c r="B39" i="63"/>
  <c r="B38" i="63"/>
  <c r="B37" i="63"/>
  <c r="C12" i="63"/>
  <c r="C15" i="63" s="1"/>
  <c r="C12" i="61"/>
  <c r="C15" i="61" s="1"/>
  <c r="C88" i="59"/>
  <c r="C83" i="59"/>
  <c r="C79" i="59"/>
  <c r="B63" i="59"/>
  <c r="B62" i="59"/>
  <c r="B61" i="59"/>
  <c r="B54" i="59"/>
  <c r="B53" i="59"/>
  <c r="B52" i="59"/>
  <c r="B51" i="59"/>
  <c r="B50" i="59"/>
  <c r="B47" i="59"/>
  <c r="B45" i="59"/>
  <c r="B44" i="59"/>
  <c r="B43" i="59"/>
  <c r="B42" i="59"/>
  <c r="B40" i="59"/>
  <c r="B39" i="59"/>
  <c r="B38" i="59"/>
  <c r="C12" i="59"/>
  <c r="C15" i="59" s="1"/>
  <c r="C87" i="58"/>
  <c r="C82" i="58"/>
  <c r="C78" i="58"/>
  <c r="B62" i="58"/>
  <c r="B61" i="58"/>
  <c r="B60" i="58"/>
  <c r="B53" i="58"/>
  <c r="B52" i="58"/>
  <c r="B51" i="58"/>
  <c r="B50" i="58"/>
  <c r="B49" i="58"/>
  <c r="B46" i="58"/>
  <c r="B44" i="58"/>
  <c r="B43" i="58"/>
  <c r="B42" i="58"/>
  <c r="B41" i="58"/>
  <c r="B39" i="58"/>
  <c r="B38" i="58"/>
  <c r="B37" i="58"/>
  <c r="B33" i="58"/>
  <c r="C12" i="58"/>
  <c r="C15" i="58" s="1"/>
  <c r="C89" i="56"/>
  <c r="C88" i="56"/>
  <c r="C83" i="56"/>
  <c r="C79" i="56"/>
  <c r="B63" i="56"/>
  <c r="B62" i="56"/>
  <c r="B61" i="56"/>
  <c r="B54" i="56"/>
  <c r="B53" i="56"/>
  <c r="B52" i="56"/>
  <c r="B51" i="56"/>
  <c r="B50" i="56"/>
  <c r="B47" i="56"/>
  <c r="B45" i="56"/>
  <c r="B44" i="56"/>
  <c r="B43" i="56"/>
  <c r="B42" i="56"/>
  <c r="B40" i="56"/>
  <c r="B39" i="56"/>
  <c r="B38" i="56"/>
  <c r="C12" i="56"/>
  <c r="C15" i="56" s="1"/>
  <c r="C16" i="56" s="1"/>
  <c r="C12" i="40"/>
  <c r="C15" i="40" s="1"/>
  <c r="C96" i="5"/>
  <c r="B97" i="5" s="1"/>
  <c r="C97" i="5" s="1"/>
  <c r="C82" i="5"/>
  <c r="C78" i="5"/>
  <c r="C12" i="5"/>
  <c r="C15" i="5" s="1"/>
  <c r="C89" i="53"/>
  <c r="C88" i="53"/>
  <c r="C83" i="53"/>
  <c r="C79" i="53"/>
  <c r="B63" i="53"/>
  <c r="B62" i="53"/>
  <c r="B61" i="53"/>
  <c r="B54" i="53"/>
  <c r="B53" i="53"/>
  <c r="B52" i="53"/>
  <c r="B51" i="53"/>
  <c r="B50" i="53"/>
  <c r="B47" i="53"/>
  <c r="B45" i="53"/>
  <c r="B44" i="53"/>
  <c r="B43" i="53"/>
  <c r="B42" i="53"/>
  <c r="B40" i="53"/>
  <c r="B39" i="53"/>
  <c r="B38" i="53"/>
  <c r="C12" i="53"/>
  <c r="C15" i="53" s="1"/>
  <c r="C88" i="52"/>
  <c r="C92" i="52" s="1"/>
  <c r="B93" i="52" s="1"/>
  <c r="C87" i="52"/>
  <c r="C82" i="52"/>
  <c r="C78" i="52"/>
  <c r="B62" i="52"/>
  <c r="B61" i="52"/>
  <c r="B60" i="52"/>
  <c r="B53" i="52"/>
  <c r="B52" i="52"/>
  <c r="B51" i="52"/>
  <c r="B50" i="52"/>
  <c r="B49" i="52"/>
  <c r="B46" i="52"/>
  <c r="B44" i="52"/>
  <c r="B43" i="52"/>
  <c r="B42" i="52"/>
  <c r="B41" i="52"/>
  <c r="B39" i="52"/>
  <c r="B38" i="52"/>
  <c r="B37" i="52"/>
  <c r="C12" i="52"/>
  <c r="C15" i="52" s="1"/>
  <c r="C88" i="50"/>
  <c r="C83" i="50"/>
  <c r="C79" i="50"/>
  <c r="B63" i="50"/>
  <c r="B62" i="50"/>
  <c r="B61" i="50"/>
  <c r="B54" i="50"/>
  <c r="B53" i="50"/>
  <c r="B52" i="50"/>
  <c r="B51" i="50"/>
  <c r="B50" i="50"/>
  <c r="B47" i="50"/>
  <c r="B45" i="50"/>
  <c r="B44" i="50"/>
  <c r="B43" i="50"/>
  <c r="B42" i="50"/>
  <c r="B40" i="50"/>
  <c r="B39" i="50"/>
  <c r="B38" i="50"/>
  <c r="C12" i="50"/>
  <c r="C15" i="50" s="1"/>
  <c r="C76" i="50" s="1"/>
  <c r="C87" i="51"/>
  <c r="C82" i="51"/>
  <c r="C78" i="51"/>
  <c r="B62" i="51"/>
  <c r="B61" i="51"/>
  <c r="B60" i="51"/>
  <c r="B53" i="51"/>
  <c r="B52" i="51"/>
  <c r="B51" i="51"/>
  <c r="B50" i="51"/>
  <c r="B49" i="51"/>
  <c r="B46" i="51"/>
  <c r="B44" i="51"/>
  <c r="B43" i="51"/>
  <c r="B42" i="51"/>
  <c r="B41" i="51"/>
  <c r="B39" i="51"/>
  <c r="B38" i="51"/>
  <c r="B37" i="51"/>
  <c r="C12" i="51"/>
  <c r="C15" i="51" s="1"/>
  <c r="C89" i="47"/>
  <c r="C88" i="47"/>
  <c r="C83" i="47"/>
  <c r="C79" i="47"/>
  <c r="B63" i="47"/>
  <c r="B62" i="47"/>
  <c r="B61" i="47"/>
  <c r="B54" i="47"/>
  <c r="B53" i="47"/>
  <c r="B52" i="47"/>
  <c r="B51" i="47"/>
  <c r="B50" i="47"/>
  <c r="B47" i="47"/>
  <c r="B45" i="47"/>
  <c r="B44" i="47"/>
  <c r="B43" i="47"/>
  <c r="B42" i="47"/>
  <c r="B40" i="47"/>
  <c r="B39" i="47"/>
  <c r="B38" i="47"/>
  <c r="C12" i="47"/>
  <c r="C15" i="47" s="1"/>
  <c r="C88" i="48"/>
  <c r="C87" i="48"/>
  <c r="C82" i="48"/>
  <c r="C78" i="48"/>
  <c r="B62" i="48"/>
  <c r="B61" i="48"/>
  <c r="B60" i="48"/>
  <c r="B53" i="48"/>
  <c r="B52" i="48"/>
  <c r="B51" i="48"/>
  <c r="B50" i="48"/>
  <c r="B49" i="48"/>
  <c r="B46" i="48"/>
  <c r="B44" i="48"/>
  <c r="B43" i="48"/>
  <c r="B42" i="48"/>
  <c r="B41" i="48"/>
  <c r="B39" i="48"/>
  <c r="B38" i="48"/>
  <c r="B37" i="48"/>
  <c r="C12" i="48"/>
  <c r="C15" i="48" s="1"/>
  <c r="B62" i="44"/>
  <c r="B61" i="44"/>
  <c r="B60" i="44"/>
  <c r="B53" i="44"/>
  <c r="B52" i="44"/>
  <c r="B51" i="44"/>
  <c r="B50" i="44"/>
  <c r="B49" i="44"/>
  <c r="B46" i="44"/>
  <c r="B44" i="44"/>
  <c r="B43" i="44"/>
  <c r="B42" i="44"/>
  <c r="B41" i="44"/>
  <c r="B39" i="44"/>
  <c r="B38" i="44"/>
  <c r="B37" i="44"/>
  <c r="C12" i="44"/>
  <c r="C15" i="44" s="1"/>
  <c r="C89" i="43"/>
  <c r="C88" i="43"/>
  <c r="C83" i="43"/>
  <c r="C79" i="43"/>
  <c r="B63" i="43"/>
  <c r="B62" i="43"/>
  <c r="B61" i="43"/>
  <c r="B54" i="43"/>
  <c r="B53" i="43"/>
  <c r="B52" i="43"/>
  <c r="B51" i="43"/>
  <c r="B50" i="43"/>
  <c r="B47" i="43"/>
  <c r="B45" i="43"/>
  <c r="B44" i="43"/>
  <c r="B43" i="43"/>
  <c r="B42" i="43"/>
  <c r="B40" i="43"/>
  <c r="B39" i="43"/>
  <c r="B38" i="43"/>
  <c r="C12" i="43"/>
  <c r="C15" i="43" s="1"/>
  <c r="C89" i="92"/>
  <c r="C88" i="92"/>
  <c r="C83" i="92"/>
  <c r="B63" i="92"/>
  <c r="B62" i="92"/>
  <c r="B61" i="92"/>
  <c r="B54" i="92"/>
  <c r="B53" i="92"/>
  <c r="B52" i="92"/>
  <c r="B51" i="92"/>
  <c r="B50" i="92"/>
  <c r="B47" i="92"/>
  <c r="B45" i="92"/>
  <c r="B44" i="92"/>
  <c r="B43" i="92"/>
  <c r="B42" i="92"/>
  <c r="B40" i="92"/>
  <c r="B39" i="92"/>
  <c r="B38" i="92"/>
  <c r="C12" i="92"/>
  <c r="C15" i="92" s="1"/>
  <c r="C88" i="36"/>
  <c r="C87" i="36"/>
  <c r="C82" i="36"/>
  <c r="B62" i="36"/>
  <c r="B61" i="36"/>
  <c r="B60" i="36"/>
  <c r="B53" i="36"/>
  <c r="B52" i="36"/>
  <c r="B51" i="36"/>
  <c r="B50" i="36"/>
  <c r="B49" i="36"/>
  <c r="B46" i="36"/>
  <c r="B44" i="36"/>
  <c r="B43" i="36"/>
  <c r="B42" i="36"/>
  <c r="B41" i="36"/>
  <c r="B39" i="36"/>
  <c r="B38" i="36"/>
  <c r="B37" i="36"/>
  <c r="C12" i="36"/>
  <c r="C15" i="36" s="1"/>
  <c r="C16" i="36" s="1"/>
  <c r="C89" i="33"/>
  <c r="C88" i="33"/>
  <c r="C83" i="33"/>
  <c r="C79" i="33"/>
  <c r="B63" i="33"/>
  <c r="B62" i="33"/>
  <c r="B61" i="33"/>
  <c r="B54" i="33"/>
  <c r="B53" i="33"/>
  <c r="B52" i="33"/>
  <c r="B51" i="33"/>
  <c r="B50" i="33"/>
  <c r="B47" i="33"/>
  <c r="B45" i="33"/>
  <c r="B44" i="33"/>
  <c r="B43" i="33"/>
  <c r="B42" i="33"/>
  <c r="B40" i="33"/>
  <c r="B39" i="33"/>
  <c r="B38" i="33"/>
  <c r="C12" i="33"/>
  <c r="C15" i="33" s="1"/>
  <c r="C88" i="34"/>
  <c r="C87" i="34"/>
  <c r="C82" i="34"/>
  <c r="B62" i="34"/>
  <c r="B61" i="34"/>
  <c r="B60" i="34"/>
  <c r="B53" i="34"/>
  <c r="B52" i="34"/>
  <c r="B51" i="34"/>
  <c r="B50" i="34"/>
  <c r="B49" i="34"/>
  <c r="B46" i="34"/>
  <c r="B44" i="34"/>
  <c r="B43" i="34"/>
  <c r="B42" i="34"/>
  <c r="B41" i="34"/>
  <c r="B39" i="34"/>
  <c r="B38" i="34"/>
  <c r="B37" i="34"/>
  <c r="B33" i="34"/>
  <c r="C12" i="34"/>
  <c r="C15" i="34" s="1"/>
  <c r="C88" i="31"/>
  <c r="C83" i="31"/>
  <c r="C79" i="31"/>
  <c r="B63" i="31"/>
  <c r="B62" i="31"/>
  <c r="B61" i="31"/>
  <c r="B54" i="31"/>
  <c r="B53" i="31"/>
  <c r="B52" i="31"/>
  <c r="B51" i="31"/>
  <c r="B50" i="31"/>
  <c r="B47" i="31"/>
  <c r="B45" i="31"/>
  <c r="B44" i="31"/>
  <c r="B43" i="31"/>
  <c r="B42" i="31"/>
  <c r="B40" i="31"/>
  <c r="B39" i="31"/>
  <c r="B38" i="31"/>
  <c r="C12" i="31"/>
  <c r="C15" i="31" s="1"/>
  <c r="C87" i="30"/>
  <c r="C92" i="30" s="1"/>
  <c r="B93" i="30" s="1"/>
  <c r="C82" i="30"/>
  <c r="C78" i="30"/>
  <c r="B62" i="30"/>
  <c r="B61" i="30"/>
  <c r="B60" i="30"/>
  <c r="B53" i="30"/>
  <c r="B52" i="30"/>
  <c r="B51" i="30"/>
  <c r="B50" i="30"/>
  <c r="B49" i="30"/>
  <c r="B46" i="30"/>
  <c r="B44" i="30"/>
  <c r="B43" i="30"/>
  <c r="B42" i="30"/>
  <c r="B41" i="30"/>
  <c r="B39" i="30"/>
  <c r="B38" i="30"/>
  <c r="B37" i="30"/>
  <c r="C12" i="30"/>
  <c r="C15" i="30" s="1"/>
  <c r="C88" i="28"/>
  <c r="C93" i="28" s="1"/>
  <c r="B94" i="28" s="1"/>
  <c r="C83" i="28"/>
  <c r="C79" i="28"/>
  <c r="B63" i="28"/>
  <c r="B62" i="28"/>
  <c r="B61" i="28"/>
  <c r="B54" i="28"/>
  <c r="B53" i="28"/>
  <c r="B52" i="28"/>
  <c r="B51" i="28"/>
  <c r="B50" i="28"/>
  <c r="B47" i="28"/>
  <c r="B45" i="28"/>
  <c r="B44" i="28"/>
  <c r="B43" i="28"/>
  <c r="B42" i="28"/>
  <c r="B40" i="28"/>
  <c r="B39" i="28"/>
  <c r="B38" i="28"/>
  <c r="C12" i="28"/>
  <c r="C15" i="28" s="1"/>
  <c r="C16" i="28" s="1"/>
  <c r="C20" i="28" s="1"/>
  <c r="C87" i="27"/>
  <c r="C92" i="27" s="1"/>
  <c r="B93" i="27" s="1"/>
  <c r="C82" i="27"/>
  <c r="C78" i="27"/>
  <c r="B62" i="27"/>
  <c r="B61" i="27"/>
  <c r="B60" i="27"/>
  <c r="B53" i="27"/>
  <c r="B52" i="27"/>
  <c r="B51" i="27"/>
  <c r="B50" i="27"/>
  <c r="B49" i="27"/>
  <c r="B46" i="27"/>
  <c r="B44" i="27"/>
  <c r="B43" i="27"/>
  <c r="B42" i="27"/>
  <c r="B41" i="27"/>
  <c r="B39" i="27"/>
  <c r="B38" i="27"/>
  <c r="B37" i="27"/>
  <c r="C12" i="27"/>
  <c r="C15" i="27" s="1"/>
  <c r="C89" i="24"/>
  <c r="C88" i="24"/>
  <c r="C83" i="24"/>
  <c r="C79" i="24"/>
  <c r="B63" i="24"/>
  <c r="B62" i="24"/>
  <c r="B61" i="24"/>
  <c r="B54" i="24"/>
  <c r="B53" i="24"/>
  <c r="B52" i="24"/>
  <c r="B51" i="24"/>
  <c r="B50" i="24"/>
  <c r="B47" i="24"/>
  <c r="B45" i="24"/>
  <c r="B44" i="24"/>
  <c r="B43" i="24"/>
  <c r="B42" i="24"/>
  <c r="B40" i="24"/>
  <c r="B39" i="24"/>
  <c r="B38" i="24"/>
  <c r="C12" i="24"/>
  <c r="C15" i="24" s="1"/>
  <c r="C16" i="24" s="1"/>
  <c r="C20" i="24" s="1"/>
  <c r="C88" i="25"/>
  <c r="C87" i="25"/>
  <c r="C82" i="25"/>
  <c r="C78" i="25"/>
  <c r="B62" i="25"/>
  <c r="B61" i="25"/>
  <c r="B60" i="25"/>
  <c r="B53" i="25"/>
  <c r="B52" i="25"/>
  <c r="B51" i="25"/>
  <c r="B50" i="25"/>
  <c r="B49" i="25"/>
  <c r="B46" i="25"/>
  <c r="B44" i="25"/>
  <c r="B43" i="25"/>
  <c r="B42" i="25"/>
  <c r="B41" i="25"/>
  <c r="B39" i="25"/>
  <c r="B38" i="25"/>
  <c r="B37" i="25"/>
  <c r="C12" i="25"/>
  <c r="C15" i="25" s="1"/>
  <c r="C12" i="42"/>
  <c r="C15" i="42" s="1"/>
  <c r="C88" i="21"/>
  <c r="C87" i="21"/>
  <c r="C82" i="21"/>
  <c r="C78" i="21"/>
  <c r="B62" i="21"/>
  <c r="B61" i="21"/>
  <c r="B60" i="21"/>
  <c r="B53" i="21"/>
  <c r="B52" i="21"/>
  <c r="B51" i="21"/>
  <c r="B50" i="21"/>
  <c r="B49" i="21"/>
  <c r="B46" i="21"/>
  <c r="B44" i="21"/>
  <c r="B43" i="21"/>
  <c r="B42" i="21"/>
  <c r="B41" i="21"/>
  <c r="B39" i="21"/>
  <c r="B38" i="21"/>
  <c r="B37" i="21"/>
  <c r="C12" i="21"/>
  <c r="C15" i="21" s="1"/>
  <c r="C89" i="20"/>
  <c r="C88" i="20"/>
  <c r="C83" i="20"/>
  <c r="C79" i="20"/>
  <c r="B63" i="20"/>
  <c r="B62" i="20"/>
  <c r="B61" i="20"/>
  <c r="B54" i="20"/>
  <c r="B53" i="20"/>
  <c r="B52" i="20"/>
  <c r="B51" i="20"/>
  <c r="B50" i="20"/>
  <c r="B47" i="20"/>
  <c r="B45" i="20"/>
  <c r="B44" i="20"/>
  <c r="B43" i="20"/>
  <c r="B42" i="20"/>
  <c r="B40" i="20"/>
  <c r="B39" i="20"/>
  <c r="B38" i="20"/>
  <c r="C12" i="20"/>
  <c r="C15" i="20" s="1"/>
  <c r="C12" i="41"/>
  <c r="C15" i="41" s="1"/>
  <c r="C87" i="17"/>
  <c r="C82" i="17"/>
  <c r="C78" i="17"/>
  <c r="B62" i="17"/>
  <c r="B61" i="17"/>
  <c r="B60" i="17"/>
  <c r="B53" i="17"/>
  <c r="B52" i="17"/>
  <c r="B51" i="17"/>
  <c r="B50" i="17"/>
  <c r="B49" i="17"/>
  <c r="B46" i="17"/>
  <c r="B44" i="17"/>
  <c r="B43" i="17"/>
  <c r="B42" i="17"/>
  <c r="B41" i="17"/>
  <c r="B39" i="17"/>
  <c r="B38" i="17"/>
  <c r="B37" i="17"/>
  <c r="C12" i="17"/>
  <c r="C15" i="17" s="1"/>
  <c r="C88" i="16"/>
  <c r="C83" i="16"/>
  <c r="C79" i="16"/>
  <c r="B63" i="16"/>
  <c r="B62" i="16"/>
  <c r="B61" i="16"/>
  <c r="B54" i="16"/>
  <c r="B53" i="16"/>
  <c r="B52" i="16"/>
  <c r="B51" i="16"/>
  <c r="B50" i="16"/>
  <c r="B47" i="16"/>
  <c r="B45" i="16"/>
  <c r="B44" i="16"/>
  <c r="B43" i="16"/>
  <c r="B42" i="16"/>
  <c r="B40" i="16"/>
  <c r="B39" i="16"/>
  <c r="B38" i="16"/>
  <c r="B34" i="16"/>
  <c r="B35" i="16" s="1"/>
  <c r="C12" i="16"/>
  <c r="C15" i="16" s="1"/>
  <c r="C89" i="94"/>
  <c r="C88" i="94"/>
  <c r="C79" i="94"/>
  <c r="B63" i="94"/>
  <c r="B62" i="94"/>
  <c r="B61" i="94"/>
  <c r="B54" i="94"/>
  <c r="B53" i="94"/>
  <c r="B52" i="94"/>
  <c r="B51" i="94"/>
  <c r="B50" i="94"/>
  <c r="B47" i="94"/>
  <c r="B45" i="94"/>
  <c r="B44" i="94"/>
  <c r="B43" i="94"/>
  <c r="B42" i="94"/>
  <c r="B40" i="94"/>
  <c r="B39" i="94"/>
  <c r="B38" i="94"/>
  <c r="C19" i="94"/>
  <c r="C12" i="94"/>
  <c r="C15" i="94" s="1"/>
  <c r="C88" i="7"/>
  <c r="C87" i="7"/>
  <c r="C82" i="7"/>
  <c r="C78" i="7"/>
  <c r="B62" i="7"/>
  <c r="B61" i="7"/>
  <c r="B60" i="7"/>
  <c r="B53" i="7"/>
  <c r="B52" i="7"/>
  <c r="B51" i="7"/>
  <c r="B50" i="7"/>
  <c r="B49" i="7"/>
  <c r="B46" i="7"/>
  <c r="B44" i="7"/>
  <c r="B43" i="7"/>
  <c r="B42" i="7"/>
  <c r="B41" i="7"/>
  <c r="B39" i="7"/>
  <c r="B38" i="7"/>
  <c r="B37" i="7"/>
  <c r="C12" i="7"/>
  <c r="C15" i="7" s="1"/>
  <c r="C89" i="1"/>
  <c r="C88" i="1"/>
  <c r="C83" i="1"/>
  <c r="C79" i="1"/>
  <c r="B63" i="1"/>
  <c r="B62" i="1"/>
  <c r="B61" i="1"/>
  <c r="B54" i="1"/>
  <c r="B53" i="1"/>
  <c r="B52" i="1"/>
  <c r="B51" i="1"/>
  <c r="B50" i="1"/>
  <c r="B47" i="1"/>
  <c r="B45" i="1"/>
  <c r="B44" i="1"/>
  <c r="B43" i="1"/>
  <c r="B42" i="1"/>
  <c r="B40" i="1"/>
  <c r="B39" i="1"/>
  <c r="B38" i="1"/>
  <c r="C12" i="1"/>
  <c r="C15" i="1" s="1"/>
  <c r="C76" i="1" s="1"/>
  <c r="B33" i="36"/>
  <c r="B18" i="106"/>
  <c r="F5" i="106"/>
  <c r="C77" i="128" l="1"/>
  <c r="C77" i="126"/>
  <c r="C77" i="125"/>
  <c r="C77" i="124"/>
  <c r="C77" i="122"/>
  <c r="C77" i="40"/>
  <c r="C77" i="71"/>
  <c r="C77" i="97"/>
  <c r="C77" i="42"/>
  <c r="C77" i="41"/>
  <c r="C77" i="98"/>
  <c r="C77" i="76"/>
  <c r="C81" i="76" s="1"/>
  <c r="C77" i="70"/>
  <c r="C76" i="69"/>
  <c r="C77" i="101"/>
  <c r="C76" i="100"/>
  <c r="C76" i="58"/>
  <c r="C77" i="50"/>
  <c r="C81" i="50" s="1"/>
  <c r="C77" i="43"/>
  <c r="C77" i="92"/>
  <c r="C77" i="33"/>
  <c r="C77" i="31"/>
  <c r="C81" i="31" s="1"/>
  <c r="C77" i="28"/>
  <c r="C76" i="21"/>
  <c r="C77" i="20"/>
  <c r="C76" i="17"/>
  <c r="C76" i="7"/>
  <c r="C77" i="86"/>
  <c r="C76" i="85"/>
  <c r="C77" i="82"/>
  <c r="C81" i="82" s="1"/>
  <c r="C76" i="81"/>
  <c r="C77" i="95"/>
  <c r="C81" i="95" s="1"/>
  <c r="C76" i="78"/>
  <c r="C76" i="75"/>
  <c r="C77" i="64"/>
  <c r="C76" i="63"/>
  <c r="C77" i="59"/>
  <c r="C77" i="56"/>
  <c r="C77" i="53"/>
  <c r="C76" i="52"/>
  <c r="C80" i="52" s="1"/>
  <c r="C76" i="51"/>
  <c r="C77" i="47"/>
  <c r="C76" i="48"/>
  <c r="C76" i="30"/>
  <c r="C76" i="27"/>
  <c r="C77" i="24"/>
  <c r="C76" i="25"/>
  <c r="C77" i="16"/>
  <c r="C77" i="94"/>
  <c r="C77" i="1"/>
  <c r="E8" i="104"/>
  <c r="E9" i="104" s="1"/>
  <c r="E11" i="104" s="1"/>
  <c r="C73" i="127"/>
  <c r="C74" i="128"/>
  <c r="C74" i="126"/>
  <c r="C74" i="122"/>
  <c r="C74" i="124"/>
  <c r="C73" i="121"/>
  <c r="C74" i="125"/>
  <c r="C74" i="5"/>
  <c r="C73" i="61"/>
  <c r="C74" i="71"/>
  <c r="C74" i="41"/>
  <c r="C74" i="97"/>
  <c r="C74" i="40"/>
  <c r="C74" i="42"/>
  <c r="C74" i="86"/>
  <c r="C74" i="82"/>
  <c r="C74" i="95"/>
  <c r="C73" i="69"/>
  <c r="C73" i="100"/>
  <c r="C74" i="64"/>
  <c r="C74" i="59"/>
  <c r="C73" i="58"/>
  <c r="C74" i="56"/>
  <c r="C73" i="52"/>
  <c r="C74" i="50"/>
  <c r="C73" i="51"/>
  <c r="C73" i="48"/>
  <c r="C73" i="44"/>
  <c r="C74" i="92"/>
  <c r="C74" i="33"/>
  <c r="C74" i="31"/>
  <c r="C73" i="30"/>
  <c r="C74" i="28"/>
  <c r="C73" i="27"/>
  <c r="C73" i="25"/>
  <c r="C73" i="21"/>
  <c r="C73" i="17"/>
  <c r="C74" i="16"/>
  <c r="C74" i="1"/>
  <c r="C74" i="98"/>
  <c r="C73" i="91"/>
  <c r="C73" i="85"/>
  <c r="C73" i="81"/>
  <c r="C73" i="78"/>
  <c r="C74" i="76"/>
  <c r="C73" i="75"/>
  <c r="C74" i="70"/>
  <c r="C74" i="101"/>
  <c r="C73" i="63"/>
  <c r="C74" i="53"/>
  <c r="C74" i="47"/>
  <c r="C74" i="43"/>
  <c r="C73" i="36"/>
  <c r="C73" i="34"/>
  <c r="C74" i="24"/>
  <c r="C74" i="20"/>
  <c r="C74" i="94"/>
  <c r="C73" i="7"/>
  <c r="C81" i="128"/>
  <c r="C85" i="128" s="1"/>
  <c r="C95" i="128" s="1"/>
  <c r="C97" i="128" s="1"/>
  <c r="C99" i="128" s="1"/>
  <c r="Q70" i="102" s="1"/>
  <c r="T70" i="102" s="1"/>
  <c r="V70" i="102" s="1"/>
  <c r="C75" i="126"/>
  <c r="C81" i="126" s="1"/>
  <c r="C85" i="126" s="1"/>
  <c r="C95" i="126" s="1"/>
  <c r="C97" i="126" s="1"/>
  <c r="C99" i="126" s="1"/>
  <c r="C81" i="125"/>
  <c r="C85" i="125" s="1"/>
  <c r="C95" i="125" s="1"/>
  <c r="C97" i="125" s="1"/>
  <c r="C99" i="125" s="1"/>
  <c r="Q62" i="102" s="1"/>
  <c r="T62" i="102" s="1"/>
  <c r="V62" i="102" s="1"/>
  <c r="C75" i="124"/>
  <c r="C81" i="124" s="1"/>
  <c r="C85" i="124" s="1"/>
  <c r="C95" i="124" s="1"/>
  <c r="C97" i="124" s="1"/>
  <c r="C99" i="124" s="1"/>
  <c r="Q60" i="102" s="1"/>
  <c r="T60" i="102" s="1"/>
  <c r="V60" i="102" s="1"/>
  <c r="C81" i="122"/>
  <c r="C85" i="122" s="1"/>
  <c r="C95" i="122" s="1"/>
  <c r="C97" i="122" s="1"/>
  <c r="C99" i="122" s="1"/>
  <c r="Q58" i="102" s="1"/>
  <c r="T58" i="102" s="1"/>
  <c r="V58" i="102" s="1"/>
  <c r="C16" i="50"/>
  <c r="C20" i="50" s="1"/>
  <c r="C92" i="48"/>
  <c r="B93" i="48" s="1"/>
  <c r="C93" i="48" s="1"/>
  <c r="C93" i="47"/>
  <c r="B94" i="47" s="1"/>
  <c r="C16" i="51"/>
  <c r="C17" i="51" s="1"/>
  <c r="C21" i="51" s="1"/>
  <c r="C75" i="51"/>
  <c r="C93" i="53"/>
  <c r="B94" i="53" s="1"/>
  <c r="C92" i="100"/>
  <c r="B93" i="100" s="1"/>
  <c r="C80" i="17"/>
  <c r="C74" i="61"/>
  <c r="C75" i="97"/>
  <c r="C81" i="97" s="1"/>
  <c r="C75" i="40"/>
  <c r="C75" i="42"/>
  <c r="C75" i="71"/>
  <c r="C75" i="41"/>
  <c r="C80" i="75"/>
  <c r="C80" i="100"/>
  <c r="C81" i="53"/>
  <c r="C80" i="25"/>
  <c r="C81" i="20"/>
  <c r="C75" i="94"/>
  <c r="C81" i="94" s="1"/>
  <c r="C80" i="7"/>
  <c r="C80" i="78"/>
  <c r="C81" i="92"/>
  <c r="C80" i="30"/>
  <c r="C81" i="16"/>
  <c r="C16" i="17"/>
  <c r="C20" i="17" s="1"/>
  <c r="C16" i="41"/>
  <c r="C17" i="41" s="1"/>
  <c r="C16" i="20"/>
  <c r="C17" i="20" s="1"/>
  <c r="C16" i="27"/>
  <c r="C16" i="31"/>
  <c r="C20" i="31" s="1"/>
  <c r="C16" i="33"/>
  <c r="C20" i="33" s="1"/>
  <c r="C16" i="47"/>
  <c r="C16" i="53"/>
  <c r="C16" i="58"/>
  <c r="C16" i="1"/>
  <c r="D18" i="1" s="1"/>
  <c r="C18" i="1" s="1"/>
  <c r="C16" i="7"/>
  <c r="C17" i="7" s="1"/>
  <c r="C16" i="94"/>
  <c r="C17" i="94" s="1"/>
  <c r="C16" i="16"/>
  <c r="C17" i="16" s="1"/>
  <c r="C16" i="21"/>
  <c r="C17" i="21" s="1"/>
  <c r="C21" i="21" s="1"/>
  <c r="C16" i="42"/>
  <c r="C17" i="42" s="1"/>
  <c r="C23" i="42" s="1"/>
  <c r="C16" i="25"/>
  <c r="C17" i="25" s="1"/>
  <c r="C21" i="25" s="1"/>
  <c r="D18" i="24"/>
  <c r="C18" i="24" s="1"/>
  <c r="C17" i="24"/>
  <c r="D18" i="28"/>
  <c r="C18" i="28" s="1"/>
  <c r="C17" i="28"/>
  <c r="C16" i="30"/>
  <c r="C17" i="30" s="1"/>
  <c r="C17" i="31"/>
  <c r="C16" i="34"/>
  <c r="C17" i="34" s="1"/>
  <c r="C21" i="34" s="1"/>
  <c r="C17" i="33"/>
  <c r="C17" i="36"/>
  <c r="C21" i="36" s="1"/>
  <c r="C20" i="36"/>
  <c r="C16" i="92"/>
  <c r="C17" i="92" s="1"/>
  <c r="C16" i="43"/>
  <c r="C17" i="43" s="1"/>
  <c r="C16" i="44"/>
  <c r="C17" i="44" s="1"/>
  <c r="C16" i="48"/>
  <c r="C17" i="48" s="1"/>
  <c r="C21" i="48" s="1"/>
  <c r="C17" i="47"/>
  <c r="C20" i="51"/>
  <c r="D18" i="50"/>
  <c r="C18" i="50" s="1"/>
  <c r="C16" i="52"/>
  <c r="C17" i="52" s="1"/>
  <c r="C21" i="52" s="1"/>
  <c r="C17" i="53"/>
  <c r="C16" i="5"/>
  <c r="C20" i="5" s="1"/>
  <c r="D18" i="56"/>
  <c r="C18" i="56" s="1"/>
  <c r="C17" i="56"/>
  <c r="C20" i="56"/>
  <c r="C16" i="40"/>
  <c r="C17" i="40" s="1"/>
  <c r="C23" i="40" s="1"/>
  <c r="C16" i="59"/>
  <c r="C17" i="59" s="1"/>
  <c r="C16" i="100"/>
  <c r="C20" i="100" s="1"/>
  <c r="C16" i="101"/>
  <c r="C20" i="101" s="1"/>
  <c r="C16" i="63"/>
  <c r="C17" i="63" s="1"/>
  <c r="C16" i="64"/>
  <c r="D18" i="64" s="1"/>
  <c r="C18" i="64" s="1"/>
  <c r="C16" i="97"/>
  <c r="C17" i="97" s="1"/>
  <c r="C23" i="97" s="1"/>
  <c r="C16" i="69"/>
  <c r="C17" i="69" s="1"/>
  <c r="C21" i="69" s="1"/>
  <c r="C16" i="70"/>
  <c r="C20" i="70" s="1"/>
  <c r="C16" i="95"/>
  <c r="C17" i="95" s="1"/>
  <c r="C16" i="61"/>
  <c r="C17" i="61" s="1"/>
  <c r="C21" i="61" s="1"/>
  <c r="C16" i="71"/>
  <c r="C17" i="71" s="1"/>
  <c r="C16" i="75"/>
  <c r="C17" i="75" s="1"/>
  <c r="C21" i="75" s="1"/>
  <c r="C16" i="76"/>
  <c r="C16" i="78"/>
  <c r="C17" i="78" s="1"/>
  <c r="C21" i="78" s="1"/>
  <c r="C92" i="78"/>
  <c r="B93" i="78" s="1"/>
  <c r="C93" i="78" s="1"/>
  <c r="C16" i="81"/>
  <c r="C17" i="81" s="1"/>
  <c r="C16" i="82"/>
  <c r="C20" i="82" s="1"/>
  <c r="C16" i="85"/>
  <c r="C17" i="85" s="1"/>
  <c r="C21" i="85" s="1"/>
  <c r="C81" i="98"/>
  <c r="C16" i="98"/>
  <c r="C20" i="98" s="1"/>
  <c r="C17" i="82"/>
  <c r="C16" i="86"/>
  <c r="D18" i="86" s="1"/>
  <c r="C18" i="86" s="1"/>
  <c r="C16" i="91"/>
  <c r="C17" i="91" s="1"/>
  <c r="C92" i="63"/>
  <c r="B93" i="63" s="1"/>
  <c r="C93" i="63" s="1"/>
  <c r="C93" i="101"/>
  <c r="B94" i="101" s="1"/>
  <c r="C93" i="56"/>
  <c r="B94" i="56" s="1"/>
  <c r="C94" i="56" s="1"/>
  <c r="C92" i="58"/>
  <c r="B93" i="58" s="1"/>
  <c r="C93" i="58" s="1"/>
  <c r="C93" i="59"/>
  <c r="B94" i="59" s="1"/>
  <c r="C94" i="59" s="1"/>
  <c r="C92" i="7"/>
  <c r="B93" i="7" s="1"/>
  <c r="C93" i="7" s="1"/>
  <c r="C93" i="16"/>
  <c r="B94" i="16" s="1"/>
  <c r="C94" i="16" s="1"/>
  <c r="C92" i="25"/>
  <c r="B93" i="25" s="1"/>
  <c r="C93" i="25" s="1"/>
  <c r="C93" i="64"/>
  <c r="B94" i="64" s="1"/>
  <c r="C94" i="64" s="1"/>
  <c r="C92" i="81"/>
  <c r="B93" i="81" s="1"/>
  <c r="C93" i="81" s="1"/>
  <c r="C93" i="94"/>
  <c r="B94" i="94" s="1"/>
  <c r="C94" i="94" s="1"/>
  <c r="B34" i="36"/>
  <c r="B57" i="16"/>
  <c r="B66" i="16"/>
  <c r="B33" i="25"/>
  <c r="B33" i="7"/>
  <c r="B33" i="17"/>
  <c r="B34" i="20"/>
  <c r="B34" i="34"/>
  <c r="B34" i="58"/>
  <c r="B34" i="97"/>
  <c r="B35" i="97" s="1"/>
  <c r="B34" i="94"/>
  <c r="B33" i="44"/>
  <c r="B34" i="44" s="1"/>
  <c r="B65" i="44" s="1"/>
  <c r="B66" i="44" s="1"/>
  <c r="B34" i="41"/>
  <c r="B35" i="41" s="1"/>
  <c r="B34" i="40"/>
  <c r="B35" i="40" s="1"/>
  <c r="B34" i="5"/>
  <c r="B34" i="42"/>
  <c r="B35" i="42" s="1"/>
  <c r="B33" i="61"/>
  <c r="B34" i="61" s="1"/>
  <c r="B34" i="71"/>
  <c r="B35" i="71" s="1"/>
  <c r="B34" i="98"/>
  <c r="B34" i="82"/>
  <c r="B34" i="101"/>
  <c r="B34" i="86"/>
  <c r="B33" i="85"/>
  <c r="B33" i="81"/>
  <c r="B34" i="76"/>
  <c r="B33" i="75"/>
  <c r="B34" i="70"/>
  <c r="B33" i="100"/>
  <c r="B34" i="64"/>
  <c r="B33" i="69"/>
  <c r="B34" i="56"/>
  <c r="B34" i="53"/>
  <c r="B33" i="52"/>
  <c r="B34" i="47"/>
  <c r="B33" i="48"/>
  <c r="B34" i="43"/>
  <c r="B34" i="92"/>
  <c r="B34" i="28"/>
  <c r="B33" i="27"/>
  <c r="B33" i="91"/>
  <c r="B34" i="95"/>
  <c r="B33" i="63"/>
  <c r="B34" i="33"/>
  <c r="B34" i="31"/>
  <c r="B33" i="78"/>
  <c r="B34" i="59"/>
  <c r="B34" i="50"/>
  <c r="B33" i="51"/>
  <c r="B33" i="30"/>
  <c r="B34" i="24"/>
  <c r="B33" i="21"/>
  <c r="C93" i="20"/>
  <c r="B94" i="20" s="1"/>
  <c r="C94" i="20" s="1"/>
  <c r="C93" i="31"/>
  <c r="B94" i="31" s="1"/>
  <c r="C94" i="31" s="1"/>
  <c r="C92" i="34"/>
  <c r="B93" i="34" s="1"/>
  <c r="C93" i="34" s="1"/>
  <c r="C92" i="91"/>
  <c r="B93" i="91" s="1"/>
  <c r="C93" i="91" s="1"/>
  <c r="C93" i="98"/>
  <c r="B94" i="98" s="1"/>
  <c r="C94" i="98" s="1"/>
  <c r="C93" i="24"/>
  <c r="B94" i="24" s="1"/>
  <c r="C94" i="24" s="1"/>
  <c r="C92" i="75"/>
  <c r="B93" i="75" s="1"/>
  <c r="C93" i="75" s="1"/>
  <c r="C80" i="27"/>
  <c r="C81" i="47"/>
  <c r="C80" i="63"/>
  <c r="C80" i="85"/>
  <c r="C81" i="101"/>
  <c r="C80" i="48"/>
  <c r="C81" i="59"/>
  <c r="C81" i="86"/>
  <c r="C84" i="5"/>
  <c r="C81" i="42"/>
  <c r="C81" i="28"/>
  <c r="C81" i="56"/>
  <c r="C81" i="24"/>
  <c r="C81" i="70"/>
  <c r="C81" i="64"/>
  <c r="C81" i="33"/>
  <c r="C81" i="43"/>
  <c r="C92" i="51"/>
  <c r="B93" i="51" s="1"/>
  <c r="C93" i="51" s="1"/>
  <c r="C93" i="95"/>
  <c r="B94" i="95" s="1"/>
  <c r="C94" i="95" s="1"/>
  <c r="C93" i="86"/>
  <c r="B94" i="86" s="1"/>
  <c r="C94" i="86" s="1"/>
  <c r="C93" i="92"/>
  <c r="B94" i="92" s="1"/>
  <c r="C94" i="92" s="1"/>
  <c r="C93" i="76"/>
  <c r="B94" i="76" s="1"/>
  <c r="C94" i="76" s="1"/>
  <c r="C92" i="85"/>
  <c r="B93" i="85" s="1"/>
  <c r="C93" i="85" s="1"/>
  <c r="C93" i="82"/>
  <c r="B94" i="82" s="1"/>
  <c r="C93" i="50"/>
  <c r="B94" i="50" s="1"/>
  <c r="C94" i="50" s="1"/>
  <c r="C93" i="43"/>
  <c r="B94" i="43" s="1"/>
  <c r="C94" i="43" s="1"/>
  <c r="C92" i="21"/>
  <c r="B93" i="21" s="1"/>
  <c r="C93" i="21" s="1"/>
  <c r="C93" i="1"/>
  <c r="B94" i="1" s="1"/>
  <c r="C94" i="1" s="1"/>
  <c r="C92" i="17"/>
  <c r="B93" i="17" s="1"/>
  <c r="C93" i="17" s="1"/>
  <c r="C93" i="33"/>
  <c r="B94" i="33" s="1"/>
  <c r="C94" i="33" s="1"/>
  <c r="C92" i="36"/>
  <c r="B93" i="36" s="1"/>
  <c r="C93" i="36" s="1"/>
  <c r="C92" i="69"/>
  <c r="B93" i="69" s="1"/>
  <c r="C93" i="69" s="1"/>
  <c r="C93" i="70"/>
  <c r="B94" i="70" s="1"/>
  <c r="C94" i="70" s="1"/>
  <c r="C94" i="82"/>
  <c r="C94" i="101"/>
  <c r="C93" i="100"/>
  <c r="C94" i="53"/>
  <c r="C93" i="52"/>
  <c r="C94" i="47"/>
  <c r="C93" i="30"/>
  <c r="C94" i="28"/>
  <c r="C93" i="27"/>
  <c r="C81" i="40" l="1"/>
  <c r="C81" i="1"/>
  <c r="C80" i="21"/>
  <c r="C76" i="121"/>
  <c r="C80" i="121" s="1"/>
  <c r="C84" i="121" s="1"/>
  <c r="C94" i="121" s="1"/>
  <c r="C96" i="121" s="1"/>
  <c r="C98" i="121" s="1"/>
  <c r="Q56" i="102" s="1"/>
  <c r="T56" i="102" s="1"/>
  <c r="V56" i="102" s="1"/>
  <c r="C76" i="36"/>
  <c r="C80" i="36" s="1"/>
  <c r="C76" i="44"/>
  <c r="C76" i="127"/>
  <c r="C80" i="127" s="1"/>
  <c r="C84" i="127" s="1"/>
  <c r="C94" i="127" s="1"/>
  <c r="C96" i="127" s="1"/>
  <c r="C98" i="127" s="1"/>
  <c r="Q68" i="102" s="1"/>
  <c r="T68" i="102" s="1"/>
  <c r="V68" i="102" s="1"/>
  <c r="C80" i="91"/>
  <c r="C79" i="61"/>
  <c r="C80" i="34"/>
  <c r="D18" i="70"/>
  <c r="C18" i="70" s="1"/>
  <c r="C17" i="70"/>
  <c r="C17" i="101"/>
  <c r="C17" i="50"/>
  <c r="C80" i="51"/>
  <c r="D18" i="33"/>
  <c r="C18" i="33" s="1"/>
  <c r="C21" i="33" s="1"/>
  <c r="C23" i="33" s="1"/>
  <c r="C29" i="40"/>
  <c r="C33" i="40"/>
  <c r="C34" i="40"/>
  <c r="C43" i="40"/>
  <c r="C20" i="91"/>
  <c r="C17" i="86"/>
  <c r="D18" i="82"/>
  <c r="C18" i="82" s="1"/>
  <c r="C17" i="98"/>
  <c r="C20" i="78"/>
  <c r="D18" i="101"/>
  <c r="C18" i="101" s="1"/>
  <c r="C21" i="56"/>
  <c r="C20" i="21"/>
  <c r="C22" i="21" s="1"/>
  <c r="C33" i="21" s="1"/>
  <c r="C17" i="17"/>
  <c r="C21" i="17" s="1"/>
  <c r="C20" i="1"/>
  <c r="C38" i="40"/>
  <c r="C28" i="40"/>
  <c r="C62" i="40"/>
  <c r="C27" i="40"/>
  <c r="C53" i="40"/>
  <c r="C39" i="40"/>
  <c r="C50" i="40"/>
  <c r="C51" i="40"/>
  <c r="C33" i="97"/>
  <c r="C61" i="97"/>
  <c r="C44" i="97"/>
  <c r="C30" i="97"/>
  <c r="C52" i="97"/>
  <c r="C45" i="97"/>
  <c r="C41" i="97"/>
  <c r="C32" i="97"/>
  <c r="C42" i="97"/>
  <c r="C31" i="97"/>
  <c r="C53" i="97"/>
  <c r="C29" i="97"/>
  <c r="C51" i="97"/>
  <c r="C40" i="97"/>
  <c r="C62" i="97"/>
  <c r="C50" i="97"/>
  <c r="C43" i="97"/>
  <c r="C39" i="97"/>
  <c r="C28" i="97"/>
  <c r="C38" i="97"/>
  <c r="C27" i="97"/>
  <c r="C29" i="42"/>
  <c r="C44" i="42"/>
  <c r="C62" i="42"/>
  <c r="C50" i="42"/>
  <c r="C43" i="42"/>
  <c r="C39" i="42"/>
  <c r="C28" i="42"/>
  <c r="C30" i="42"/>
  <c r="C27" i="42"/>
  <c r="C53" i="42"/>
  <c r="C33" i="42"/>
  <c r="C51" i="42"/>
  <c r="C40" i="42"/>
  <c r="C52" i="42"/>
  <c r="C45" i="42"/>
  <c r="C41" i="42"/>
  <c r="C32" i="42"/>
  <c r="C42" i="42"/>
  <c r="C31" i="42"/>
  <c r="C61" i="42"/>
  <c r="C38" i="42"/>
  <c r="C23" i="41"/>
  <c r="C52" i="41" s="1"/>
  <c r="C30" i="40"/>
  <c r="C44" i="40"/>
  <c r="C31" i="40"/>
  <c r="C42" i="40"/>
  <c r="C61" i="40"/>
  <c r="C63" i="40" s="1"/>
  <c r="C32" i="40"/>
  <c r="C41" i="40"/>
  <c r="C45" i="40"/>
  <c r="C52" i="40"/>
  <c r="C40" i="40"/>
  <c r="C23" i="71"/>
  <c r="C50" i="71" s="1"/>
  <c r="C21" i="82"/>
  <c r="C23" i="82" s="1"/>
  <c r="C34" i="82" s="1"/>
  <c r="D18" i="98"/>
  <c r="C18" i="98" s="1"/>
  <c r="C20" i="81"/>
  <c r="C20" i="75"/>
  <c r="C22" i="75" s="1"/>
  <c r="C33" i="75" s="1"/>
  <c r="C22" i="61"/>
  <c r="C20" i="69"/>
  <c r="C22" i="69" s="1"/>
  <c r="C33" i="69" s="1"/>
  <c r="C17" i="100"/>
  <c r="C21" i="100" s="1"/>
  <c r="C21" i="50"/>
  <c r="D18" i="31"/>
  <c r="C18" i="31" s="1"/>
  <c r="C22" i="17"/>
  <c r="C29" i="17" s="1"/>
  <c r="D18" i="16"/>
  <c r="C18" i="16" s="1"/>
  <c r="C21" i="16" s="1"/>
  <c r="C20" i="25"/>
  <c r="C22" i="25" s="1"/>
  <c r="C33" i="25" s="1"/>
  <c r="C20" i="16"/>
  <c r="C20" i="30"/>
  <c r="C17" i="1"/>
  <c r="C21" i="91"/>
  <c r="C22" i="91" s="1"/>
  <c r="C21" i="63"/>
  <c r="C21" i="44"/>
  <c r="C22" i="44" s="1"/>
  <c r="C21" i="7"/>
  <c r="C31" i="17"/>
  <c r="C26" i="17"/>
  <c r="C51" i="17"/>
  <c r="C43" i="17"/>
  <c r="C39" i="17"/>
  <c r="C28" i="17"/>
  <c r="C21" i="81"/>
  <c r="C21" i="30"/>
  <c r="C34" i="42"/>
  <c r="C34" i="97"/>
  <c r="C62" i="71"/>
  <c r="B56" i="44"/>
  <c r="B57" i="44" s="1"/>
  <c r="B68" i="44" s="1"/>
  <c r="C37" i="61"/>
  <c r="C50" i="61"/>
  <c r="C31" i="61"/>
  <c r="C38" i="61"/>
  <c r="C49" i="61"/>
  <c r="C80" i="81"/>
  <c r="C80" i="69"/>
  <c r="C81" i="71"/>
  <c r="C79" i="44"/>
  <c r="C80" i="58"/>
  <c r="C20" i="86"/>
  <c r="C21" i="98"/>
  <c r="C23" i="98" s="1"/>
  <c r="C20" i="85"/>
  <c r="C22" i="85" s="1"/>
  <c r="C33" i="85" s="1"/>
  <c r="C22" i="78"/>
  <c r="C33" i="78" s="1"/>
  <c r="D18" i="76"/>
  <c r="C18" i="76" s="1"/>
  <c r="C20" i="76"/>
  <c r="C17" i="64"/>
  <c r="D18" i="95"/>
  <c r="C18" i="95" s="1"/>
  <c r="C21" i="95" s="1"/>
  <c r="C20" i="95"/>
  <c r="C20" i="64"/>
  <c r="C20" i="63"/>
  <c r="C22" i="63" s="1"/>
  <c r="C17" i="76"/>
  <c r="C21" i="76" s="1"/>
  <c r="D18" i="59"/>
  <c r="C18" i="59" s="1"/>
  <c r="C20" i="59"/>
  <c r="C23" i="56"/>
  <c r="C17" i="5"/>
  <c r="D18" i="5"/>
  <c r="C18" i="5" s="1"/>
  <c r="C20" i="43"/>
  <c r="D18" i="92"/>
  <c r="C18" i="92" s="1"/>
  <c r="C20" i="92"/>
  <c r="C20" i="34"/>
  <c r="C22" i="34" s="1"/>
  <c r="C21" i="31"/>
  <c r="C23" i="31" s="1"/>
  <c r="C21" i="28"/>
  <c r="C23" i="28" s="1"/>
  <c r="C34" i="28" s="1"/>
  <c r="C17" i="27"/>
  <c r="C21" i="27" s="1"/>
  <c r="C21" i="24"/>
  <c r="C23" i="24" s="1"/>
  <c r="C34" i="24" s="1"/>
  <c r="C20" i="7"/>
  <c r="C22" i="7" s="1"/>
  <c r="C20" i="58"/>
  <c r="C17" i="58"/>
  <c r="C21" i="58" s="1"/>
  <c r="D18" i="53"/>
  <c r="C18" i="53" s="1"/>
  <c r="C21" i="53" s="1"/>
  <c r="C20" i="53"/>
  <c r="C20" i="52"/>
  <c r="C22" i="52" s="1"/>
  <c r="D18" i="47"/>
  <c r="C18" i="47" s="1"/>
  <c r="C20" i="47"/>
  <c r="C20" i="48"/>
  <c r="C22" i="48" s="1"/>
  <c r="D18" i="43"/>
  <c r="C18" i="43" s="1"/>
  <c r="C21" i="43" s="1"/>
  <c r="C20" i="27"/>
  <c r="D18" i="20"/>
  <c r="C18" i="20" s="1"/>
  <c r="C21" i="20" s="1"/>
  <c r="C20" i="20"/>
  <c r="C22" i="51"/>
  <c r="C21" i="86"/>
  <c r="C23" i="86" s="1"/>
  <c r="C21" i="59"/>
  <c r="C21" i="92"/>
  <c r="C21" i="1"/>
  <c r="C22" i="36"/>
  <c r="B35" i="33"/>
  <c r="B35" i="56"/>
  <c r="C34" i="56"/>
  <c r="B34" i="85"/>
  <c r="B35" i="24"/>
  <c r="B35" i="59"/>
  <c r="B34" i="63"/>
  <c r="B35" i="28"/>
  <c r="B35" i="47"/>
  <c r="B34" i="69"/>
  <c r="B34" i="75"/>
  <c r="B35" i="86"/>
  <c r="B57" i="71"/>
  <c r="B66" i="71"/>
  <c r="B57" i="40"/>
  <c r="B66" i="40"/>
  <c r="B57" i="97"/>
  <c r="B66" i="97"/>
  <c r="B65" i="34"/>
  <c r="B56" i="34"/>
  <c r="B58" i="16"/>
  <c r="B34" i="21"/>
  <c r="B34" i="27"/>
  <c r="B35" i="70"/>
  <c r="B35" i="5"/>
  <c r="B35" i="94"/>
  <c r="B34" i="7"/>
  <c r="B34" i="30"/>
  <c r="B34" i="78"/>
  <c r="B35" i="95"/>
  <c r="B35" i="92"/>
  <c r="B34" i="52"/>
  <c r="B35" i="64"/>
  <c r="B35" i="76"/>
  <c r="B35" i="101"/>
  <c r="B65" i="61"/>
  <c r="B56" i="61"/>
  <c r="B66" i="41"/>
  <c r="B67" i="41" s="1"/>
  <c r="B57" i="41"/>
  <c r="B58" i="41" s="1"/>
  <c r="B35" i="20"/>
  <c r="B34" i="25"/>
  <c r="B35" i="50"/>
  <c r="B34" i="48"/>
  <c r="B35" i="98"/>
  <c r="B67" i="16"/>
  <c r="B35" i="1"/>
  <c r="B34" i="51"/>
  <c r="C33" i="51"/>
  <c r="B35" i="31"/>
  <c r="B34" i="91"/>
  <c r="B35" i="43"/>
  <c r="B35" i="53"/>
  <c r="B34" i="100"/>
  <c r="B34" i="81"/>
  <c r="B35" i="82"/>
  <c r="B57" i="42"/>
  <c r="B66" i="42"/>
  <c r="B65" i="58"/>
  <c r="B56" i="58"/>
  <c r="B34" i="17"/>
  <c r="B65" i="36"/>
  <c r="B56" i="36"/>
  <c r="C54" i="97"/>
  <c r="C54" i="42"/>
  <c r="C62" i="41"/>
  <c r="C50" i="41"/>
  <c r="C43" i="41"/>
  <c r="C39" i="41"/>
  <c r="C28" i="41"/>
  <c r="C44" i="41"/>
  <c r="C40" i="41"/>
  <c r="C30" i="41"/>
  <c r="C27" i="41"/>
  <c r="C34" i="41"/>
  <c r="C29" i="41"/>
  <c r="C21" i="101" l="1"/>
  <c r="C23" i="101" s="1"/>
  <c r="C23" i="50"/>
  <c r="C34" i="50" s="1"/>
  <c r="C21" i="70"/>
  <c r="C23" i="70" s="1"/>
  <c r="C34" i="70" s="1"/>
  <c r="C33" i="17"/>
  <c r="C23" i="43"/>
  <c r="C37" i="17"/>
  <c r="C41" i="17"/>
  <c r="C49" i="17"/>
  <c r="C60" i="17"/>
  <c r="C27" i="17"/>
  <c r="C22" i="30"/>
  <c r="C33" i="30" s="1"/>
  <c r="C23" i="92"/>
  <c r="C34" i="92" s="1"/>
  <c r="C57" i="41"/>
  <c r="C58" i="41" s="1"/>
  <c r="C23" i="1"/>
  <c r="C30" i="1" s="1"/>
  <c r="C53" i="71"/>
  <c r="C34" i="71"/>
  <c r="C32" i="17"/>
  <c r="C38" i="17"/>
  <c r="C40" i="17"/>
  <c r="C42" i="17"/>
  <c r="C44" i="17"/>
  <c r="C50" i="17"/>
  <c r="C52" i="17"/>
  <c r="C61" i="17"/>
  <c r="C30" i="17"/>
  <c r="C23" i="16"/>
  <c r="C66" i="16" s="1"/>
  <c r="C67" i="16" s="1"/>
  <c r="C47" i="42"/>
  <c r="B69" i="16"/>
  <c r="C47" i="40"/>
  <c r="C27" i="71"/>
  <c r="C38" i="71"/>
  <c r="C35" i="40"/>
  <c r="C63" i="42"/>
  <c r="C35" i="42"/>
  <c r="C35" i="97"/>
  <c r="C47" i="97"/>
  <c r="C54" i="40"/>
  <c r="C33" i="41"/>
  <c r="C53" i="41"/>
  <c r="C31" i="41"/>
  <c r="C38" i="41"/>
  <c r="C42" i="41"/>
  <c r="C51" i="41"/>
  <c r="C54" i="41" s="1"/>
  <c r="C61" i="41"/>
  <c r="C63" i="41" s="1"/>
  <c r="C32" i="41"/>
  <c r="C35" i="41" s="1"/>
  <c r="C41" i="41"/>
  <c r="C45" i="41"/>
  <c r="C29" i="71"/>
  <c r="C31" i="71"/>
  <c r="C42" i="71"/>
  <c r="C52" i="71"/>
  <c r="C43" i="71"/>
  <c r="C39" i="71"/>
  <c r="C28" i="71"/>
  <c r="C44" i="71"/>
  <c r="C33" i="71"/>
  <c r="C61" i="71"/>
  <c r="C63" i="71" s="1"/>
  <c r="C30" i="71"/>
  <c r="C45" i="71"/>
  <c r="C41" i="71"/>
  <c r="C32" i="71"/>
  <c r="C51" i="71"/>
  <c r="C40" i="71"/>
  <c r="C63" i="97"/>
  <c r="C61" i="61"/>
  <c r="C51" i="61"/>
  <c r="C40" i="61"/>
  <c r="C29" i="61"/>
  <c r="C52" i="61"/>
  <c r="C39" i="61"/>
  <c r="C26" i="61"/>
  <c r="C44" i="61"/>
  <c r="C32" i="61"/>
  <c r="C27" i="61"/>
  <c r="C43" i="61"/>
  <c r="C33" i="61"/>
  <c r="C21" i="47"/>
  <c r="C23" i="47" s="1"/>
  <c r="C28" i="47" s="1"/>
  <c r="C23" i="20"/>
  <c r="C32" i="20" s="1"/>
  <c r="C23" i="53"/>
  <c r="C32" i="53" s="1"/>
  <c r="C23" i="59"/>
  <c r="C30" i="59" s="1"/>
  <c r="C23" i="95"/>
  <c r="C32" i="95" s="1"/>
  <c r="C42" i="61"/>
  <c r="C28" i="61"/>
  <c r="C60" i="61"/>
  <c r="C41" i="61"/>
  <c r="C30" i="61"/>
  <c r="C22" i="81"/>
  <c r="C52" i="81" s="1"/>
  <c r="C22" i="100"/>
  <c r="C62" i="20"/>
  <c r="C51" i="20"/>
  <c r="C43" i="20"/>
  <c r="C39" i="20"/>
  <c r="C31" i="20"/>
  <c r="C62" i="43"/>
  <c r="C61" i="43"/>
  <c r="C53" i="43"/>
  <c r="C52" i="43"/>
  <c r="C51" i="43"/>
  <c r="C50" i="43"/>
  <c r="C45" i="43"/>
  <c r="C44" i="43"/>
  <c r="C43" i="43"/>
  <c r="C42" i="43"/>
  <c r="C41" i="43"/>
  <c r="C40" i="43"/>
  <c r="C39" i="43"/>
  <c r="C38" i="43"/>
  <c r="C33" i="43"/>
  <c r="C31" i="43"/>
  <c r="C29" i="43"/>
  <c r="C27" i="43"/>
  <c r="C32" i="43"/>
  <c r="C28" i="43"/>
  <c r="C30" i="43"/>
  <c r="C34" i="43"/>
  <c r="C61" i="52"/>
  <c r="C60" i="52"/>
  <c r="C52" i="52"/>
  <c r="C51" i="52"/>
  <c r="C50" i="52"/>
  <c r="C49" i="52"/>
  <c r="C44" i="52"/>
  <c r="C43" i="52"/>
  <c r="C42" i="52"/>
  <c r="C41" i="52"/>
  <c r="C40" i="52"/>
  <c r="C39" i="52"/>
  <c r="C38" i="52"/>
  <c r="C37" i="52"/>
  <c r="C32" i="52"/>
  <c r="C30" i="52"/>
  <c r="C28" i="52"/>
  <c r="C26" i="52"/>
  <c r="C29" i="52"/>
  <c r="C31" i="52"/>
  <c r="C27" i="52"/>
  <c r="C33" i="52"/>
  <c r="C28" i="53"/>
  <c r="C52" i="53"/>
  <c r="C44" i="53"/>
  <c r="C40" i="53"/>
  <c r="C29" i="53"/>
  <c r="C32" i="59"/>
  <c r="C28" i="59"/>
  <c r="C61" i="59"/>
  <c r="C52" i="59"/>
  <c r="C50" i="59"/>
  <c r="C44" i="59"/>
  <c r="C42" i="59"/>
  <c r="C40" i="59"/>
  <c r="C38" i="59"/>
  <c r="C31" i="59"/>
  <c r="C27" i="59"/>
  <c r="C28" i="95"/>
  <c r="C52" i="95"/>
  <c r="C44" i="95"/>
  <c r="C40" i="95"/>
  <c r="C31" i="95"/>
  <c r="C32" i="98"/>
  <c r="C30" i="98"/>
  <c r="C28" i="98"/>
  <c r="C62" i="98"/>
  <c r="C61" i="98"/>
  <c r="C53" i="98"/>
  <c r="C52" i="98"/>
  <c r="C51" i="98"/>
  <c r="C50" i="98"/>
  <c r="C45" i="98"/>
  <c r="C44" i="98"/>
  <c r="C43" i="98"/>
  <c r="C42" i="98"/>
  <c r="C41" i="98"/>
  <c r="C40" i="98"/>
  <c r="C39" i="98"/>
  <c r="C38" i="98"/>
  <c r="C33" i="98"/>
  <c r="C31" i="98"/>
  <c r="C29" i="98"/>
  <c r="C27" i="98"/>
  <c r="C34" i="98"/>
  <c r="C61" i="81"/>
  <c r="C50" i="81"/>
  <c r="C42" i="81"/>
  <c r="C38" i="81"/>
  <c r="C28" i="81"/>
  <c r="C27" i="81"/>
  <c r="C28" i="1"/>
  <c r="C52" i="1"/>
  <c r="C44" i="1"/>
  <c r="C40" i="1"/>
  <c r="C31" i="1"/>
  <c r="C62" i="86"/>
  <c r="C61" i="86"/>
  <c r="C53" i="86"/>
  <c r="C52" i="86"/>
  <c r="C51" i="86"/>
  <c r="C50" i="86"/>
  <c r="C45" i="86"/>
  <c r="C44" i="86"/>
  <c r="C43" i="86"/>
  <c r="C42" i="86"/>
  <c r="C41" i="86"/>
  <c r="C40" i="86"/>
  <c r="C39" i="86"/>
  <c r="C38" i="86"/>
  <c r="C33" i="86"/>
  <c r="C31" i="86"/>
  <c r="C29" i="86"/>
  <c r="C27" i="86"/>
  <c r="C32" i="86"/>
  <c r="C30" i="86"/>
  <c r="C28" i="86"/>
  <c r="C34" i="86"/>
  <c r="C61" i="48"/>
  <c r="C60" i="48"/>
  <c r="C52" i="48"/>
  <c r="C51" i="48"/>
  <c r="C50" i="48"/>
  <c r="C49" i="48"/>
  <c r="C44" i="48"/>
  <c r="C43" i="48"/>
  <c r="C42" i="48"/>
  <c r="C41" i="48"/>
  <c r="C40" i="48"/>
  <c r="C39" i="48"/>
  <c r="C38" i="48"/>
  <c r="C37" i="48"/>
  <c r="C32" i="48"/>
  <c r="C30" i="48"/>
  <c r="C28" i="48"/>
  <c r="C26" i="48"/>
  <c r="C29" i="48"/>
  <c r="C31" i="48"/>
  <c r="C27" i="48"/>
  <c r="C33" i="48"/>
  <c r="C32" i="47"/>
  <c r="C61" i="47"/>
  <c r="C50" i="47"/>
  <c r="C42" i="47"/>
  <c r="C38" i="47"/>
  <c r="C27" i="47"/>
  <c r="D34" i="7"/>
  <c r="D46" i="7"/>
  <c r="D53" i="7"/>
  <c r="D62" i="7"/>
  <c r="C31" i="7"/>
  <c r="C29" i="7"/>
  <c r="C27" i="7"/>
  <c r="C61" i="7"/>
  <c r="C60" i="7"/>
  <c r="C52" i="7"/>
  <c r="C51" i="7"/>
  <c r="C50" i="7"/>
  <c r="C49" i="7"/>
  <c r="C44" i="7"/>
  <c r="C43" i="7"/>
  <c r="C42" i="7"/>
  <c r="C41" i="7"/>
  <c r="C40" i="7"/>
  <c r="C39" i="7"/>
  <c r="C38" i="7"/>
  <c r="C37" i="7"/>
  <c r="C32" i="7"/>
  <c r="C30" i="7"/>
  <c r="C28" i="7"/>
  <c r="C26" i="7"/>
  <c r="C33" i="7"/>
  <c r="C32" i="31"/>
  <c r="C30" i="31"/>
  <c r="C28" i="31"/>
  <c r="C62" i="31"/>
  <c r="C61" i="31"/>
  <c r="C53" i="31"/>
  <c r="C52" i="31"/>
  <c r="C51" i="31"/>
  <c r="C50" i="31"/>
  <c r="C45" i="31"/>
  <c r="C44" i="31"/>
  <c r="C43" i="31"/>
  <c r="C42" i="31"/>
  <c r="C41" i="31"/>
  <c r="C40" i="31"/>
  <c r="C39" i="31"/>
  <c r="C38" i="31"/>
  <c r="C33" i="31"/>
  <c r="C29" i="31"/>
  <c r="C31" i="31"/>
  <c r="C27" i="31"/>
  <c r="C34" i="31"/>
  <c r="C32" i="33"/>
  <c r="C30" i="33"/>
  <c r="C28" i="33"/>
  <c r="C62" i="33"/>
  <c r="C61" i="33"/>
  <c r="C53" i="33"/>
  <c r="C52" i="33"/>
  <c r="C51" i="33"/>
  <c r="C50" i="33"/>
  <c r="C45" i="33"/>
  <c r="C44" i="33"/>
  <c r="C43" i="33"/>
  <c r="C42" i="33"/>
  <c r="C41" i="33"/>
  <c r="C40" i="33"/>
  <c r="C39" i="33"/>
  <c r="C38" i="33"/>
  <c r="C33" i="33"/>
  <c r="C29" i="33"/>
  <c r="C31" i="33"/>
  <c r="C27" i="33"/>
  <c r="C34" i="33"/>
  <c r="C32" i="101"/>
  <c r="C30" i="101"/>
  <c r="C28" i="101"/>
  <c r="C62" i="101"/>
  <c r="C61" i="101"/>
  <c r="C53" i="101"/>
  <c r="C52" i="101"/>
  <c r="C51" i="101"/>
  <c r="C50" i="101"/>
  <c r="C45" i="101"/>
  <c r="C44" i="101"/>
  <c r="C43" i="101"/>
  <c r="C42" i="101"/>
  <c r="C41" i="101"/>
  <c r="C40" i="101"/>
  <c r="C39" i="101"/>
  <c r="C38" i="101"/>
  <c r="C33" i="101"/>
  <c r="C31" i="101"/>
  <c r="C29" i="101"/>
  <c r="C27" i="101"/>
  <c r="C34" i="101"/>
  <c r="C61" i="63"/>
  <c r="C60" i="63"/>
  <c r="C52" i="63"/>
  <c r="C51" i="63"/>
  <c r="C50" i="63"/>
  <c r="C49" i="63"/>
  <c r="C44" i="63"/>
  <c r="C43" i="63"/>
  <c r="C42" i="63"/>
  <c r="C41" i="63"/>
  <c r="C40" i="63"/>
  <c r="C39" i="63"/>
  <c r="C38" i="63"/>
  <c r="C37" i="63"/>
  <c r="C32" i="63"/>
  <c r="C30" i="63"/>
  <c r="C28" i="63"/>
  <c r="C26" i="63"/>
  <c r="C31" i="63"/>
  <c r="C29" i="63"/>
  <c r="C27" i="63"/>
  <c r="C33" i="63"/>
  <c r="C44" i="44"/>
  <c r="C38" i="44"/>
  <c r="C41" i="44"/>
  <c r="C61" i="44"/>
  <c r="C60" i="44"/>
  <c r="C52" i="44"/>
  <c r="C40" i="44"/>
  <c r="C29" i="44"/>
  <c r="C42" i="44"/>
  <c r="C31" i="44"/>
  <c r="C49" i="44"/>
  <c r="C37" i="44"/>
  <c r="C26" i="44"/>
  <c r="C51" i="44"/>
  <c r="C39" i="44"/>
  <c r="C28" i="44"/>
  <c r="C56" i="44"/>
  <c r="C57" i="44" s="1"/>
  <c r="C65" i="44"/>
  <c r="C66" i="44" s="1"/>
  <c r="C33" i="44"/>
  <c r="C50" i="44"/>
  <c r="C27" i="44"/>
  <c r="C30" i="44"/>
  <c r="C43" i="44"/>
  <c r="C32" i="44"/>
  <c r="C31" i="91"/>
  <c r="C29" i="91"/>
  <c r="C27" i="91"/>
  <c r="C61" i="91"/>
  <c r="C60" i="91"/>
  <c r="C52" i="91"/>
  <c r="C51" i="91"/>
  <c r="C50" i="91"/>
  <c r="C49" i="91"/>
  <c r="C44" i="91"/>
  <c r="C43" i="91"/>
  <c r="C42" i="91"/>
  <c r="C41" i="91"/>
  <c r="C40" i="91"/>
  <c r="C39" i="91"/>
  <c r="C38" i="91"/>
  <c r="C37" i="91"/>
  <c r="C32" i="91"/>
  <c r="C30" i="91"/>
  <c r="C28" i="91"/>
  <c r="C26" i="91"/>
  <c r="C33" i="91"/>
  <c r="C61" i="34"/>
  <c r="C60" i="34"/>
  <c r="C52" i="34"/>
  <c r="C51" i="34"/>
  <c r="C50" i="34"/>
  <c r="C49" i="34"/>
  <c r="C44" i="34"/>
  <c r="C43" i="34"/>
  <c r="C42" i="34"/>
  <c r="C41" i="34"/>
  <c r="C40" i="34"/>
  <c r="C39" i="34"/>
  <c r="C38" i="34"/>
  <c r="C37" i="34"/>
  <c r="C31" i="34"/>
  <c r="C29" i="34"/>
  <c r="C27" i="34"/>
  <c r="C32" i="34"/>
  <c r="C28" i="34"/>
  <c r="C30" i="34"/>
  <c r="C26" i="34"/>
  <c r="C33" i="34"/>
  <c r="C61" i="51"/>
  <c r="C60" i="51"/>
  <c r="C52" i="51"/>
  <c r="C51" i="51"/>
  <c r="C50" i="51"/>
  <c r="C49" i="51"/>
  <c r="C44" i="51"/>
  <c r="C43" i="51"/>
  <c r="C42" i="51"/>
  <c r="C41" i="51"/>
  <c r="C40" i="51"/>
  <c r="C39" i="51"/>
  <c r="C38" i="51"/>
  <c r="C37" i="51"/>
  <c r="C32" i="51"/>
  <c r="C30" i="51"/>
  <c r="C28" i="51"/>
  <c r="C26" i="51"/>
  <c r="C31" i="51"/>
  <c r="C27" i="51"/>
  <c r="C29" i="51"/>
  <c r="C31" i="25"/>
  <c r="C29" i="25"/>
  <c r="C27" i="25"/>
  <c r="C61" i="25"/>
  <c r="C60" i="25"/>
  <c r="C52" i="25"/>
  <c r="C51" i="25"/>
  <c r="C50" i="25"/>
  <c r="C49" i="25"/>
  <c r="C44" i="25"/>
  <c r="C43" i="25"/>
  <c r="C42" i="25"/>
  <c r="C41" i="25"/>
  <c r="C40" i="25"/>
  <c r="C39" i="25"/>
  <c r="C38" i="25"/>
  <c r="C37" i="25"/>
  <c r="C32" i="25"/>
  <c r="C28" i="25"/>
  <c r="C30" i="25"/>
  <c r="C26" i="25"/>
  <c r="C21" i="5"/>
  <c r="C23" i="5" s="1"/>
  <c r="C61" i="69"/>
  <c r="C60" i="69"/>
  <c r="C52" i="69"/>
  <c r="C51" i="69"/>
  <c r="C50" i="69"/>
  <c r="C49" i="69"/>
  <c r="C44" i="69"/>
  <c r="C43" i="69"/>
  <c r="C42" i="69"/>
  <c r="C41" i="69"/>
  <c r="C40" i="69"/>
  <c r="C39" i="69"/>
  <c r="C38" i="69"/>
  <c r="C37" i="69"/>
  <c r="C32" i="69"/>
  <c r="C30" i="69"/>
  <c r="C28" i="69"/>
  <c r="C26" i="69"/>
  <c r="C31" i="69"/>
  <c r="C29" i="69"/>
  <c r="C27" i="69"/>
  <c r="C21" i="64"/>
  <c r="C23" i="64" s="1"/>
  <c r="C61" i="78"/>
  <c r="C60" i="78"/>
  <c r="C52" i="78"/>
  <c r="C51" i="78"/>
  <c r="C50" i="78"/>
  <c r="C49" i="78"/>
  <c r="C44" i="78"/>
  <c r="C43" i="78"/>
  <c r="C42" i="78"/>
  <c r="C41" i="78"/>
  <c r="C40" i="78"/>
  <c r="C39" i="78"/>
  <c r="C38" i="78"/>
  <c r="C37" i="78"/>
  <c r="C32" i="78"/>
  <c r="C30" i="78"/>
  <c r="C28" i="78"/>
  <c r="C26" i="78"/>
  <c r="C31" i="78"/>
  <c r="C29" i="78"/>
  <c r="C27" i="78"/>
  <c r="C22" i="58"/>
  <c r="C56" i="58" s="1"/>
  <c r="C57" i="58" s="1"/>
  <c r="C22" i="27"/>
  <c r="C61" i="36"/>
  <c r="C60" i="36"/>
  <c r="C52" i="36"/>
  <c r="C51" i="36"/>
  <c r="C50" i="36"/>
  <c r="C49" i="36"/>
  <c r="C44" i="36"/>
  <c r="C43" i="36"/>
  <c r="C42" i="36"/>
  <c r="C41" i="36"/>
  <c r="C40" i="36"/>
  <c r="C39" i="36"/>
  <c r="C38" i="36"/>
  <c r="C37" i="36"/>
  <c r="C32" i="36"/>
  <c r="C30" i="36"/>
  <c r="C28" i="36"/>
  <c r="C26" i="36"/>
  <c r="C31" i="36"/>
  <c r="C27" i="36"/>
  <c r="C29" i="36"/>
  <c r="C33" i="36"/>
  <c r="C32" i="92"/>
  <c r="C27" i="92"/>
  <c r="C52" i="92"/>
  <c r="C44" i="92"/>
  <c r="C40" i="92"/>
  <c r="C29" i="92"/>
  <c r="C31" i="85"/>
  <c r="C29" i="85"/>
  <c r="C27" i="85"/>
  <c r="C61" i="85"/>
  <c r="C60" i="85"/>
  <c r="C52" i="85"/>
  <c r="C51" i="85"/>
  <c r="C50" i="85"/>
  <c r="C49" i="85"/>
  <c r="C44" i="85"/>
  <c r="C43" i="85"/>
  <c r="C42" i="85"/>
  <c r="C41" i="85"/>
  <c r="C40" i="85"/>
  <c r="C39" i="85"/>
  <c r="C38" i="85"/>
  <c r="C37" i="85"/>
  <c r="C30" i="85"/>
  <c r="C26" i="85"/>
  <c r="C32" i="85"/>
  <c r="C28" i="85"/>
  <c r="C31" i="21"/>
  <c r="C29" i="21"/>
  <c r="C27" i="21"/>
  <c r="C61" i="21"/>
  <c r="C60" i="21"/>
  <c r="C52" i="21"/>
  <c r="C51" i="21"/>
  <c r="C50" i="21"/>
  <c r="C49" i="21"/>
  <c r="C44" i="21"/>
  <c r="C43" i="21"/>
  <c r="C42" i="21"/>
  <c r="C41" i="21"/>
  <c r="C40" i="21"/>
  <c r="C39" i="21"/>
  <c r="C38" i="21"/>
  <c r="C37" i="21"/>
  <c r="C32" i="21"/>
  <c r="C28" i="21"/>
  <c r="C30" i="21"/>
  <c r="C26" i="21"/>
  <c r="C62" i="24"/>
  <c r="C61" i="24"/>
  <c r="C53" i="24"/>
  <c r="C52" i="24"/>
  <c r="C51" i="24"/>
  <c r="C50" i="24"/>
  <c r="C45" i="24"/>
  <c r="C44" i="24"/>
  <c r="C43" i="24"/>
  <c r="C42" i="24"/>
  <c r="C41" i="24"/>
  <c r="C40" i="24"/>
  <c r="C39" i="24"/>
  <c r="C38" i="24"/>
  <c r="C33" i="24"/>
  <c r="C31" i="24"/>
  <c r="C29" i="24"/>
  <c r="C27" i="24"/>
  <c r="C30" i="24"/>
  <c r="C32" i="24"/>
  <c r="C28" i="24"/>
  <c r="C62" i="28"/>
  <c r="C61" i="28"/>
  <c r="C53" i="28"/>
  <c r="C52" i="28"/>
  <c r="C51" i="28"/>
  <c r="C50" i="28"/>
  <c r="C45" i="28"/>
  <c r="C44" i="28"/>
  <c r="C43" i="28"/>
  <c r="C42" i="28"/>
  <c r="C41" i="28"/>
  <c r="C40" i="28"/>
  <c r="C39" i="28"/>
  <c r="C38" i="28"/>
  <c r="C33" i="28"/>
  <c r="C31" i="28"/>
  <c r="C29" i="28"/>
  <c r="C27" i="28"/>
  <c r="C30" i="28"/>
  <c r="C32" i="28"/>
  <c r="C28" i="28"/>
  <c r="C62" i="50"/>
  <c r="C61" i="50"/>
  <c r="C53" i="50"/>
  <c r="C52" i="50"/>
  <c r="C51" i="50"/>
  <c r="C50" i="50"/>
  <c r="C45" i="50"/>
  <c r="C44" i="50"/>
  <c r="C43" i="50"/>
  <c r="C42" i="50"/>
  <c r="C41" i="50"/>
  <c r="C40" i="50"/>
  <c r="C39" i="50"/>
  <c r="C38" i="50"/>
  <c r="C33" i="50"/>
  <c r="C31" i="50"/>
  <c r="C29" i="50"/>
  <c r="C27" i="50"/>
  <c r="C30" i="50"/>
  <c r="C32" i="50"/>
  <c r="C28" i="50"/>
  <c r="C32" i="56"/>
  <c r="C30" i="56"/>
  <c r="C28" i="56"/>
  <c r="C62" i="56"/>
  <c r="C61" i="56"/>
  <c r="C53" i="56"/>
  <c r="C52" i="56"/>
  <c r="C51" i="56"/>
  <c r="C50" i="56"/>
  <c r="C45" i="56"/>
  <c r="C44" i="56"/>
  <c r="C43" i="56"/>
  <c r="C42" i="56"/>
  <c r="C41" i="56"/>
  <c r="C40" i="56"/>
  <c r="C39" i="56"/>
  <c r="C38" i="56"/>
  <c r="C33" i="56"/>
  <c r="C31" i="56"/>
  <c r="C29" i="56"/>
  <c r="C27" i="56"/>
  <c r="C62" i="70"/>
  <c r="C61" i="70"/>
  <c r="C53" i="70"/>
  <c r="C52" i="70"/>
  <c r="C51" i="70"/>
  <c r="C50" i="70"/>
  <c r="C45" i="70"/>
  <c r="C44" i="70"/>
  <c r="C43" i="70"/>
  <c r="C42" i="70"/>
  <c r="C41" i="70"/>
  <c r="C40" i="70"/>
  <c r="C39" i="70"/>
  <c r="C38" i="70"/>
  <c r="C33" i="70"/>
  <c r="C31" i="70"/>
  <c r="C29" i="70"/>
  <c r="C27" i="70"/>
  <c r="C32" i="70"/>
  <c r="C30" i="70"/>
  <c r="C28" i="70"/>
  <c r="C31" i="75"/>
  <c r="C29" i="75"/>
  <c r="C27" i="75"/>
  <c r="C61" i="75"/>
  <c r="C60" i="75"/>
  <c r="C52" i="75"/>
  <c r="C51" i="75"/>
  <c r="C50" i="75"/>
  <c r="C49" i="75"/>
  <c r="C44" i="75"/>
  <c r="C43" i="75"/>
  <c r="C42" i="75"/>
  <c r="C41" i="75"/>
  <c r="C40" i="75"/>
  <c r="C39" i="75"/>
  <c r="C38" i="75"/>
  <c r="C37" i="75"/>
  <c r="C32" i="75"/>
  <c r="C28" i="75"/>
  <c r="C30" i="75"/>
  <c r="C26" i="75"/>
  <c r="C62" i="82"/>
  <c r="C61" i="82"/>
  <c r="C53" i="82"/>
  <c r="C52" i="82"/>
  <c r="C51" i="82"/>
  <c r="C50" i="82"/>
  <c r="C45" i="82"/>
  <c r="C44" i="82"/>
  <c r="C43" i="82"/>
  <c r="C42" i="82"/>
  <c r="C41" i="82"/>
  <c r="C40" i="82"/>
  <c r="C39" i="82"/>
  <c r="C38" i="82"/>
  <c r="C33" i="82"/>
  <c r="C31" i="82"/>
  <c r="C29" i="82"/>
  <c r="C27" i="82"/>
  <c r="C32" i="82"/>
  <c r="C30" i="82"/>
  <c r="C28" i="82"/>
  <c r="C61" i="30"/>
  <c r="C60" i="30"/>
  <c r="C52" i="30"/>
  <c r="C51" i="30"/>
  <c r="C50" i="30"/>
  <c r="C49" i="30"/>
  <c r="C44" i="30"/>
  <c r="C43" i="30"/>
  <c r="C42" i="30"/>
  <c r="C41" i="30"/>
  <c r="C40" i="30"/>
  <c r="C39" i="30"/>
  <c r="C38" i="30"/>
  <c r="C37" i="30"/>
  <c r="C32" i="30"/>
  <c r="C30" i="30"/>
  <c r="C28" i="30"/>
  <c r="C26" i="30"/>
  <c r="C29" i="30"/>
  <c r="C31" i="30"/>
  <c r="C27" i="30"/>
  <c r="C27" i="16"/>
  <c r="C61" i="16"/>
  <c r="C50" i="16"/>
  <c r="C42" i="16"/>
  <c r="C38" i="16"/>
  <c r="C23" i="76"/>
  <c r="B58" i="42"/>
  <c r="C57" i="42"/>
  <c r="C58" i="42" s="1"/>
  <c r="B65" i="7"/>
  <c r="B56" i="7"/>
  <c r="B67" i="71"/>
  <c r="C66" i="71"/>
  <c r="C67" i="71" s="1"/>
  <c r="B56" i="75"/>
  <c r="B65" i="75"/>
  <c r="B66" i="56"/>
  <c r="B57" i="56"/>
  <c r="B57" i="36"/>
  <c r="C56" i="36"/>
  <c r="C57" i="36" s="1"/>
  <c r="B57" i="58"/>
  <c r="B56" i="100"/>
  <c r="B65" i="100"/>
  <c r="B57" i="31"/>
  <c r="B66" i="31"/>
  <c r="B57" i="1"/>
  <c r="B66" i="1"/>
  <c r="B66" i="20"/>
  <c r="B57" i="20"/>
  <c r="B57" i="61"/>
  <c r="C56" i="61"/>
  <c r="C57" i="61" s="1"/>
  <c r="B57" i="101"/>
  <c r="B66" i="101"/>
  <c r="B57" i="92"/>
  <c r="B66" i="92"/>
  <c r="B65" i="78"/>
  <c r="B56" i="78"/>
  <c r="B57" i="5"/>
  <c r="B66" i="5"/>
  <c r="B56" i="27"/>
  <c r="B65" i="27"/>
  <c r="B58" i="97"/>
  <c r="C57" i="97"/>
  <c r="C58" i="97" s="1"/>
  <c r="B58" i="71"/>
  <c r="C57" i="71"/>
  <c r="C58" i="71" s="1"/>
  <c r="B57" i="47"/>
  <c r="B66" i="47"/>
  <c r="B65" i="63"/>
  <c r="B56" i="63"/>
  <c r="B66" i="24"/>
  <c r="B57" i="24"/>
  <c r="B56" i="85"/>
  <c r="B65" i="85"/>
  <c r="B57" i="33"/>
  <c r="B66" i="33"/>
  <c r="B65" i="91"/>
  <c r="B56" i="91"/>
  <c r="B56" i="48"/>
  <c r="B65" i="48"/>
  <c r="C66" i="41"/>
  <c r="C67" i="41" s="1"/>
  <c r="C65" i="36"/>
  <c r="C66" i="36" s="1"/>
  <c r="B66" i="36"/>
  <c r="B68" i="36" s="1"/>
  <c r="B66" i="58"/>
  <c r="B68" i="58" s="1"/>
  <c r="B57" i="82"/>
  <c r="B66" i="82"/>
  <c r="B57" i="43"/>
  <c r="B66" i="43"/>
  <c r="B57" i="98"/>
  <c r="B66" i="98"/>
  <c r="B66" i="50"/>
  <c r="B57" i="50"/>
  <c r="B66" i="61"/>
  <c r="C65" i="61"/>
  <c r="C66" i="61" s="1"/>
  <c r="B57" i="76"/>
  <c r="B66" i="76"/>
  <c r="B57" i="70"/>
  <c r="B66" i="70"/>
  <c r="B57" i="34"/>
  <c r="C56" i="34"/>
  <c r="C57" i="34" s="1"/>
  <c r="B67" i="40"/>
  <c r="C66" i="40"/>
  <c r="C67" i="40" s="1"/>
  <c r="B57" i="86"/>
  <c r="B66" i="86"/>
  <c r="B66" i="53"/>
  <c r="B57" i="53"/>
  <c r="B65" i="51"/>
  <c r="B56" i="51"/>
  <c r="B57" i="64"/>
  <c r="B66" i="64"/>
  <c r="B67" i="97"/>
  <c r="C66" i="97"/>
  <c r="C67" i="97" s="1"/>
  <c r="B56" i="17"/>
  <c r="B65" i="17"/>
  <c r="B67" i="42"/>
  <c r="C66" i="42"/>
  <c r="C67" i="42" s="1"/>
  <c r="B56" i="81"/>
  <c r="B65" i="81"/>
  <c r="B65" i="25"/>
  <c r="B56" i="25"/>
  <c r="B69" i="41"/>
  <c r="B65" i="52"/>
  <c r="B56" i="52"/>
  <c r="B66" i="95"/>
  <c r="B57" i="95"/>
  <c r="B65" i="30"/>
  <c r="B56" i="30"/>
  <c r="B57" i="94"/>
  <c r="B66" i="94"/>
  <c r="B65" i="21"/>
  <c r="B56" i="21"/>
  <c r="C65" i="34"/>
  <c r="C66" i="34" s="1"/>
  <c r="B66" i="34"/>
  <c r="B58" i="40"/>
  <c r="C57" i="40"/>
  <c r="C58" i="40" s="1"/>
  <c r="B65" i="69"/>
  <c r="B56" i="69"/>
  <c r="B57" i="28"/>
  <c r="B66" i="28"/>
  <c r="B66" i="59"/>
  <c r="B57" i="59"/>
  <c r="C62" i="17" l="1"/>
  <c r="C34" i="51"/>
  <c r="C47" i="41"/>
  <c r="C69" i="41" s="1"/>
  <c r="C34" i="16"/>
  <c r="C40" i="16"/>
  <c r="C44" i="16"/>
  <c r="C52" i="16"/>
  <c r="C28" i="16"/>
  <c r="C31" i="16"/>
  <c r="C38" i="92"/>
  <c r="C42" i="92"/>
  <c r="C50" i="92"/>
  <c r="C61" i="92"/>
  <c r="C28" i="92"/>
  <c r="C29" i="47"/>
  <c r="C40" i="47"/>
  <c r="C44" i="47"/>
  <c r="C52" i="47"/>
  <c r="C27" i="1"/>
  <c r="C38" i="1"/>
  <c r="C42" i="1"/>
  <c r="C50" i="1"/>
  <c r="C61" i="1"/>
  <c r="C32" i="1"/>
  <c r="C31" i="81"/>
  <c r="C32" i="81"/>
  <c r="C40" i="81"/>
  <c r="C44" i="81"/>
  <c r="C27" i="95"/>
  <c r="C38" i="95"/>
  <c r="C42" i="95"/>
  <c r="C50" i="95"/>
  <c r="C61" i="95"/>
  <c r="C27" i="53"/>
  <c r="C38" i="53"/>
  <c r="C42" i="53"/>
  <c r="C50" i="53"/>
  <c r="C61" i="53"/>
  <c r="C57" i="16"/>
  <c r="C58" i="16" s="1"/>
  <c r="C34" i="17"/>
  <c r="C46" i="17"/>
  <c r="C53" i="61"/>
  <c r="C53" i="17"/>
  <c r="C34" i="69"/>
  <c r="C34" i="20"/>
  <c r="C33" i="20"/>
  <c r="C41" i="20"/>
  <c r="C45" i="20"/>
  <c r="C53" i="20"/>
  <c r="C30" i="20"/>
  <c r="B69" i="42"/>
  <c r="B69" i="97"/>
  <c r="C65" i="58"/>
  <c r="C66" i="58" s="1"/>
  <c r="C30" i="16"/>
  <c r="C39" i="16"/>
  <c r="C41" i="16"/>
  <c r="C43" i="16"/>
  <c r="C45" i="16"/>
  <c r="C51" i="16"/>
  <c r="C53" i="16"/>
  <c r="C62" i="16"/>
  <c r="C32" i="16"/>
  <c r="C29" i="16"/>
  <c r="C33" i="16"/>
  <c r="C53" i="85"/>
  <c r="C33" i="92"/>
  <c r="C39" i="92"/>
  <c r="C41" i="92"/>
  <c r="C43" i="92"/>
  <c r="C45" i="92"/>
  <c r="C51" i="92"/>
  <c r="C53" i="92"/>
  <c r="C62" i="92"/>
  <c r="C31" i="92"/>
  <c r="C30" i="92"/>
  <c r="C34" i="78"/>
  <c r="C34" i="1"/>
  <c r="C29" i="1"/>
  <c r="C33" i="1"/>
  <c r="C39" i="1"/>
  <c r="C41" i="1"/>
  <c r="C43" i="1"/>
  <c r="C45" i="1"/>
  <c r="C51" i="1"/>
  <c r="C53" i="1"/>
  <c r="C62" i="1"/>
  <c r="C34" i="59"/>
  <c r="C29" i="59"/>
  <c r="C33" i="59"/>
  <c r="C39" i="59"/>
  <c r="C41" i="59"/>
  <c r="C43" i="59"/>
  <c r="C45" i="59"/>
  <c r="C51" i="59"/>
  <c r="C53" i="59"/>
  <c r="C62" i="59"/>
  <c r="C63" i="59" s="1"/>
  <c r="C27" i="20"/>
  <c r="C29" i="20"/>
  <c r="C38" i="20"/>
  <c r="C40" i="20"/>
  <c r="C42" i="20"/>
  <c r="C44" i="20"/>
  <c r="C50" i="20"/>
  <c r="C52" i="20"/>
  <c r="C61" i="20"/>
  <c r="C28" i="20"/>
  <c r="C54" i="71"/>
  <c r="C46" i="85"/>
  <c r="B68" i="34"/>
  <c r="C69" i="42"/>
  <c r="C71" i="42" s="1"/>
  <c r="C69" i="97"/>
  <c r="C85" i="97" s="1"/>
  <c r="C95" i="97" s="1"/>
  <c r="C97" i="97" s="1"/>
  <c r="C99" i="97" s="1"/>
  <c r="Q24" i="102" s="1"/>
  <c r="T24" i="102" s="1"/>
  <c r="V24" i="102" s="1"/>
  <c r="C47" i="71"/>
  <c r="C35" i="71"/>
  <c r="C34" i="30"/>
  <c r="C35" i="28"/>
  <c r="C34" i="85"/>
  <c r="C35" i="16"/>
  <c r="C54" i="16"/>
  <c r="C63" i="16"/>
  <c r="C35" i="82"/>
  <c r="C47" i="82"/>
  <c r="C54" i="82"/>
  <c r="C63" i="82"/>
  <c r="C34" i="75"/>
  <c r="C46" i="75"/>
  <c r="C53" i="75"/>
  <c r="C62" i="75"/>
  <c r="C35" i="70"/>
  <c r="C47" i="70"/>
  <c r="C54" i="70"/>
  <c r="C63" i="70"/>
  <c r="C35" i="56"/>
  <c r="C47" i="56"/>
  <c r="C54" i="56"/>
  <c r="C63" i="56"/>
  <c r="C35" i="50"/>
  <c r="C47" i="50"/>
  <c r="C54" i="50"/>
  <c r="C63" i="50"/>
  <c r="C35" i="24"/>
  <c r="C47" i="24"/>
  <c r="C54" i="24"/>
  <c r="C63" i="24"/>
  <c r="C34" i="21"/>
  <c r="C46" i="21"/>
  <c r="C53" i="21"/>
  <c r="C62" i="21"/>
  <c r="C47" i="92"/>
  <c r="C63" i="92"/>
  <c r="C46" i="78"/>
  <c r="C53" i="78"/>
  <c r="C62" i="78"/>
  <c r="C46" i="69"/>
  <c r="C53" i="69"/>
  <c r="C62" i="69"/>
  <c r="C60" i="81"/>
  <c r="C62" i="81" s="1"/>
  <c r="C51" i="81"/>
  <c r="C49" i="81"/>
  <c r="C43" i="81"/>
  <c r="C41" i="81"/>
  <c r="C39" i="81"/>
  <c r="C37" i="81"/>
  <c r="C30" i="81"/>
  <c r="C26" i="81"/>
  <c r="C29" i="81"/>
  <c r="C33" i="81"/>
  <c r="C30" i="95"/>
  <c r="C62" i="95"/>
  <c r="C53" i="95"/>
  <c r="C51" i="95"/>
  <c r="C45" i="95"/>
  <c r="C43" i="95"/>
  <c r="C41" i="95"/>
  <c r="C39" i="95"/>
  <c r="C33" i="95"/>
  <c r="C29" i="95"/>
  <c r="C34" i="95"/>
  <c r="C30" i="53"/>
  <c r="C62" i="53"/>
  <c r="C53" i="53"/>
  <c r="C51" i="53"/>
  <c r="C45" i="53"/>
  <c r="C43" i="53"/>
  <c r="C41" i="53"/>
  <c r="C39" i="53"/>
  <c r="C33" i="53"/>
  <c r="C31" i="53"/>
  <c r="C34" i="53"/>
  <c r="C30" i="47"/>
  <c r="C62" i="47"/>
  <c r="C63" i="47" s="1"/>
  <c r="C53" i="47"/>
  <c r="C51" i="47"/>
  <c r="C45" i="47"/>
  <c r="C43" i="47"/>
  <c r="C41" i="47"/>
  <c r="C39" i="47"/>
  <c r="C33" i="47"/>
  <c r="C31" i="47"/>
  <c r="C34" i="47"/>
  <c r="C34" i="61"/>
  <c r="C34" i="25"/>
  <c r="C46" i="25"/>
  <c r="C53" i="25"/>
  <c r="C62" i="25"/>
  <c r="C46" i="51"/>
  <c r="C53" i="51"/>
  <c r="C62" i="51"/>
  <c r="C34" i="91"/>
  <c r="C46" i="44"/>
  <c r="C34" i="63"/>
  <c r="C46" i="63"/>
  <c r="C53" i="63"/>
  <c r="C62" i="63"/>
  <c r="C35" i="101"/>
  <c r="C35" i="33"/>
  <c r="C35" i="31"/>
  <c r="C34" i="7"/>
  <c r="C34" i="48"/>
  <c r="C46" i="48"/>
  <c r="C53" i="48"/>
  <c r="C62" i="48"/>
  <c r="C35" i="86"/>
  <c r="C47" i="86"/>
  <c r="C54" i="86"/>
  <c r="C63" i="86"/>
  <c r="C35" i="1"/>
  <c r="C35" i="98"/>
  <c r="C35" i="59"/>
  <c r="C34" i="52"/>
  <c r="C46" i="52"/>
  <c r="C53" i="52"/>
  <c r="C62" i="52"/>
  <c r="C35" i="43"/>
  <c r="C47" i="43"/>
  <c r="C54" i="43"/>
  <c r="C63" i="43"/>
  <c r="C29" i="100"/>
  <c r="C61" i="100"/>
  <c r="C52" i="100"/>
  <c r="C50" i="100"/>
  <c r="C44" i="100"/>
  <c r="C42" i="100"/>
  <c r="C40" i="100"/>
  <c r="C38" i="100"/>
  <c r="C32" i="100"/>
  <c r="C28" i="100"/>
  <c r="C33" i="100"/>
  <c r="C31" i="100"/>
  <c r="C27" i="100"/>
  <c r="C60" i="100"/>
  <c r="C62" i="100" s="1"/>
  <c r="C51" i="100"/>
  <c r="C49" i="100"/>
  <c r="C43" i="100"/>
  <c r="C41" i="100"/>
  <c r="C39" i="100"/>
  <c r="C37" i="100"/>
  <c r="C30" i="100"/>
  <c r="C26" i="100"/>
  <c r="C62" i="61"/>
  <c r="C46" i="61"/>
  <c r="C62" i="64"/>
  <c r="C61" i="64"/>
  <c r="C53" i="64"/>
  <c r="C52" i="64"/>
  <c r="C51" i="64"/>
  <c r="C50" i="64"/>
  <c r="C45" i="64"/>
  <c r="C44" i="64"/>
  <c r="C43" i="64"/>
  <c r="C42" i="64"/>
  <c r="C41" i="64"/>
  <c r="C40" i="64"/>
  <c r="C39" i="64"/>
  <c r="C38" i="64"/>
  <c r="C33" i="64"/>
  <c r="C31" i="64"/>
  <c r="C29" i="64"/>
  <c r="C27" i="64"/>
  <c r="C32" i="64"/>
  <c r="C30" i="64"/>
  <c r="C28" i="64"/>
  <c r="C34" i="64"/>
  <c r="C31" i="27"/>
  <c r="C29" i="27"/>
  <c r="C27" i="27"/>
  <c r="C30" i="27"/>
  <c r="C26" i="27"/>
  <c r="C61" i="27"/>
  <c r="C60" i="27"/>
  <c r="C52" i="27"/>
  <c r="C51" i="27"/>
  <c r="C50" i="27"/>
  <c r="C49" i="27"/>
  <c r="C44" i="27"/>
  <c r="C43" i="27"/>
  <c r="C42" i="27"/>
  <c r="C41" i="27"/>
  <c r="C40" i="27"/>
  <c r="C39" i="27"/>
  <c r="C38" i="27"/>
  <c r="C37" i="27"/>
  <c r="C32" i="27"/>
  <c r="C28" i="27"/>
  <c r="C33" i="27"/>
  <c r="C32" i="58"/>
  <c r="C30" i="58"/>
  <c r="C28" i="58"/>
  <c r="C26" i="58"/>
  <c r="C61" i="58"/>
  <c r="C60" i="58"/>
  <c r="C52" i="58"/>
  <c r="C51" i="58"/>
  <c r="C50" i="58"/>
  <c r="C49" i="58"/>
  <c r="C44" i="58"/>
  <c r="C43" i="58"/>
  <c r="C42" i="58"/>
  <c r="C41" i="58"/>
  <c r="C40" i="58"/>
  <c r="C39" i="58"/>
  <c r="C38" i="58"/>
  <c r="C37" i="58"/>
  <c r="C31" i="58"/>
  <c r="C29" i="58"/>
  <c r="C27" i="58"/>
  <c r="C33" i="58"/>
  <c r="C62" i="76"/>
  <c r="C61" i="76"/>
  <c r="C53" i="76"/>
  <c r="C32" i="76"/>
  <c r="C30" i="76"/>
  <c r="C28" i="76"/>
  <c r="C31" i="76"/>
  <c r="C27" i="76"/>
  <c r="C52" i="76"/>
  <c r="C51" i="76"/>
  <c r="C50" i="76"/>
  <c r="C45" i="76"/>
  <c r="C44" i="76"/>
  <c r="C43" i="76"/>
  <c r="C42" i="76"/>
  <c r="C41" i="76"/>
  <c r="C40" i="76"/>
  <c r="C39" i="76"/>
  <c r="C38" i="76"/>
  <c r="C33" i="76"/>
  <c r="C29" i="76"/>
  <c r="C34" i="76"/>
  <c r="C46" i="30"/>
  <c r="C53" i="30"/>
  <c r="C62" i="30"/>
  <c r="C47" i="28"/>
  <c r="C54" i="28"/>
  <c r="C63" i="28"/>
  <c r="C62" i="85"/>
  <c r="C34" i="36"/>
  <c r="C46" i="36"/>
  <c r="C53" i="36"/>
  <c r="C62" i="36"/>
  <c r="C28" i="5"/>
  <c r="C52" i="5"/>
  <c r="C45" i="5"/>
  <c r="C41" i="5"/>
  <c r="C33" i="5"/>
  <c r="C61" i="5"/>
  <c r="C51" i="5"/>
  <c r="C42" i="5"/>
  <c r="C38" i="5"/>
  <c r="C27" i="5"/>
  <c r="C32" i="5"/>
  <c r="C62" i="5"/>
  <c r="C50" i="5"/>
  <c r="C43" i="5"/>
  <c r="C39" i="5"/>
  <c r="C29" i="5"/>
  <c r="C53" i="5"/>
  <c r="C44" i="5"/>
  <c r="C40" i="5"/>
  <c r="C31" i="5"/>
  <c r="C30" i="5"/>
  <c r="C34" i="5"/>
  <c r="C34" i="34"/>
  <c r="C46" i="34"/>
  <c r="C53" i="34"/>
  <c r="C62" i="34"/>
  <c r="C46" i="91"/>
  <c r="C53" i="91"/>
  <c r="C62" i="91"/>
  <c r="C34" i="44"/>
  <c r="C53" i="44"/>
  <c r="C62" i="44"/>
  <c r="C47" i="101"/>
  <c r="C54" i="101"/>
  <c r="C63" i="101"/>
  <c r="C47" i="33"/>
  <c r="C54" i="33"/>
  <c r="C63" i="33"/>
  <c r="C47" i="31"/>
  <c r="C54" i="31"/>
  <c r="C63" i="31"/>
  <c r="C46" i="7"/>
  <c r="C53" i="7"/>
  <c r="C62" i="7"/>
  <c r="C54" i="47"/>
  <c r="C47" i="1"/>
  <c r="C63" i="1"/>
  <c r="C47" i="98"/>
  <c r="C54" i="98"/>
  <c r="C63" i="98"/>
  <c r="C47" i="95"/>
  <c r="C63" i="95"/>
  <c r="C54" i="59"/>
  <c r="C47" i="53"/>
  <c r="C63" i="53"/>
  <c r="C54" i="20"/>
  <c r="C63" i="20"/>
  <c r="C71" i="97"/>
  <c r="B57" i="91"/>
  <c r="C56" i="91"/>
  <c r="C57" i="91" s="1"/>
  <c r="B57" i="63"/>
  <c r="C56" i="63"/>
  <c r="C57" i="63" s="1"/>
  <c r="B57" i="78"/>
  <c r="C56" i="78"/>
  <c r="C57" i="78" s="1"/>
  <c r="B67" i="101"/>
  <c r="C66" i="101"/>
  <c r="C67" i="101" s="1"/>
  <c r="B58" i="56"/>
  <c r="C57" i="56"/>
  <c r="C58" i="56" s="1"/>
  <c r="C66" i="59"/>
  <c r="C67" i="59" s="1"/>
  <c r="B67" i="59"/>
  <c r="B66" i="69"/>
  <c r="C65" i="69"/>
  <c r="C66" i="69" s="1"/>
  <c r="B58" i="94"/>
  <c r="B58" i="95"/>
  <c r="C57" i="95"/>
  <c r="C58" i="95" s="1"/>
  <c r="C56" i="81"/>
  <c r="C57" i="81" s="1"/>
  <c r="B57" i="81"/>
  <c r="C56" i="17"/>
  <c r="C57" i="17" s="1"/>
  <c r="B57" i="17"/>
  <c r="B67" i="64"/>
  <c r="C66" i="64"/>
  <c r="C67" i="64" s="1"/>
  <c r="B58" i="53"/>
  <c r="C57" i="53"/>
  <c r="C58" i="53" s="1"/>
  <c r="C57" i="86"/>
  <c r="C58" i="86" s="1"/>
  <c r="B58" i="86"/>
  <c r="C57" i="76"/>
  <c r="C58" i="76" s="1"/>
  <c r="B58" i="76"/>
  <c r="B67" i="50"/>
  <c r="C66" i="50"/>
  <c r="C67" i="50" s="1"/>
  <c r="B67" i="43"/>
  <c r="C66" i="43"/>
  <c r="C67" i="43" s="1"/>
  <c r="C65" i="91"/>
  <c r="C66" i="91" s="1"/>
  <c r="B66" i="91"/>
  <c r="B68" i="91" s="1"/>
  <c r="C56" i="85"/>
  <c r="C57" i="85" s="1"/>
  <c r="B57" i="85"/>
  <c r="C65" i="63"/>
  <c r="C66" i="63" s="1"/>
  <c r="B66" i="63"/>
  <c r="B68" i="63" s="1"/>
  <c r="B57" i="27"/>
  <c r="C56" i="27"/>
  <c r="C57" i="27" s="1"/>
  <c r="C65" i="78"/>
  <c r="C66" i="78" s="1"/>
  <c r="B66" i="78"/>
  <c r="B58" i="101"/>
  <c r="C57" i="101"/>
  <c r="C58" i="101" s="1"/>
  <c r="C66" i="20"/>
  <c r="C67" i="20" s="1"/>
  <c r="B67" i="20"/>
  <c r="C57" i="31"/>
  <c r="C58" i="31" s="1"/>
  <c r="B58" i="31"/>
  <c r="B67" i="56"/>
  <c r="C66" i="56"/>
  <c r="C67" i="56" s="1"/>
  <c r="B69" i="71"/>
  <c r="B66" i="30"/>
  <c r="C65" i="30"/>
  <c r="C66" i="30" s="1"/>
  <c r="B66" i="81"/>
  <c r="B68" i="81" s="1"/>
  <c r="C65" i="81"/>
  <c r="C66" i="81" s="1"/>
  <c r="B66" i="17"/>
  <c r="B68" i="17" s="1"/>
  <c r="C65" i="17"/>
  <c r="C66" i="17" s="1"/>
  <c r="C68" i="17" s="1"/>
  <c r="B66" i="51"/>
  <c r="C65" i="51"/>
  <c r="C66" i="51" s="1"/>
  <c r="B58" i="50"/>
  <c r="C57" i="50"/>
  <c r="C58" i="50" s="1"/>
  <c r="B58" i="82"/>
  <c r="C57" i="82"/>
  <c r="C58" i="82" s="1"/>
  <c r="B67" i="31"/>
  <c r="B69" i="31" s="1"/>
  <c r="C66" i="31"/>
  <c r="C67" i="31" s="1"/>
  <c r="C56" i="25"/>
  <c r="C57" i="25" s="1"/>
  <c r="B57" i="25"/>
  <c r="C57" i="64"/>
  <c r="C58" i="64" s="1"/>
  <c r="B58" i="64"/>
  <c r="B67" i="53"/>
  <c r="B69" i="53" s="1"/>
  <c r="C66" i="53"/>
  <c r="C67" i="53" s="1"/>
  <c r="C69" i="40"/>
  <c r="B67" i="70"/>
  <c r="C66" i="70"/>
  <c r="C67" i="70" s="1"/>
  <c r="B67" i="98"/>
  <c r="C66" i="98"/>
  <c r="C67" i="98" s="1"/>
  <c r="B58" i="43"/>
  <c r="C57" i="43"/>
  <c r="C58" i="43" s="1"/>
  <c r="B66" i="48"/>
  <c r="C65" i="48"/>
  <c r="C66" i="48" s="1"/>
  <c r="B67" i="33"/>
  <c r="C66" i="33"/>
  <c r="C67" i="33" s="1"/>
  <c r="B58" i="24"/>
  <c r="C57" i="24"/>
  <c r="C58" i="24" s="1"/>
  <c r="B67" i="47"/>
  <c r="C66" i="47"/>
  <c r="C67" i="47" s="1"/>
  <c r="B67" i="5"/>
  <c r="C66" i="5"/>
  <c r="C67" i="5" s="1"/>
  <c r="B67" i="92"/>
  <c r="C66" i="92"/>
  <c r="C67" i="92" s="1"/>
  <c r="B67" i="1"/>
  <c r="C66" i="1"/>
  <c r="C67" i="1" s="1"/>
  <c r="B66" i="100"/>
  <c r="C65" i="100"/>
  <c r="C66" i="100" s="1"/>
  <c r="B66" i="75"/>
  <c r="C65" i="75"/>
  <c r="C66" i="75" s="1"/>
  <c r="B57" i="7"/>
  <c r="D57" i="7" s="1"/>
  <c r="C56" i="7"/>
  <c r="C57" i="7" s="1"/>
  <c r="B58" i="59"/>
  <c r="C57" i="59"/>
  <c r="C58" i="59" s="1"/>
  <c r="B57" i="69"/>
  <c r="C56" i="69"/>
  <c r="C57" i="69" s="1"/>
  <c r="B67" i="94"/>
  <c r="B66" i="52"/>
  <c r="C65" i="52"/>
  <c r="C66" i="52" s="1"/>
  <c r="B67" i="86"/>
  <c r="C66" i="86"/>
  <c r="C67" i="86" s="1"/>
  <c r="B67" i="76"/>
  <c r="B69" i="76" s="1"/>
  <c r="C66" i="76"/>
  <c r="C67" i="76" s="1"/>
  <c r="B66" i="85"/>
  <c r="B68" i="85" s="1"/>
  <c r="C65" i="85"/>
  <c r="C66" i="85" s="1"/>
  <c r="B66" i="27"/>
  <c r="B68" i="27" s="1"/>
  <c r="C65" i="27"/>
  <c r="C66" i="27" s="1"/>
  <c r="C57" i="20"/>
  <c r="C58" i="20" s="1"/>
  <c r="B58" i="20"/>
  <c r="B67" i="28"/>
  <c r="C66" i="28"/>
  <c r="C67" i="28" s="1"/>
  <c r="B57" i="21"/>
  <c r="C56" i="21"/>
  <c r="C57" i="21" s="1"/>
  <c r="C66" i="95"/>
  <c r="C67" i="95" s="1"/>
  <c r="B67" i="95"/>
  <c r="B69" i="95" s="1"/>
  <c r="B58" i="28"/>
  <c r="C57" i="28"/>
  <c r="C58" i="28" s="1"/>
  <c r="B66" i="21"/>
  <c r="C65" i="21"/>
  <c r="C66" i="21" s="1"/>
  <c r="B57" i="30"/>
  <c r="C56" i="30"/>
  <c r="C57" i="30" s="1"/>
  <c r="B57" i="52"/>
  <c r="C56" i="52"/>
  <c r="C57" i="52" s="1"/>
  <c r="C65" i="25"/>
  <c r="C66" i="25" s="1"/>
  <c r="B66" i="25"/>
  <c r="B68" i="25" s="1"/>
  <c r="B57" i="51"/>
  <c r="C56" i="51"/>
  <c r="C57" i="51" s="1"/>
  <c r="B69" i="40"/>
  <c r="C57" i="70"/>
  <c r="C58" i="70" s="1"/>
  <c r="B58" i="70"/>
  <c r="B58" i="98"/>
  <c r="C57" i="98"/>
  <c r="C58" i="98" s="1"/>
  <c r="B67" i="82"/>
  <c r="C66" i="82"/>
  <c r="C67" i="82" s="1"/>
  <c r="B57" i="48"/>
  <c r="C56" i="48"/>
  <c r="C57" i="48" s="1"/>
  <c r="C57" i="33"/>
  <c r="C58" i="33" s="1"/>
  <c r="B58" i="33"/>
  <c r="B67" i="24"/>
  <c r="B69" i="24" s="1"/>
  <c r="C66" i="24"/>
  <c r="C67" i="24" s="1"/>
  <c r="B58" i="47"/>
  <c r="C57" i="47"/>
  <c r="C58" i="47" s="1"/>
  <c r="B58" i="5"/>
  <c r="C57" i="5"/>
  <c r="C58" i="5" s="1"/>
  <c r="B58" i="92"/>
  <c r="C57" i="92"/>
  <c r="C58" i="92" s="1"/>
  <c r="B68" i="61"/>
  <c r="B58" i="1"/>
  <c r="C57" i="1"/>
  <c r="C58" i="1" s="1"/>
  <c r="C56" i="100"/>
  <c r="C57" i="100" s="1"/>
  <c r="B57" i="100"/>
  <c r="C56" i="75"/>
  <c r="C57" i="75" s="1"/>
  <c r="B57" i="75"/>
  <c r="B66" i="7"/>
  <c r="D66" i="7" s="1"/>
  <c r="C65" i="7"/>
  <c r="C66" i="7" s="1"/>
  <c r="C71" i="41" l="1"/>
  <c r="C85" i="41"/>
  <c r="C35" i="20"/>
  <c r="C68" i="44"/>
  <c r="C35" i="5"/>
  <c r="C54" i="76"/>
  <c r="C68" i="61"/>
  <c r="C54" i="1"/>
  <c r="C47" i="47"/>
  <c r="C35" i="53"/>
  <c r="C54" i="53"/>
  <c r="C54" i="95"/>
  <c r="C34" i="81"/>
  <c r="C46" i="81"/>
  <c r="C53" i="81"/>
  <c r="C47" i="20"/>
  <c r="C47" i="59"/>
  <c r="C35" i="92"/>
  <c r="C54" i="92"/>
  <c r="C47" i="16"/>
  <c r="C68" i="34"/>
  <c r="C68" i="21"/>
  <c r="C70" i="21" s="1"/>
  <c r="C68" i="85"/>
  <c r="C69" i="86"/>
  <c r="C71" i="86" s="1"/>
  <c r="C68" i="81"/>
  <c r="B69" i="56"/>
  <c r="C69" i="24"/>
  <c r="C68" i="7"/>
  <c r="C84" i="7" s="1"/>
  <c r="C94" i="7" s="1"/>
  <c r="C96" i="7" s="1"/>
  <c r="C98" i="7" s="1"/>
  <c r="C69" i="71"/>
  <c r="C85" i="42"/>
  <c r="C95" i="42" s="1"/>
  <c r="C97" i="42" s="1"/>
  <c r="C99" i="42" s="1"/>
  <c r="E30" i="102" s="1"/>
  <c r="H30" i="102" s="1"/>
  <c r="J30" i="102" s="1"/>
  <c r="C69" i="82"/>
  <c r="B68" i="78"/>
  <c r="C47" i="76"/>
  <c r="C69" i="56"/>
  <c r="C85" i="56" s="1"/>
  <c r="C95" i="56" s="1"/>
  <c r="C97" i="56" s="1"/>
  <c r="C99" i="56" s="1"/>
  <c r="Q12" i="102" s="1"/>
  <c r="T12" i="102" s="1"/>
  <c r="V12" i="102" s="1"/>
  <c r="C69" i="31"/>
  <c r="C68" i="25"/>
  <c r="C84" i="25" s="1"/>
  <c r="C94" i="25" s="1"/>
  <c r="C96" i="25" s="1"/>
  <c r="C98" i="25" s="1"/>
  <c r="E32" i="102" s="1"/>
  <c r="H32" i="102" s="1"/>
  <c r="J32" i="102" s="1"/>
  <c r="C68" i="36"/>
  <c r="C84" i="36" s="1"/>
  <c r="C94" i="36" s="1"/>
  <c r="C96" i="36" s="1"/>
  <c r="C98" i="36" s="1"/>
  <c r="E48" i="102" s="1"/>
  <c r="H48" i="102" s="1"/>
  <c r="J48" i="102" s="1"/>
  <c r="C83" i="61"/>
  <c r="C93" i="61" s="1"/>
  <c r="C95" i="61" s="1"/>
  <c r="C97" i="61" s="1"/>
  <c r="Q64" i="102" s="1"/>
  <c r="T64" i="102" s="1"/>
  <c r="V64" i="102" s="1"/>
  <c r="C70" i="61"/>
  <c r="C34" i="100"/>
  <c r="C69" i="53"/>
  <c r="C71" i="53" s="1"/>
  <c r="C68" i="63"/>
  <c r="C84" i="63" s="1"/>
  <c r="C94" i="63" s="1"/>
  <c r="C96" i="63" s="1"/>
  <c r="C98" i="63" s="1"/>
  <c r="Q18" i="102" s="1"/>
  <c r="T18" i="102" s="1"/>
  <c r="V18" i="102" s="1"/>
  <c r="C34" i="58"/>
  <c r="C46" i="58"/>
  <c r="C53" i="58"/>
  <c r="C62" i="58"/>
  <c r="C34" i="27"/>
  <c r="C35" i="64"/>
  <c r="C47" i="64"/>
  <c r="C54" i="64"/>
  <c r="C63" i="64"/>
  <c r="C46" i="100"/>
  <c r="C53" i="100"/>
  <c r="C35" i="47"/>
  <c r="C35" i="95"/>
  <c r="C69" i="95" s="1"/>
  <c r="C69" i="16"/>
  <c r="C70" i="36"/>
  <c r="C69" i="28"/>
  <c r="C71" i="28" s="1"/>
  <c r="C63" i="5"/>
  <c r="B68" i="52"/>
  <c r="B68" i="100"/>
  <c r="B69" i="92"/>
  <c r="B69" i="47"/>
  <c r="B69" i="33"/>
  <c r="C69" i="70"/>
  <c r="C85" i="70" s="1"/>
  <c r="C95" i="70" s="1"/>
  <c r="C97" i="70" s="1"/>
  <c r="C99" i="70" s="1"/>
  <c r="Q32" i="102" s="1"/>
  <c r="T32" i="102" s="1"/>
  <c r="V32" i="102" s="1"/>
  <c r="B68" i="51"/>
  <c r="B69" i="20"/>
  <c r="C69" i="50"/>
  <c r="C85" i="50" s="1"/>
  <c r="C95" i="50" s="1"/>
  <c r="C97" i="50" s="1"/>
  <c r="C99" i="50" s="1"/>
  <c r="E62" i="102" s="1"/>
  <c r="H62" i="102" s="1"/>
  <c r="J62" i="102" s="1"/>
  <c r="C54" i="5"/>
  <c r="C47" i="5"/>
  <c r="C69" i="5" s="1"/>
  <c r="C35" i="76"/>
  <c r="C63" i="76"/>
  <c r="C46" i="27"/>
  <c r="C53" i="27"/>
  <c r="C62" i="27"/>
  <c r="C71" i="24"/>
  <c r="C85" i="24"/>
  <c r="C95" i="24" s="1"/>
  <c r="C97" i="24" s="1"/>
  <c r="C99" i="24" s="1"/>
  <c r="E34" i="102" s="1"/>
  <c r="H34" i="102" s="1"/>
  <c r="J34" i="102" s="1"/>
  <c r="C70" i="25"/>
  <c r="B68" i="69"/>
  <c r="C84" i="21"/>
  <c r="C94" i="21" s="1"/>
  <c r="C96" i="21" s="1"/>
  <c r="C98" i="21" s="1"/>
  <c r="E26" i="102" s="1"/>
  <c r="H26" i="102" s="1"/>
  <c r="J26" i="102" s="1"/>
  <c r="C85" i="86"/>
  <c r="C95" i="86" s="1"/>
  <c r="C97" i="86" s="1"/>
  <c r="C99" i="86" s="1"/>
  <c r="Q50" i="102" s="1"/>
  <c r="C68" i="75"/>
  <c r="C69" i="1"/>
  <c r="C68" i="48"/>
  <c r="B69" i="70"/>
  <c r="C71" i="31"/>
  <c r="C85" i="31"/>
  <c r="C95" i="31" s="1"/>
  <c r="C97" i="31" s="1"/>
  <c r="C99" i="31" s="1"/>
  <c r="C70" i="17"/>
  <c r="C84" i="17"/>
  <c r="C94" i="17" s="1"/>
  <c r="C96" i="17" s="1"/>
  <c r="C98" i="17" s="1"/>
  <c r="E18" i="102" s="1"/>
  <c r="C68" i="30"/>
  <c r="C69" i="20"/>
  <c r="C68" i="78"/>
  <c r="C68" i="91"/>
  <c r="B69" i="50"/>
  <c r="B69" i="64"/>
  <c r="B69" i="59"/>
  <c r="B68" i="7"/>
  <c r="D68" i="7" s="1"/>
  <c r="C71" i="82"/>
  <c r="C85" i="82"/>
  <c r="C95" i="82" s="1"/>
  <c r="C97" i="82" s="1"/>
  <c r="C99" i="82" s="1"/>
  <c r="B68" i="21"/>
  <c r="B69" i="28"/>
  <c r="B69" i="86"/>
  <c r="B69" i="94"/>
  <c r="B68" i="75"/>
  <c r="B69" i="1"/>
  <c r="B69" i="5"/>
  <c r="B68" i="48"/>
  <c r="C69" i="98"/>
  <c r="C85" i="40"/>
  <c r="C95" i="40" s="1"/>
  <c r="C97" i="40" s="1"/>
  <c r="C99" i="40" s="1"/>
  <c r="Q10" i="102" s="1"/>
  <c r="T10" i="102" s="1"/>
  <c r="C71" i="40"/>
  <c r="B68" i="30"/>
  <c r="C69" i="43"/>
  <c r="C70" i="34"/>
  <c r="C84" i="34"/>
  <c r="C94" i="34" s="1"/>
  <c r="C96" i="34" s="1"/>
  <c r="C98" i="34" s="1"/>
  <c r="E44" i="102" s="1"/>
  <c r="H44" i="102" s="1"/>
  <c r="J44" i="102" s="1"/>
  <c r="C69" i="59"/>
  <c r="C69" i="101"/>
  <c r="C71" i="70"/>
  <c r="C71" i="56"/>
  <c r="B69" i="82"/>
  <c r="C70" i="85"/>
  <c r="C84" i="85"/>
  <c r="C94" i="85" s="1"/>
  <c r="C96" i="85" s="1"/>
  <c r="C98" i="85" s="1"/>
  <c r="Q48" i="102" s="1"/>
  <c r="C68" i="52"/>
  <c r="C68" i="100"/>
  <c r="C69" i="92"/>
  <c r="C69" i="47"/>
  <c r="C69" i="33"/>
  <c r="B69" i="98"/>
  <c r="C85" i="53"/>
  <c r="C95" i="53" s="1"/>
  <c r="C97" i="53" s="1"/>
  <c r="C99" i="53" s="1"/>
  <c r="Q6" i="102" s="1"/>
  <c r="T6" i="102" s="1"/>
  <c r="V6" i="102" s="1"/>
  <c r="C68" i="51"/>
  <c r="C70" i="81"/>
  <c r="C84" i="81"/>
  <c r="C94" i="81" s="1"/>
  <c r="C96" i="81" s="1"/>
  <c r="C98" i="81" s="1"/>
  <c r="B69" i="43"/>
  <c r="C68" i="69"/>
  <c r="C85" i="71"/>
  <c r="C95" i="71" s="1"/>
  <c r="C97" i="71" s="1"/>
  <c r="C99" i="71" s="1"/>
  <c r="Q34" i="102" s="1"/>
  <c r="T34" i="102" s="1"/>
  <c r="V34" i="102" s="1"/>
  <c r="C71" i="71"/>
  <c r="B69" i="101"/>
  <c r="C95" i="41"/>
  <c r="C97" i="41" s="1"/>
  <c r="C99" i="41" s="1"/>
  <c r="E22" i="102" s="1"/>
  <c r="H22" i="102" s="1"/>
  <c r="C70" i="44" l="1"/>
  <c r="C83" i="44"/>
  <c r="C93" i="44" s="1"/>
  <c r="C95" i="44" s="1"/>
  <c r="C97" i="44" s="1"/>
  <c r="E54" i="102" s="1"/>
  <c r="H54" i="102" s="1"/>
  <c r="J54" i="102" s="1"/>
  <c r="C71" i="50"/>
  <c r="C70" i="7"/>
  <c r="C70" i="63"/>
  <c r="C68" i="27"/>
  <c r="V10" i="102"/>
  <c r="C69" i="64"/>
  <c r="C71" i="64" s="1"/>
  <c r="C85" i="28"/>
  <c r="C95" i="28" s="1"/>
  <c r="C97" i="28" s="1"/>
  <c r="C99" i="28" s="1"/>
  <c r="E38" i="102" s="1"/>
  <c r="H38" i="102" s="1"/>
  <c r="J38" i="102" s="1"/>
  <c r="C68" i="58"/>
  <c r="C85" i="95"/>
  <c r="C95" i="95" s="1"/>
  <c r="C97" i="95" s="1"/>
  <c r="C99" i="95" s="1"/>
  <c r="Q42" i="102" s="1"/>
  <c r="T42" i="102" s="1"/>
  <c r="V42" i="102" s="1"/>
  <c r="C71" i="95"/>
  <c r="C85" i="64"/>
  <c r="C95" i="64" s="1"/>
  <c r="C97" i="64" s="1"/>
  <c r="C99" i="64" s="1"/>
  <c r="Q22" i="102" s="1"/>
  <c r="T22" i="102" s="1"/>
  <c r="V22" i="102" s="1"/>
  <c r="C85" i="16"/>
  <c r="C95" i="16" s="1"/>
  <c r="C97" i="16" s="1"/>
  <c r="C99" i="16" s="1"/>
  <c r="C71" i="16"/>
  <c r="C69" i="76"/>
  <c r="C71" i="76" s="1"/>
  <c r="C70" i="27"/>
  <c r="C84" i="27"/>
  <c r="C94" i="27" s="1"/>
  <c r="C96" i="27" s="1"/>
  <c r="C98" i="27" s="1"/>
  <c r="H18" i="102"/>
  <c r="J18" i="102" s="1"/>
  <c r="C70" i="100"/>
  <c r="C84" i="100"/>
  <c r="C94" i="100" s="1"/>
  <c r="C96" i="100" s="1"/>
  <c r="C98" i="100" s="1"/>
  <c r="Q26" i="102" s="1"/>
  <c r="T26" i="102" s="1"/>
  <c r="V26" i="102" s="1"/>
  <c r="C70" i="91"/>
  <c r="C84" i="91"/>
  <c r="C94" i="91" s="1"/>
  <c r="C96" i="91" s="1"/>
  <c r="C98" i="91" s="1"/>
  <c r="Q52" i="102" s="1"/>
  <c r="T52" i="102" s="1"/>
  <c r="V52" i="102" s="1"/>
  <c r="C71" i="20"/>
  <c r="C85" i="20"/>
  <c r="C95" i="20" s="1"/>
  <c r="C97" i="20" s="1"/>
  <c r="C99" i="20" s="1"/>
  <c r="C71" i="5"/>
  <c r="C88" i="5"/>
  <c r="Q44" i="102"/>
  <c r="T48" i="102"/>
  <c r="V48" i="102" s="1"/>
  <c r="C71" i="33"/>
  <c r="C85" i="33"/>
  <c r="C95" i="33" s="1"/>
  <c r="C97" i="33" s="1"/>
  <c r="C99" i="33" s="1"/>
  <c r="E46" i="102" s="1"/>
  <c r="C70" i="52"/>
  <c r="C84" i="52"/>
  <c r="C94" i="52" s="1"/>
  <c r="C96" i="52" s="1"/>
  <c r="C98" i="52" s="1"/>
  <c r="Q4" i="102" s="1"/>
  <c r="T4" i="102" s="1"/>
  <c r="C70" i="30"/>
  <c r="C84" i="30"/>
  <c r="C94" i="30" s="1"/>
  <c r="C96" i="30" s="1"/>
  <c r="C98" i="30" s="1"/>
  <c r="C71" i="1"/>
  <c r="C85" i="1"/>
  <c r="C95" i="1" s="1"/>
  <c r="C97" i="1" s="1"/>
  <c r="C99" i="1" s="1"/>
  <c r="E42" i="102"/>
  <c r="H42" i="102" s="1"/>
  <c r="J42" i="102" s="1"/>
  <c r="C71" i="47"/>
  <c r="C85" i="47"/>
  <c r="C95" i="47" s="1"/>
  <c r="C97" i="47" s="1"/>
  <c r="C99" i="47" s="1"/>
  <c r="E58" i="102" s="1"/>
  <c r="H58" i="102" s="1"/>
  <c r="J58" i="102" s="1"/>
  <c r="C70" i="75"/>
  <c r="C84" i="75"/>
  <c r="C94" i="75" s="1"/>
  <c r="C96" i="75" s="1"/>
  <c r="C98" i="75" s="1"/>
  <c r="C71" i="59"/>
  <c r="C85" i="59"/>
  <c r="C95" i="59" s="1"/>
  <c r="C97" i="59" s="1"/>
  <c r="C99" i="59" s="1"/>
  <c r="Q16" i="102" s="1"/>
  <c r="T16" i="102" s="1"/>
  <c r="V16" i="102" s="1"/>
  <c r="C70" i="69"/>
  <c r="C84" i="69"/>
  <c r="C94" i="69" s="1"/>
  <c r="C96" i="69" s="1"/>
  <c r="C98" i="69" s="1"/>
  <c r="Q30" i="102" s="1"/>
  <c r="T30" i="102" s="1"/>
  <c r="V30" i="102" s="1"/>
  <c r="C70" i="51"/>
  <c r="C84" i="51"/>
  <c r="C94" i="51" s="1"/>
  <c r="C96" i="51" s="1"/>
  <c r="C98" i="51" s="1"/>
  <c r="E60" i="102" s="1"/>
  <c r="C71" i="92"/>
  <c r="C85" i="92"/>
  <c r="C95" i="92" s="1"/>
  <c r="C97" i="92" s="1"/>
  <c r="C99" i="92" s="1"/>
  <c r="E50" i="102" s="1"/>
  <c r="H50" i="102" s="1"/>
  <c r="J50" i="102" s="1"/>
  <c r="E8" i="102"/>
  <c r="H8" i="102" s="1"/>
  <c r="J8" i="102" s="1"/>
  <c r="E12" i="102"/>
  <c r="H12" i="102" s="1"/>
  <c r="J12" i="102" s="1"/>
  <c r="C71" i="101"/>
  <c r="C85" i="101"/>
  <c r="C95" i="101" s="1"/>
  <c r="C97" i="101" s="1"/>
  <c r="C99" i="101" s="1"/>
  <c r="Q28" i="102" s="1"/>
  <c r="T28" i="102" s="1"/>
  <c r="V28" i="102" s="1"/>
  <c r="C71" i="43"/>
  <c r="C85" i="43"/>
  <c r="C95" i="43" s="1"/>
  <c r="C97" i="43" s="1"/>
  <c r="C99" i="43" s="1"/>
  <c r="E52" i="102" s="1"/>
  <c r="H52" i="102" s="1"/>
  <c r="J52" i="102" s="1"/>
  <c r="C71" i="98"/>
  <c r="C85" i="98"/>
  <c r="C95" i="98" s="1"/>
  <c r="C97" i="98" s="1"/>
  <c r="C99" i="98" s="1"/>
  <c r="Q46" i="102"/>
  <c r="T46" i="102" s="1"/>
  <c r="V46" i="102" s="1"/>
  <c r="T50" i="102"/>
  <c r="V50" i="102" s="1"/>
  <c r="C70" i="78"/>
  <c r="C84" i="78"/>
  <c r="C94" i="78" s="1"/>
  <c r="C96" i="78" s="1"/>
  <c r="C98" i="78" s="1"/>
  <c r="Q40" i="102" s="1"/>
  <c r="T40" i="102" s="1"/>
  <c r="V40" i="102" s="1"/>
  <c r="C70" i="48"/>
  <c r="C84" i="48"/>
  <c r="C94" i="48" s="1"/>
  <c r="C96" i="48" s="1"/>
  <c r="C98" i="48" s="1"/>
  <c r="E56" i="102" s="1"/>
  <c r="H56" i="102" s="1"/>
  <c r="J56" i="102" s="1"/>
  <c r="J22" i="102"/>
  <c r="H46" i="102" l="1"/>
  <c r="J46" i="102" s="1"/>
  <c r="Q20" i="102"/>
  <c r="T20" i="102" s="1"/>
  <c r="V20" i="102" s="1"/>
  <c r="C84" i="58"/>
  <c r="C94" i="58" s="1"/>
  <c r="C96" i="58" s="1"/>
  <c r="C98" i="58" s="1"/>
  <c r="C70" i="58"/>
  <c r="C85" i="76"/>
  <c r="C95" i="76" s="1"/>
  <c r="C97" i="76" s="1"/>
  <c r="C99" i="76" s="1"/>
  <c r="Q38" i="102" s="1"/>
  <c r="T38" i="102" s="1"/>
  <c r="V38" i="102" s="1"/>
  <c r="E20" i="102"/>
  <c r="H20" i="102" s="1"/>
  <c r="J20" i="102" s="1"/>
  <c r="E16" i="102"/>
  <c r="H16" i="102" s="1"/>
  <c r="J16" i="102" s="1"/>
  <c r="E40" i="102"/>
  <c r="H40" i="102" s="1"/>
  <c r="J40" i="102" s="1"/>
  <c r="E36" i="102"/>
  <c r="H36" i="102" s="1"/>
  <c r="J36" i="102" s="1"/>
  <c r="Q36" i="102"/>
  <c r="T36" i="102" s="1"/>
  <c r="V36" i="102" s="1"/>
  <c r="H60" i="102"/>
  <c r="J60" i="102" s="1"/>
  <c r="Q54" i="102"/>
  <c r="T54" i="102" s="1"/>
  <c r="V54" i="102" s="1"/>
  <c r="T44" i="102"/>
  <c r="V44" i="102" s="1"/>
  <c r="E4" i="102"/>
  <c r="E14" i="102"/>
  <c r="H14" i="102" s="1"/>
  <c r="J14" i="102" s="1"/>
  <c r="E10" i="102"/>
  <c r="H10" i="102" s="1"/>
  <c r="J10" i="102" s="1"/>
  <c r="C98" i="5"/>
  <c r="C100" i="5" s="1"/>
  <c r="C102" i="5" s="1"/>
  <c r="Q8" i="102" s="1"/>
  <c r="T8" i="102" s="1"/>
  <c r="V4" i="102"/>
  <c r="E24" i="102"/>
  <c r="H24" i="102" s="1"/>
  <c r="J24" i="102" s="1"/>
  <c r="E28" i="102"/>
  <c r="H28" i="102" s="1"/>
  <c r="J28" i="102" s="1"/>
  <c r="Q14" i="102" l="1"/>
  <c r="T14" i="102" s="1"/>
  <c r="V8" i="102"/>
  <c r="H4" i="102"/>
  <c r="T72" i="102" l="1"/>
  <c r="V14" i="102"/>
  <c r="V72" i="102" s="1"/>
  <c r="J4" i="102"/>
  <c r="C23" i="94"/>
  <c r="C44" i="94" s="1"/>
  <c r="C66" i="94" l="1"/>
  <c r="C67" i="94" s="1"/>
  <c r="C27" i="94"/>
  <c r="C38" i="94"/>
  <c r="C61" i="94"/>
  <c r="D67" i="94"/>
  <c r="C31" i="94"/>
  <c r="C53" i="94"/>
  <c r="C45" i="94"/>
  <c r="C32" i="94"/>
  <c r="C42" i="94"/>
  <c r="D69" i="94"/>
  <c r="C34" i="94"/>
  <c r="C51" i="94"/>
  <c r="C43" i="94"/>
  <c r="C28" i="94"/>
  <c r="C40" i="94"/>
  <c r="C62" i="94"/>
  <c r="C50" i="94"/>
  <c r="C57" i="94"/>
  <c r="C58" i="94" s="1"/>
  <c r="D35" i="94"/>
  <c r="D47" i="94"/>
  <c r="C41" i="94"/>
  <c r="C33" i="94"/>
  <c r="D63" i="94"/>
  <c r="D54" i="94"/>
  <c r="D58" i="94"/>
  <c r="C30" i="94"/>
  <c r="C39" i="94"/>
  <c r="C29" i="94"/>
  <c r="C52" i="94"/>
  <c r="C47" i="94" l="1"/>
  <c r="C54" i="94"/>
  <c r="C63" i="94"/>
  <c r="C35" i="94"/>
  <c r="C69" i="94" l="1"/>
  <c r="D71" i="94" l="1"/>
  <c r="C71" i="94"/>
  <c r="C85" i="94"/>
  <c r="C95" i="94" l="1"/>
  <c r="C97" i="94" s="1"/>
  <c r="C99" i="94" s="1"/>
  <c r="E6" i="102" s="1"/>
  <c r="H6" i="102" s="1"/>
  <c r="J6" i="102" l="1"/>
  <c r="J64" i="102" s="1"/>
  <c r="AD6" i="102" s="1"/>
  <c r="H64" i="102"/>
  <c r="Y6" i="102" l="1"/>
</calcChain>
</file>

<file path=xl/comments1.xml><?xml version="1.0" encoding="utf-8"?>
<comments xmlns="http://schemas.openxmlformats.org/spreadsheetml/2006/main">
  <authors>
    <author>Nicolly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Verificar na aba INSUMOS a composição do valor
</t>
        </r>
      </text>
    </comment>
  </commentList>
</comments>
</file>

<file path=xl/comments1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1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1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.xml><?xml version="1.0" encoding="utf-8"?>
<comments xmlns="http://schemas.openxmlformats.org/spreadsheetml/2006/main">
  <authors>
    <author>Nicolly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1º TERMO ADITIVO - SUPRESSÃO POR SOLICITAÇÃO DA UNIDADE
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60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INCLUSÃO DE POSTO PELO 1º TERMO ADITIVO
</t>
        </r>
      </text>
    </comment>
  </commentList>
</comments>
</file>

<file path=xl/comments2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3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2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0.xml><?xml version="1.0" encoding="utf-8"?>
<comments xmlns="http://schemas.openxmlformats.org/spreadsheetml/2006/main">
  <authors>
    <author>Bruno Ruthes de Lima</author>
  </authors>
  <commentList>
    <comment ref="C86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1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3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4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5.xml><?xml version="1.0" encoding="utf-8"?>
<comments xmlns="http://schemas.openxmlformats.org/spreadsheetml/2006/main">
  <authors>
    <author>Bruno Ruthes de Lima</author>
  </authors>
  <commentList>
    <comment ref="C81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3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39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0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1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2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3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4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6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4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0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1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2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3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4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5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6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57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8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5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6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60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7.xml><?xml version="1.0" encoding="utf-8"?>
<comments xmlns="http://schemas.openxmlformats.org/spreadsheetml/2006/main">
  <authors>
    <author>Bruno Ruthes de Lima</author>
  </authors>
  <commentList>
    <comment ref="C82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comments8.xml><?xml version="1.0" encoding="utf-8"?>
<comments xmlns="http://schemas.openxmlformats.org/spreadsheetml/2006/main">
  <authors>
    <author>Bruno Ruthes de Lima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89 = horas / mês
38 = horas extras excedente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89 = horas / mês
1,5 = hora-extra
9,5 = horas mensais / diária</t>
        </r>
      </text>
    </comment>
  </commentList>
</comments>
</file>

<file path=xl/comments9.xml><?xml version="1.0" encoding="utf-8"?>
<comments xmlns="http://schemas.openxmlformats.org/spreadsheetml/2006/main">
  <authors>
    <author>Bruno Ruthes de Lima</author>
  </authors>
  <commentList>
    <comment ref="C83" authorId="0">
      <text>
        <r>
          <rPr>
            <b/>
            <sz val="9"/>
            <color indexed="81"/>
            <rFont val="Tahoma"/>
            <family val="2"/>
          </rPr>
          <t>30,42 = média de dias no mês</t>
        </r>
      </text>
    </comment>
  </commentList>
</comments>
</file>

<file path=xl/sharedStrings.xml><?xml version="1.0" encoding="utf-8"?>
<sst xmlns="http://schemas.openxmlformats.org/spreadsheetml/2006/main" count="5340" uniqueCount="361">
  <si>
    <t>CAMPUS</t>
  </si>
  <si>
    <t>SERVIÇOS DE VIGILÂNCIA ARMADA</t>
  </si>
  <si>
    <t xml:space="preserve">NOTURNO 12x36h </t>
  </si>
  <si>
    <t>VIGILÂNCIA ARMADA</t>
  </si>
  <si>
    <t>IDENTIFICAÇÃO DOS SERVIÇOS</t>
  </si>
  <si>
    <t>Tipo de Serviço</t>
  </si>
  <si>
    <t>Unidade de medida</t>
  </si>
  <si>
    <t>Vigilância Armada 12 x36 Noturno</t>
  </si>
  <si>
    <t>POSTO</t>
  </si>
  <si>
    <t>I - SALÁRIO ESTIMADO DO PROFISSIONAL (R$)</t>
  </si>
  <si>
    <t>Vigilante</t>
  </si>
  <si>
    <t>II - COMPOSIÇÃO DA REMUNERAÇÃO (R$)</t>
  </si>
  <si>
    <t>Salário-base</t>
  </si>
  <si>
    <t>Adicional de Periculosidade</t>
  </si>
  <si>
    <t>Hora Noturno Reduzida</t>
  </si>
  <si>
    <t>Adicional Noturno</t>
  </si>
  <si>
    <t>Efeitos da Súmula nº 444 - TST</t>
  </si>
  <si>
    <t>Outros</t>
  </si>
  <si>
    <t>TOTAL DA REMUNERAÇÃO (R$)</t>
  </si>
  <si>
    <t>III -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</si>
  <si>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</si>
  <si>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</si>
  <si>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</si>
  <si>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</si>
  <si>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</si>
  <si>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</si>
  <si>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</si>
  <si>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</si>
  <si>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>A.08 Riscos Ambientais do Trabalho – RAT x FAP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</si>
  <si>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</si>
  <si>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</si>
  <si>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</si>
  <si>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</si>
  <si>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</si>
  <si>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</si>
  <si>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</si>
  <si>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</si>
  <si>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</si>
  <si>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</si>
  <si>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</si>
  <si>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</si>
  <si>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</si>
  <si>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</si>
  <si>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</si>
  <si>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</si>
  <si>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 xml:space="preserve">TOTAL - GRUPO C 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</si>
  <si>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</si>
  <si>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</si>
  <si>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</si>
  <si>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</si>
  <si>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</si>
  <si>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</si>
  <si>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 xml:space="preserve">TOTAL - GRUPO E 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</si>
  <si>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</si>
  <si>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</si>
  <si>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</si>
  <si>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</si>
  <si>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</si>
  <si>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IV - INSUMOS</t>
  </si>
  <si>
    <t>Uniforme</t>
  </si>
  <si>
    <t xml:space="preserve">Auxílio alimentação </t>
  </si>
  <si>
    <t>Vale-Transporte</t>
  </si>
  <si>
    <t>Depreciação de Equipamentos</t>
  </si>
  <si>
    <t>EPI</t>
  </si>
  <si>
    <t>Munição</t>
  </si>
  <si>
    <t>TOTAL - INSUMOS (R$)</t>
  </si>
  <si>
    <t>COBERTURA INTRAJORNADA</t>
  </si>
  <si>
    <t>VALOR TOTAL DE REMUNERAÇÃO + ENCARGOS SOCIAIS + INSUMOS  (R$)</t>
  </si>
  <si>
    <t>V - LUCRO E DESPESAS INDIRETAS (LDI)</t>
  </si>
  <si>
    <t>Despesas Administrativas/Operacionais</t>
  </si>
  <si>
    <t>Lucro</t>
  </si>
  <si>
    <t>ISSQN ou ISS</t>
  </si>
  <si>
    <t>COFINS</t>
  </si>
  <si>
    <t>PIS</t>
  </si>
  <si>
    <t xml:space="preserve">TOTAL - LUCRO E DESPESAS INDIRETAS </t>
  </si>
  <si>
    <t>VALOR TOTAL LUCRO E DESPESAS INDIRETAS (R$)</t>
  </si>
  <si>
    <t>PREÇO MENSAL PARA 1 (UM) VIGILANTE (R$)</t>
  </si>
  <si>
    <t>TOTAL</t>
  </si>
  <si>
    <t>INICIO</t>
  </si>
  <si>
    <t>CURITIBA</t>
  </si>
  <si>
    <t>ASSIS CHATEAUBRIAND</t>
  </si>
  <si>
    <t>FOZ DO IGUAÇU</t>
  </si>
  <si>
    <t>IRATI</t>
  </si>
  <si>
    <t>IVAIPORÃ</t>
  </si>
  <si>
    <t>JACAREZINHO</t>
  </si>
  <si>
    <t>LONDRINA</t>
  </si>
  <si>
    <t>PARANAGUÁ</t>
  </si>
  <si>
    <t>PARANAVAÍ</t>
  </si>
  <si>
    <t>TELÊMACO BORBA</t>
  </si>
  <si>
    <t>UMUARAMA</t>
  </si>
  <si>
    <t>PALMAS</t>
  </si>
  <si>
    <t>CORONEL VIVIDA</t>
  </si>
  <si>
    <t>CASCAVEL</t>
  </si>
  <si>
    <t>BARRACÃO</t>
  </si>
  <si>
    <t>CAMPO LARGO</t>
  </si>
  <si>
    <t>CAPANEMA</t>
  </si>
  <si>
    <t>COLOMBO</t>
  </si>
  <si>
    <t>GOIOERÊ</t>
  </si>
  <si>
    <t>JAGUARIAÍVA</t>
  </si>
  <si>
    <t>PINHAIS</t>
  </si>
  <si>
    <t>PITANGA</t>
  </si>
  <si>
    <t>UNIÃO DA VITÓRIA</t>
  </si>
  <si>
    <t>Vigilância Armada 12 x36 Diurno</t>
  </si>
  <si>
    <t>CAMPUS - PARANAGUÁ</t>
  </si>
  <si>
    <t>44 HORAS SEMANAIS</t>
  </si>
  <si>
    <t>TOTAL - LUCRO E DEPESAS INDIRETAS (R$)</t>
  </si>
  <si>
    <t>CAMPUS - TELÊMACO BORBA</t>
  </si>
  <si>
    <t>CAMPUS - COLOMBO</t>
  </si>
  <si>
    <t>CAMPUS - GOIOERÊ</t>
  </si>
  <si>
    <t>Depreciação da Motocicleta</t>
  </si>
  <si>
    <t>Combustível da Motocicleta</t>
  </si>
  <si>
    <t>Manutenção da Motocicleta</t>
  </si>
  <si>
    <t>Impostos Obrigatórios para Veículos Automotores</t>
  </si>
  <si>
    <t>Hora - Extra</t>
  </si>
  <si>
    <t>Reflexo horas extras</t>
  </si>
  <si>
    <t>Reflexos da DSR</t>
  </si>
  <si>
    <t>por hora</t>
  </si>
  <si>
    <t>VIGILÂNCIA ARMADA/MOTORIZADO</t>
  </si>
  <si>
    <t>SERVIÇOS DE VIGILÂNCIA DESARMADA</t>
  </si>
  <si>
    <t>VIGILÂNCIA DESARMADA</t>
  </si>
  <si>
    <t>Vigilância desarmada 12 x36 Diurno</t>
  </si>
  <si>
    <t>PREÇO MENSAL PARA 1 (UM) POSTO (R$)</t>
  </si>
  <si>
    <t>NOTURNO 12x36h SEGUNDA A DOMINGO</t>
  </si>
  <si>
    <t>SDF 24 HORAS</t>
  </si>
  <si>
    <t xml:space="preserve">CURITIBA </t>
  </si>
  <si>
    <t>DIURNO 12x36h  DE SEGUNDA A DOMINGO</t>
  </si>
  <si>
    <t>NOTURNO 12x36h - SEGUNDA A DOMINGO</t>
  </si>
  <si>
    <t>DIURNO 12x36h SEGUNDA A DOMINGO</t>
  </si>
  <si>
    <t xml:space="preserve">FOZ DO IGUAÇU </t>
  </si>
  <si>
    <t xml:space="preserve">PARANAGUÁ </t>
  </si>
  <si>
    <t>DIURNO 12x36h - SEGUNDA A DOMINGO</t>
  </si>
  <si>
    <t>NOTURNO 12x36h SEGUNDA DOMINGO</t>
  </si>
  <si>
    <t>NOTURNO SEGUNDA A DOMINGO</t>
  </si>
  <si>
    <t xml:space="preserve">DIURNO 12x36h SEGUNDA A DOMINGO </t>
  </si>
  <si>
    <t xml:space="preserve"> JAGUARIAÍVA</t>
  </si>
  <si>
    <t xml:space="preserve"> CURITIBA -EAD - ERMILIO BERTOLINI</t>
  </si>
  <si>
    <t>12X36 ARMADO NOTURNO 2º A DOMINGO</t>
  </si>
  <si>
    <t>12X36 ARMADO DIURNO 2º A DOMINGO</t>
  </si>
  <si>
    <t>CURITIBA EAD - SALGADO FILHO</t>
  </si>
  <si>
    <t>12X36 DESARMADO DIURNO 2º A DOMINGO</t>
  </si>
  <si>
    <t xml:space="preserve"> 44 HORAS SEMANAIS DESARMADO</t>
  </si>
  <si>
    <t>SDF 24 HORAS COM MOTO</t>
  </si>
  <si>
    <t>VALOR POR POSTO MENSAL (A)</t>
  </si>
  <si>
    <t>QTDE DE POSTOS (B)</t>
  </si>
  <si>
    <t>VALOR  ESTIMADO GLOBAL PARA 20 MESES                                     D = (CX 20 MESES)</t>
  </si>
  <si>
    <t>VALOR ESTIMADO MENSAL                                            C= (BXA)</t>
  </si>
  <si>
    <t>TOTAL ESTIMADO MENSAL</t>
  </si>
  <si>
    <t>TOTAL ESTIMADO GLOBAL</t>
  </si>
  <si>
    <t>FEMININO</t>
  </si>
  <si>
    <t>Peça Feminina</t>
  </si>
  <si>
    <t>Preço médio (R$)</t>
  </si>
  <si>
    <t>Qtde anual</t>
  </si>
  <si>
    <t>Custo anual por empregado (R$)</t>
  </si>
  <si>
    <t>Custo mensal por empregado (R$)</t>
  </si>
  <si>
    <t>Jaqueta</t>
  </si>
  <si>
    <t>Emblema</t>
  </si>
  <si>
    <t>Calça</t>
  </si>
  <si>
    <t>Camisa</t>
  </si>
  <si>
    <t>Fiel</t>
  </si>
  <si>
    <t>Cinto</t>
  </si>
  <si>
    <t>Meias</t>
  </si>
  <si>
    <t>Bota</t>
  </si>
  <si>
    <t>Capa de chuva</t>
  </si>
  <si>
    <t>Crachá</t>
  </si>
  <si>
    <t>TOTAL FEMININO</t>
  </si>
  <si>
    <t>MASCULINO</t>
  </si>
  <si>
    <t>Peça Masculina</t>
  </si>
  <si>
    <t>bota</t>
  </si>
  <si>
    <t>TOTAL MASCULINO</t>
  </si>
  <si>
    <t>MÉDIA MASCULINO / FEMININO</t>
  </si>
  <si>
    <t>Descrição dos equipamentos</t>
  </si>
  <si>
    <t>Quantidade</t>
  </si>
  <si>
    <t>Valor por Unidade (R$)</t>
  </si>
  <si>
    <t>Valor (R$)</t>
  </si>
  <si>
    <t>Revólver calibre 38</t>
  </si>
  <si>
    <t xml:space="preserve">Coldre de couro axilar </t>
  </si>
  <si>
    <t>Baleiro</t>
  </si>
  <si>
    <t>Livro de ocorrências</t>
  </si>
  <si>
    <t>Lanterna recarregável</t>
  </si>
  <si>
    <t>Colete Balístico</t>
  </si>
  <si>
    <t xml:space="preserve">Valor total estimado </t>
  </si>
  <si>
    <t>Depreciação mensal, considerando resíduo de 20% e prazo de 8 anos.</t>
  </si>
  <si>
    <t>Quantidade de vigilantes (2 vigilantes x 1 posto)</t>
  </si>
  <si>
    <t xml:space="preserve">Valor estimado da depreciação mensal por vigilante </t>
  </si>
  <si>
    <t>Descrição dos equipamentos posto motorizado</t>
  </si>
  <si>
    <t>Capacete</t>
  </si>
  <si>
    <t>Planilha de orçamentos custos da motocicleta</t>
  </si>
  <si>
    <t xml:space="preserve">Custos </t>
  </si>
  <si>
    <t>Preço Médio</t>
  </si>
  <si>
    <t>Custo anual por empregado R$</t>
  </si>
  <si>
    <t>Custo mensal por empregado</t>
  </si>
  <si>
    <t>Manutenção</t>
  </si>
  <si>
    <t>Pneu</t>
  </si>
  <si>
    <t>Pastilha de freio</t>
  </si>
  <si>
    <t>Sapata de freio</t>
  </si>
  <si>
    <t>Kit relação</t>
  </si>
  <si>
    <t>Óleo para motor</t>
  </si>
  <si>
    <t>Impostos</t>
  </si>
  <si>
    <t>IPVA</t>
  </si>
  <si>
    <t>Licenciamento</t>
  </si>
  <si>
    <t>DPVAT</t>
  </si>
  <si>
    <t>Combustível</t>
  </si>
  <si>
    <t>Combustível 1000 km/mês</t>
  </si>
  <si>
    <t>Total</t>
  </si>
  <si>
    <t xml:space="preserve">                                     </t>
  </si>
  <si>
    <t>Depreciação mensal, considerando resíduo de 25% e prazo de 4 anos</t>
  </si>
  <si>
    <t>MUNIÇÃO</t>
  </si>
  <si>
    <t>Vigilante 44HORAS OU 12X36</t>
  </si>
  <si>
    <t>Vigilante SDF</t>
  </si>
  <si>
    <t>Vale transporte</t>
  </si>
  <si>
    <t>Horas-extras</t>
  </si>
  <si>
    <t>Reflexo horas extras ( Conforme Cláusula CCT 2014/2015)</t>
  </si>
  <si>
    <t>reflexo DSR (Conforme Cláusula CCT 2014/2015)</t>
  </si>
  <si>
    <t>Motocicleta 125 cc -ano a partir de 2011</t>
  </si>
  <si>
    <t>Intrajornada ou rendição de almoço/janta</t>
  </si>
  <si>
    <t>não existe de acordo com CCT PR 2014/2016 - CLÁUSULA TRIGÉSIMA SÉTIMA - JORNADA DE 12X36 - Parágrafo único</t>
  </si>
  <si>
    <t>DSR</t>
  </si>
  <si>
    <t>Outros insumos (seguro de vida, reciclagem, sesmt, auxilio saude. Auxilio funeral)</t>
  </si>
  <si>
    <t>seguro de vida</t>
  </si>
  <si>
    <t>recicalgem</t>
  </si>
  <si>
    <t>sesmt</t>
  </si>
  <si>
    <t>auxilio saude</t>
  </si>
  <si>
    <t>auxilio funeral</t>
  </si>
  <si>
    <t>auxilio creche</t>
  </si>
  <si>
    <t>indice</t>
  </si>
  <si>
    <t>base dias mês</t>
  </si>
  <si>
    <t>excluido cobertura intrajornada porque não estava contemplando encargos sociais</t>
  </si>
  <si>
    <t>Intrajornada ou rendição de almoço</t>
  </si>
  <si>
    <t>intajornada/rendição de almoço</t>
  </si>
  <si>
    <t xml:space="preserve">  </t>
  </si>
  <si>
    <t>Neuza</t>
  </si>
  <si>
    <t>(46) 3232-8300</t>
  </si>
  <si>
    <t>Coronel Vivida</t>
  </si>
  <si>
    <t>Kátia</t>
  </si>
  <si>
    <t>(42) 3521-1200</t>
  </si>
  <si>
    <t>União da Vitória</t>
  </si>
  <si>
    <t>(45) 3532-1683</t>
  </si>
  <si>
    <t>Conforme Rhaí Faturamento</t>
  </si>
  <si>
    <t>(45) 3532-8200</t>
  </si>
  <si>
    <t>Quedas do Iguaçu</t>
  </si>
  <si>
    <t>(42) 3646-1256</t>
  </si>
  <si>
    <t>(42) 3646-1172</t>
  </si>
  <si>
    <t>Pitanga</t>
  </si>
  <si>
    <t>Bernadino</t>
  </si>
  <si>
    <t>(41) 3912-5000</t>
  </si>
  <si>
    <t>Pinhais</t>
  </si>
  <si>
    <t>Geovana</t>
  </si>
  <si>
    <t>(43) 3535-9400</t>
  </si>
  <si>
    <t>Jaguariaiva</t>
  </si>
  <si>
    <t>Leda</t>
  </si>
  <si>
    <t>(44) 3521-8900</t>
  </si>
  <si>
    <t>Goioere</t>
  </si>
  <si>
    <t>Julia</t>
  </si>
  <si>
    <t>(41) 3656-8080</t>
  </si>
  <si>
    <t>Colombo</t>
  </si>
  <si>
    <t>Edna</t>
  </si>
  <si>
    <t>(46) 3552-1321</t>
  </si>
  <si>
    <t>Capanema</t>
  </si>
  <si>
    <t>Fernando</t>
  </si>
  <si>
    <t>(44) 3234-8700</t>
  </si>
  <si>
    <t>Astorga</t>
  </si>
  <si>
    <t>Debora</t>
  </si>
  <si>
    <t>(43) 3372-4000</t>
  </si>
  <si>
    <t>Londrina</t>
  </si>
  <si>
    <t>(41) 3420-2701</t>
  </si>
  <si>
    <t>Paranaguá</t>
  </si>
  <si>
    <t>Iza</t>
  </si>
  <si>
    <t>(43) 3911-3004</t>
  </si>
  <si>
    <t>Jacarezinho</t>
  </si>
  <si>
    <t>Nadia</t>
  </si>
  <si>
    <t>(44) 3621-4141</t>
  </si>
  <si>
    <t>Umuarama</t>
  </si>
  <si>
    <t>Henrique</t>
  </si>
  <si>
    <t>(42) 3271-1000</t>
  </si>
  <si>
    <t>Telêmaco Borba</t>
  </si>
  <si>
    <t>(46) 3263-7000</t>
  </si>
  <si>
    <t>(46) 3565-3013</t>
  </si>
  <si>
    <t>Palmas</t>
  </si>
  <si>
    <t>(44) 3421-2323</t>
  </si>
  <si>
    <t>Paranavaí</t>
  </si>
  <si>
    <t>Ingridi</t>
  </si>
  <si>
    <t>(43) 3472-4600</t>
  </si>
  <si>
    <t>Ivaiporã</t>
  </si>
  <si>
    <t>Sara</t>
  </si>
  <si>
    <t>(42) 3907-3000</t>
  </si>
  <si>
    <t>Irati</t>
  </si>
  <si>
    <t>Mauri</t>
  </si>
  <si>
    <t>(45) 2105-1000</t>
  </si>
  <si>
    <t>Foz do Iguaçu</t>
  </si>
  <si>
    <t>Aroudo</t>
  </si>
  <si>
    <t>(41) 3350-8484</t>
  </si>
  <si>
    <t>Curitiba</t>
  </si>
  <si>
    <t>Milton</t>
  </si>
  <si>
    <t>(45) 3321-2224</t>
  </si>
  <si>
    <t>Cascavel</t>
  </si>
  <si>
    <t>(41) 3291-5000</t>
  </si>
  <si>
    <t>Campo Largo</t>
  </si>
  <si>
    <t>Carol</t>
  </si>
  <si>
    <t>(44) 3528-8455</t>
  </si>
  <si>
    <t>Assis Chateaubriant</t>
  </si>
  <si>
    <t>Aliquota</t>
  </si>
  <si>
    <t>Contato</t>
  </si>
  <si>
    <t>Telefone</t>
  </si>
  <si>
    <t>Prefeitura</t>
  </si>
  <si>
    <t>O Valor individual do vt é R$ 2,00 - Caso o vigilante opte em pega-lo, o desconto será maior que o beneficio, sendo assim, zeramos o valor do VT.</t>
  </si>
  <si>
    <t>O Valor individual do vt é R$ 2,32.  Caso o vigilante opte em pega-lo, o desconto será maior que o beneficio, sendo assim, zeramos o valor do VT.</t>
  </si>
  <si>
    <t>O Valor individual do vt é R$ 2,15.  Caso o vigilante opte em pega-lo, o desconto será maior que o beneficio, sendo assim, zeramos o valor do VT.</t>
  </si>
  <si>
    <t>O Valor individual do vt é R$ 2,00.  Caso o vigilante opte em pega-lo, o desconto será maior que o beneficio, sendo assim, zeramos o valor do VT.</t>
  </si>
  <si>
    <t>O Valor individual do vt é R$ 2,25.  Caso o vigilante opte em pega-lo, o desconto será maior que o beneficio, sendo assim, zeramos o valor do VT.</t>
  </si>
  <si>
    <t>O Valor individual do vt é R$ 2,40.  Caso o vigilante opte em pega-lo, o desconto será maior que o beneficio, sendo assim, zeramos o valor do VT.</t>
  </si>
  <si>
    <t>O Valor individual do vt é R$ 2,20.  Caso o vigilante opte em pega-lo, o desconto será maior que o beneficio, sendo assim, zeramos o valor do VT.</t>
  </si>
  <si>
    <t>O Valor individual do vt é R$ 1,90.  Caso o vigilante opte em pega-lo, o desconto será maior que o beneficio, sendo assim, zeramos o valor do VT.</t>
  </si>
  <si>
    <t>Não existe õnibus circular na localizade. Assim zeramos o custo com Vale transporte</t>
  </si>
  <si>
    <t>Por ser sistema integrado de curitiba, mantemos o valor de R$ 2,85 por unidade</t>
  </si>
  <si>
    <t>CONTRATO</t>
  </si>
  <si>
    <t>REPACTUAÇÃO 2015</t>
  </si>
  <si>
    <t xml:space="preserve">Outros insumos </t>
  </si>
  <si>
    <t>LICITAÇÃO</t>
  </si>
  <si>
    <t xml:space="preserve">Reajuste </t>
  </si>
  <si>
    <t xml:space="preserve">         7,76 </t>
  </si>
  <si>
    <t>reajustado em função da CCT</t>
  </si>
  <si>
    <t xml:space="preserve">       42,15 </t>
  </si>
  <si>
    <t>não reajustado</t>
  </si>
  <si>
    <t xml:space="preserve">       12,50 </t>
  </si>
  <si>
    <t xml:space="preserve">       67,45 </t>
  </si>
  <si>
    <t xml:space="preserve">         1,29 </t>
  </si>
  <si>
    <t xml:space="preserve">         1,62 </t>
  </si>
  <si>
    <t>VALOR TOTAL</t>
  </si>
  <si>
    <t>intervalo intrajornada</t>
  </si>
  <si>
    <t>valor 2014</t>
  </si>
  <si>
    <t>valor 2015</t>
  </si>
  <si>
    <t>outros insumos - valor final</t>
  </si>
  <si>
    <t>FAP 2015</t>
  </si>
  <si>
    <t>ASTORGA</t>
  </si>
  <si>
    <t>QUEDAS DO IGUAÇU</t>
  </si>
  <si>
    <t>valor inicial do contrato</t>
  </si>
  <si>
    <t xml:space="preserve">percentual de acréscimo atual </t>
  </si>
  <si>
    <t>REPACTUAÇÃO 2016</t>
  </si>
  <si>
    <t>valor 2016</t>
  </si>
  <si>
    <t>FAP 2016</t>
  </si>
  <si>
    <t>repactuação 2016 (acréscimo de 10,71% IPCA/IBGE)</t>
  </si>
  <si>
    <t>-</t>
  </si>
  <si>
    <t>O Valor individual do vt é R$ 3,00.  Caso o vigilante opte em pega-lo, o desconto será maior que o beneficio, sendo assim, zeramos o valor do VT.</t>
  </si>
  <si>
    <t>valor inicial atualizado</t>
  </si>
  <si>
    <t>diferença entre o valor inicial atualizado e o valor atual, considerando todas as alterações contratuais formalizadas</t>
  </si>
  <si>
    <t>Contrato Inicial</t>
  </si>
  <si>
    <t>Mensal</t>
  </si>
  <si>
    <t>20 meses</t>
  </si>
  <si>
    <t>1º aditivo</t>
  </si>
  <si>
    <t>Contrato inicial</t>
  </si>
  <si>
    <t>1° aditivo</t>
  </si>
  <si>
    <t>unificar</t>
  </si>
  <si>
    <t>12X36 ARMADO DIURNO 2º A DOMINGO - Contrato inicial - suprimido no 1º aditivo</t>
  </si>
  <si>
    <t xml:space="preserve"> 44 HORAS SEMANAIS DESARMADO - contrato inicial - transferido para Londrina no 2º aditivo</t>
  </si>
  <si>
    <t>2° aditivo</t>
  </si>
  <si>
    <t>2° aditivo - corrigir o termo (desarmado)</t>
  </si>
  <si>
    <t>2º aditivo</t>
  </si>
  <si>
    <t>3º aditivo</t>
  </si>
  <si>
    <t>supressão ?</t>
  </si>
  <si>
    <t xml:space="preserve"> CURITIBA - ERMILIO BERTOLINI</t>
  </si>
  <si>
    <t>1º apostilamento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</si>
</sst>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0.000%"/>
    <numFmt numFmtId="167" formatCode="&quot;R$&quot;\ #,##0.00"/>
    <numFmt numFmtId="168" formatCode="_(* #,##0.0000_);_(* \(#,##0.0000\);_(* &quot;-&quot;??_);_(@_)"/>
    <numFmt numFmtId="169" formatCode="#,##0.00000"/>
    <numFmt numFmtId="170" formatCode="0.0000"/>
    <numFmt numFmtId="171" formatCode="_(* #,##0.00000_);_(* \(#,##0.0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rgb="FF969696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medium">
        <color rgb="FF000000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14" borderId="28" applyNumberFormat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165" fontId="4" fillId="3" borderId="0" xfId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6" borderId="0" xfId="0" applyFont="1" applyFill="1"/>
    <xf numFmtId="0" fontId="3" fillId="3" borderId="5" xfId="0" applyFont="1" applyFill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66" fontId="4" fillId="3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6" borderId="0" xfId="0" applyFont="1" applyFill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10" fontId="4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10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0" fontId="3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10" fontId="3" fillId="3" borderId="5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10" fontId="4" fillId="3" borderId="0" xfId="0" applyNumberFormat="1" applyFont="1" applyFill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/>
    </xf>
    <xf numFmtId="165" fontId="0" fillId="0" borderId="0" xfId="1" applyFont="1" applyAlignment="1">
      <alignment vertical="center"/>
    </xf>
    <xf numFmtId="165" fontId="4" fillId="3" borderId="0" xfId="1" applyFont="1" applyFill="1" applyAlignment="1">
      <alignment horizontal="right" vertical="center"/>
    </xf>
    <xf numFmtId="165" fontId="4" fillId="0" borderId="0" xfId="1" applyFont="1" applyFill="1" applyAlignment="1">
      <alignment horizontal="right" vertical="center"/>
    </xf>
    <xf numFmtId="165" fontId="3" fillId="3" borderId="0" xfId="1" applyFont="1" applyFill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165" fontId="4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2" fontId="4" fillId="3" borderId="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7" borderId="1" xfId="2" applyFill="1" applyBorder="1" applyAlignment="1">
      <alignment horizontal="center" vertical="center"/>
    </xf>
    <xf numFmtId="0" fontId="7" fillId="7" borderId="0" xfId="2" applyFill="1" applyAlignment="1">
      <alignment horizontal="center" vertical="center"/>
    </xf>
    <xf numFmtId="0" fontId="0" fillId="6" borderId="0" xfId="0" applyFill="1"/>
    <xf numFmtId="0" fontId="5" fillId="6" borderId="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5" borderId="0" xfId="0" applyFont="1" applyFill="1"/>
    <xf numFmtId="0" fontId="5" fillId="5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0" fillId="6" borderId="0" xfId="0" applyFill="1" applyBorder="1" applyAlignment="1">
      <alignment vertical="center" wrapText="1"/>
    </xf>
    <xf numFmtId="0" fontId="5" fillId="6" borderId="0" xfId="0" applyFont="1" applyFill="1" applyBorder="1" applyAlignment="1"/>
    <xf numFmtId="0" fontId="0" fillId="5" borderId="0" xfId="0" applyFill="1"/>
    <xf numFmtId="0" fontId="5" fillId="5" borderId="10" xfId="0" applyFont="1" applyFill="1" applyBorder="1"/>
    <xf numFmtId="0" fontId="5" fillId="5" borderId="13" xfId="0" applyFont="1" applyFill="1" applyBorder="1"/>
    <xf numFmtId="0" fontId="0" fillId="5" borderId="0" xfId="0" applyFont="1" applyFill="1"/>
    <xf numFmtId="0" fontId="13" fillId="5" borderId="0" xfId="0" applyFont="1" applyFill="1"/>
    <xf numFmtId="0" fontId="13" fillId="6" borderId="0" xfId="0" applyFont="1" applyFill="1"/>
    <xf numFmtId="0" fontId="13" fillId="8" borderId="0" xfId="0" applyFont="1" applyFill="1"/>
    <xf numFmtId="0" fontId="13" fillId="6" borderId="0" xfId="0" applyFont="1" applyFill="1" applyBorder="1" applyAlignment="1"/>
    <xf numFmtId="0" fontId="13" fillId="0" borderId="0" xfId="0" applyFont="1"/>
    <xf numFmtId="0" fontId="6" fillId="9" borderId="14" xfId="0" applyFont="1" applyFill="1" applyBorder="1" applyAlignment="1">
      <alignment horizontal="center" vertical="center" wrapText="1"/>
    </xf>
    <xf numFmtId="0" fontId="14" fillId="6" borderId="0" xfId="0" applyFont="1" applyFill="1"/>
    <xf numFmtId="0" fontId="6" fillId="9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right" vertical="center" wrapText="1"/>
    </xf>
    <xf numFmtId="164" fontId="15" fillId="11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right" vertical="center" indent="2"/>
    </xf>
    <xf numFmtId="0" fontId="1" fillId="4" borderId="0" xfId="0" applyFont="1" applyFill="1" applyAlignment="1">
      <alignment horizontal="right" vertical="center" indent="2"/>
    </xf>
    <xf numFmtId="0" fontId="1" fillId="4" borderId="2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indent="2"/>
    </xf>
    <xf numFmtId="0" fontId="15" fillId="12" borderId="2" xfId="0" applyFont="1" applyFill="1" applyBorder="1" applyAlignment="1">
      <alignment horizontal="right" vertical="center" indent="2"/>
    </xf>
    <xf numFmtId="164" fontId="15" fillId="4" borderId="2" xfId="0" applyNumberFormat="1" applyFont="1" applyFill="1" applyBorder="1" applyAlignment="1">
      <alignment horizontal="right" vertical="center" indent="2"/>
    </xf>
    <xf numFmtId="0" fontId="16" fillId="0" borderId="0" xfId="0" applyFont="1" applyAlignment="1">
      <alignment horizontal="justify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7" fillId="13" borderId="21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left" vertical="center"/>
    </xf>
    <xf numFmtId="0" fontId="17" fillId="13" borderId="22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justify" vertical="center"/>
    </xf>
    <xf numFmtId="0" fontId="5" fillId="13" borderId="22" xfId="0" applyFont="1" applyFill="1" applyBorder="1" applyAlignment="1">
      <alignment horizontal="justify" vertical="center"/>
    </xf>
    <xf numFmtId="4" fontId="18" fillId="0" borderId="18" xfId="0" applyNumberFormat="1" applyFont="1" applyBorder="1" applyAlignment="1">
      <alignment horizontal="left" vertical="center"/>
    </xf>
    <xf numFmtId="0" fontId="19" fillId="13" borderId="18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5" fillId="4" borderId="9" xfId="0" applyNumberFormat="1" applyFont="1" applyFill="1" applyBorder="1" applyAlignment="1">
      <alignment horizontal="right" vertical="center" indent="2"/>
    </xf>
    <xf numFmtId="0" fontId="15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7" fontId="15" fillId="4" borderId="2" xfId="0" applyNumberFormat="1" applyFont="1" applyFill="1" applyBorder="1" applyAlignment="1">
      <alignment horizontal="right" vertical="center" indent="2"/>
    </xf>
    <xf numFmtId="165" fontId="15" fillId="4" borderId="2" xfId="1" applyFont="1" applyFill="1" applyBorder="1" applyAlignment="1">
      <alignment horizontal="right" vertical="center" indent="2"/>
    </xf>
    <xf numFmtId="0" fontId="1" fillId="4" borderId="0" xfId="0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right" vertical="center" indent="2"/>
    </xf>
    <xf numFmtId="165" fontId="1" fillId="0" borderId="2" xfId="1" applyFont="1" applyBorder="1" applyAlignment="1">
      <alignment horizontal="right" vertical="center" wrapText="1" indent="1"/>
    </xf>
    <xf numFmtId="165" fontId="15" fillId="3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/>
    <xf numFmtId="0" fontId="0" fillId="0" borderId="2" xfId="0" applyBorder="1"/>
    <xf numFmtId="167" fontId="15" fillId="0" borderId="2" xfId="0" applyNumberFormat="1" applyFont="1" applyBorder="1"/>
    <xf numFmtId="0" fontId="15" fillId="0" borderId="5" xfId="0" applyFont="1" applyBorder="1"/>
    <xf numFmtId="9" fontId="15" fillId="0" borderId="5" xfId="0" applyNumberFormat="1" applyFont="1" applyBorder="1"/>
    <xf numFmtId="164" fontId="15" fillId="0" borderId="5" xfId="0" applyNumberFormat="1" applyFont="1" applyBorder="1"/>
    <xf numFmtId="0" fontId="0" fillId="0" borderId="5" xfId="0" applyBorder="1"/>
    <xf numFmtId="167" fontId="15" fillId="0" borderId="5" xfId="0" applyNumberFormat="1" applyFont="1" applyBorder="1"/>
    <xf numFmtId="0" fontId="20" fillId="14" borderId="28" xfId="3" applyAlignment="1">
      <alignment horizontal="center" vertical="center"/>
    </xf>
    <xf numFmtId="0" fontId="19" fillId="13" borderId="18" xfId="0" applyFont="1" applyFill="1" applyBorder="1" applyAlignment="1">
      <alignment horizontal="right" vertical="center"/>
    </xf>
    <xf numFmtId="165" fontId="3" fillId="3" borderId="2" xfId="1" applyFont="1" applyFill="1" applyBorder="1" applyAlignment="1">
      <alignment horizontal="right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/>
    </xf>
    <xf numFmtId="4" fontId="0" fillId="0" borderId="0" xfId="0" applyNumberFormat="1"/>
    <xf numFmtId="0" fontId="21" fillId="4" borderId="2" xfId="0" applyFont="1" applyFill="1" applyBorder="1" applyAlignment="1">
      <alignment horizontal="left" vertical="center"/>
    </xf>
    <xf numFmtId="0" fontId="21" fillId="12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1" fillId="3" borderId="5" xfId="0" applyNumberFormat="1" applyFont="1" applyFill="1" applyBorder="1" applyAlignment="1">
      <alignment horizontal="right" vertical="center"/>
    </xf>
    <xf numFmtId="0" fontId="21" fillId="12" borderId="2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65" fontId="21" fillId="4" borderId="2" xfId="1" applyFont="1" applyFill="1" applyBorder="1" applyAlignment="1">
      <alignment vertical="center"/>
    </xf>
    <xf numFmtId="165" fontId="21" fillId="4" borderId="2" xfId="0" applyNumberFormat="1" applyFont="1" applyFill="1" applyBorder="1" applyAlignment="1">
      <alignment vertical="center"/>
    </xf>
    <xf numFmtId="165" fontId="23" fillId="4" borderId="2" xfId="1" applyFont="1" applyFill="1" applyBorder="1" applyAlignment="1">
      <alignment vertical="center"/>
    </xf>
    <xf numFmtId="165" fontId="23" fillId="4" borderId="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4" fillId="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5" fontId="0" fillId="0" borderId="0" xfId="1" applyFont="1" applyAlignment="1">
      <alignment vertical="center" wrapText="1"/>
    </xf>
    <xf numFmtId="165" fontId="4" fillId="3" borderId="0" xfId="1" applyFont="1" applyFill="1" applyAlignment="1">
      <alignment vertical="center" wrapText="1"/>
    </xf>
    <xf numFmtId="165" fontId="0" fillId="0" borderId="0" xfId="1" applyFont="1"/>
    <xf numFmtId="165" fontId="4" fillId="0" borderId="0" xfId="1" applyFont="1" applyAlignment="1">
      <alignment horizontal="right" vertical="center"/>
    </xf>
    <xf numFmtId="165" fontId="4" fillId="0" borderId="2" xfId="1" applyFont="1" applyBorder="1" applyAlignment="1">
      <alignment horizontal="right" vertical="center"/>
    </xf>
    <xf numFmtId="165" fontId="3" fillId="3" borderId="2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0" fontId="4" fillId="15" borderId="0" xfId="0" applyNumberFormat="1" applyFont="1" applyFill="1" applyAlignment="1">
      <alignment horizontal="right" vertical="center"/>
    </xf>
    <xf numFmtId="10" fontId="4" fillId="16" borderId="0" xfId="0" applyNumberFormat="1" applyFont="1" applyFill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5" fillId="15" borderId="5" xfId="0" applyFont="1" applyFill="1" applyBorder="1" applyAlignment="1">
      <alignment vertical="center" wrapText="1"/>
    </xf>
    <xf numFmtId="0" fontId="25" fillId="15" borderId="2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" fontId="3" fillId="3" borderId="9" xfId="0" applyNumberFormat="1" applyFont="1" applyFill="1" applyBorder="1" applyAlignment="1">
      <alignment horizontal="right" vertical="center"/>
    </xf>
    <xf numFmtId="165" fontId="4" fillId="15" borderId="0" xfId="1" applyFont="1" applyFill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4" fontId="4" fillId="15" borderId="0" xfId="0" applyNumberFormat="1" applyFont="1" applyFill="1" applyAlignment="1">
      <alignment horizontal="right" vertical="center"/>
    </xf>
    <xf numFmtId="2" fontId="4" fillId="15" borderId="0" xfId="0" applyNumberFormat="1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2" fontId="4" fillId="16" borderId="0" xfId="0" applyNumberFormat="1" applyFont="1" applyFill="1" applyAlignment="1">
      <alignment horizontal="right" vertical="center"/>
    </xf>
    <xf numFmtId="4" fontId="4" fillId="16" borderId="0" xfId="0" applyNumberFormat="1" applyFont="1" applyFill="1" applyAlignment="1">
      <alignment horizontal="right" vertical="center"/>
    </xf>
    <xf numFmtId="165" fontId="4" fillId="16" borderId="0" xfId="1" applyFont="1" applyFill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5" fontId="4" fillId="4" borderId="0" xfId="1" applyFont="1" applyFill="1" applyAlignment="1">
      <alignment horizontal="right" vertical="center"/>
    </xf>
    <xf numFmtId="0" fontId="26" fillId="0" borderId="0" xfId="4"/>
    <xf numFmtId="10" fontId="26" fillId="0" borderId="29" xfId="4" applyNumberFormat="1" applyBorder="1" applyAlignment="1">
      <alignment horizontal="center"/>
    </xf>
    <xf numFmtId="0" fontId="26" fillId="0" borderId="29" xfId="4" applyFont="1" applyBorder="1" applyAlignment="1">
      <alignment horizontal="center"/>
    </xf>
    <xf numFmtId="0" fontId="26" fillId="0" borderId="30" xfId="4" applyFont="1" applyBorder="1" applyAlignment="1">
      <alignment horizontal="center"/>
    </xf>
    <xf numFmtId="10" fontId="26" fillId="0" borderId="31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0" fontId="26" fillId="0" borderId="31" xfId="4" applyFont="1" applyBorder="1" applyAlignment="1">
      <alignment horizontal="center"/>
    </xf>
    <xf numFmtId="10" fontId="26" fillId="0" borderId="29" xfId="4" applyNumberFormat="1" applyFont="1" applyBorder="1" applyAlignment="1">
      <alignment horizontal="center"/>
    </xf>
    <xf numFmtId="0" fontId="27" fillId="17" borderId="29" xfId="4" applyFont="1" applyFill="1" applyBorder="1" applyAlignment="1">
      <alignment horizontal="center"/>
    </xf>
    <xf numFmtId="0" fontId="26" fillId="15" borderId="0" xfId="4" applyFont="1" applyFill="1"/>
    <xf numFmtId="10" fontId="26" fillId="15" borderId="29" xfId="4" applyNumberFormat="1" applyFont="1" applyFill="1" applyBorder="1" applyAlignment="1">
      <alignment horizontal="center"/>
    </xf>
    <xf numFmtId="0" fontId="0" fillId="0" borderId="0" xfId="0" applyAlignment="1"/>
    <xf numFmtId="167" fontId="0" fillId="6" borderId="0" xfId="0" applyNumberFormat="1" applyFill="1"/>
    <xf numFmtId="43" fontId="0" fillId="0" borderId="0" xfId="0" applyNumberFormat="1"/>
    <xf numFmtId="168" fontId="0" fillId="0" borderId="0" xfId="1" applyNumberFormat="1" applyFont="1"/>
    <xf numFmtId="169" fontId="0" fillId="0" borderId="0" xfId="0" applyNumberFormat="1" applyAlignment="1">
      <alignment vertical="center"/>
    </xf>
    <xf numFmtId="170" fontId="0" fillId="0" borderId="0" xfId="0" applyNumberFormat="1"/>
    <xf numFmtId="171" fontId="0" fillId="0" borderId="0" xfId="1" applyNumberFormat="1" applyFont="1"/>
    <xf numFmtId="168" fontId="0" fillId="0" borderId="0" xfId="0" applyNumberFormat="1"/>
    <xf numFmtId="4" fontId="2" fillId="0" borderId="0" xfId="0" applyNumberFormat="1" applyFont="1" applyAlignment="1">
      <alignment horizontal="center" vertical="center"/>
    </xf>
    <xf numFmtId="0" fontId="0" fillId="15" borderId="0" xfId="0" applyFill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0" xfId="0" applyFill="1"/>
    <xf numFmtId="4" fontId="24" fillId="15" borderId="0" xfId="0" applyNumberFormat="1" applyFont="1" applyFill="1" applyAlignment="1">
      <alignment vertical="center"/>
    </xf>
    <xf numFmtId="0" fontId="24" fillId="15" borderId="0" xfId="0" applyFont="1" applyFill="1"/>
    <xf numFmtId="0" fontId="24" fillId="0" borderId="0" xfId="0" applyFont="1"/>
    <xf numFmtId="0" fontId="3" fillId="3" borderId="3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10" fontId="24" fillId="0" borderId="18" xfId="0" applyNumberFormat="1" applyFont="1" applyBorder="1" applyAlignment="1">
      <alignment horizontal="right" vertical="center"/>
    </xf>
    <xf numFmtId="43" fontId="18" fillId="0" borderId="18" xfId="5" applyFont="1" applyBorder="1" applyAlignment="1">
      <alignment vertical="center"/>
    </xf>
    <xf numFmtId="0" fontId="18" fillId="4" borderId="18" xfId="0" applyFont="1" applyFill="1" applyBorder="1" applyAlignment="1">
      <alignment vertical="center"/>
    </xf>
    <xf numFmtId="165" fontId="3" fillId="3" borderId="2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3" borderId="0" xfId="1" applyNumberFormat="1" applyFont="1" applyFill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7" fontId="4" fillId="3" borderId="0" xfId="0" applyNumberFormat="1" applyFont="1" applyFill="1" applyAlignment="1">
      <alignment horizontal="right" vertical="center"/>
    </xf>
    <xf numFmtId="167" fontId="4" fillId="0" borderId="2" xfId="1" applyNumberFormat="1" applyFont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165" fontId="0" fillId="0" borderId="10" xfId="1" applyFont="1" applyBorder="1"/>
    <xf numFmtId="0" fontId="0" fillId="0" borderId="10" xfId="0" applyBorder="1"/>
    <xf numFmtId="10" fontId="4" fillId="15" borderId="10" xfId="0" applyNumberFormat="1" applyFont="1" applyFill="1" applyBorder="1" applyAlignment="1">
      <alignment horizontal="right" vertic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167" fontId="0" fillId="0" borderId="0" xfId="0" applyNumberFormat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31" fillId="6" borderId="0" xfId="0" applyFont="1" applyFill="1" applyBorder="1"/>
    <xf numFmtId="165" fontId="15" fillId="0" borderId="10" xfId="1" applyFont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4" fontId="15" fillId="4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 indent="1"/>
    </xf>
    <xf numFmtId="4" fontId="15" fillId="3" borderId="2" xfId="0" applyNumberFormat="1" applyFont="1" applyFill="1" applyBorder="1" applyAlignment="1">
      <alignment horizontal="right" vertical="center" wrapText="1"/>
    </xf>
    <xf numFmtId="4" fontId="15" fillId="11" borderId="2" xfId="0" applyNumberFormat="1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12" borderId="2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15" borderId="0" xfId="0" applyFont="1" applyFill="1" applyAlignment="1">
      <alignment vertical="center" wrapText="1"/>
    </xf>
    <xf numFmtId="0" fontId="33" fillId="15" borderId="0" xfId="0" applyFont="1" applyFill="1" applyBorder="1" applyAlignment="1">
      <alignment vertical="center" wrapText="1"/>
    </xf>
    <xf numFmtId="0" fontId="24" fillId="15" borderId="0" xfId="0" applyFont="1" applyFill="1" applyBorder="1"/>
    <xf numFmtId="0" fontId="17" fillId="13" borderId="0" xfId="0" applyFont="1" applyFill="1" applyBorder="1" applyAlignment="1">
      <alignment horizontal="right" vertical="center"/>
    </xf>
    <xf numFmtId="4" fontId="17" fillId="0" borderId="18" xfId="0" applyNumberFormat="1" applyFont="1" applyBorder="1" applyAlignment="1">
      <alignment horizontal="center" vertical="center" wrapText="1"/>
    </xf>
    <xf numFmtId="4" fontId="5" fillId="13" borderId="22" xfId="0" applyNumberFormat="1" applyFont="1" applyFill="1" applyBorder="1" applyAlignment="1">
      <alignment horizontal="justify" vertical="center"/>
    </xf>
    <xf numFmtId="4" fontId="20" fillId="14" borderId="28" xfId="3" applyNumberFormat="1" applyAlignment="1">
      <alignment horizontal="center" vertical="center"/>
    </xf>
    <xf numFmtId="4" fontId="19" fillId="13" borderId="18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5" fillId="4" borderId="2" xfId="1" applyNumberFormat="1" applyFont="1" applyFill="1" applyBorder="1" applyAlignment="1">
      <alignment horizontal="right" vertical="center" indent="2"/>
    </xf>
    <xf numFmtId="4" fontId="15" fillId="12" borderId="2" xfId="0" applyNumberFormat="1" applyFont="1" applyFill="1" applyBorder="1" applyAlignment="1">
      <alignment horizontal="right" vertical="center" indent="2"/>
    </xf>
    <xf numFmtId="4" fontId="15" fillId="4" borderId="2" xfId="0" applyNumberFormat="1" applyFont="1" applyFill="1" applyBorder="1" applyAlignment="1">
      <alignment horizontal="right" vertical="center" indent="2"/>
    </xf>
    <xf numFmtId="4" fontId="18" fillId="0" borderId="18" xfId="1" applyNumberFormat="1" applyFont="1" applyBorder="1" applyAlignment="1">
      <alignment horizontal="right" vertical="center"/>
    </xf>
    <xf numFmtId="4" fontId="6" fillId="13" borderId="22" xfId="1" applyNumberFormat="1" applyFont="1" applyFill="1" applyBorder="1" applyAlignment="1">
      <alignment horizontal="justify" vertical="center"/>
    </xf>
    <xf numFmtId="4" fontId="18" fillId="0" borderId="18" xfId="0" applyNumberFormat="1" applyFont="1" applyBorder="1" applyAlignment="1">
      <alignment horizontal="right" vertical="center"/>
    </xf>
    <xf numFmtId="4" fontId="15" fillId="14" borderId="28" xfId="3" applyNumberFormat="1" applyFont="1" applyAlignment="1">
      <alignment horizontal="right" vertical="center"/>
    </xf>
    <xf numFmtId="4" fontId="19" fillId="13" borderId="18" xfId="0" applyNumberFormat="1" applyFont="1" applyFill="1" applyBorder="1" applyAlignment="1">
      <alignment horizontal="right" vertical="center"/>
    </xf>
    <xf numFmtId="4" fontId="15" fillId="0" borderId="0" xfId="0" applyNumberFormat="1" applyFont="1"/>
    <xf numFmtId="0" fontId="0" fillId="0" borderId="0" xfId="0" applyAlignment="1">
      <alignment horizontal="left"/>
    </xf>
    <xf numFmtId="0" fontId="5" fillId="15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5" fillId="15" borderId="14" xfId="0" applyFont="1" applyFill="1" applyBorder="1" applyAlignment="1">
      <alignment horizontal="center" vertical="center" wrapText="1"/>
    </xf>
    <xf numFmtId="0" fontId="5" fillId="15" borderId="47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0" fillId="15" borderId="0" xfId="0" applyFill="1" applyBorder="1"/>
    <xf numFmtId="0" fontId="5" fillId="15" borderId="50" xfId="0" applyFont="1" applyFill="1" applyBorder="1" applyAlignment="1">
      <alignment horizontal="center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 wrapText="1"/>
    </xf>
    <xf numFmtId="165" fontId="15" fillId="0" borderId="0" xfId="1" applyFont="1" applyAlignment="1">
      <alignment horizontal="left"/>
    </xf>
    <xf numFmtId="0" fontId="5" fillId="18" borderId="50" xfId="0" applyFont="1" applyFill="1" applyBorder="1" applyAlignment="1">
      <alignment horizontal="center" vertical="center" wrapText="1"/>
    </xf>
    <xf numFmtId="165" fontId="0" fillId="0" borderId="0" xfId="1" applyFont="1" applyAlignment="1">
      <alignment horizontal="left"/>
    </xf>
    <xf numFmtId="0" fontId="5" fillId="15" borderId="0" xfId="0" applyFont="1" applyFill="1" applyBorder="1" applyAlignment="1">
      <alignment vertical="center" wrapText="1"/>
    </xf>
    <xf numFmtId="10" fontId="0" fillId="0" borderId="0" xfId="6" applyNumberFormat="1" applyFont="1"/>
    <xf numFmtId="167" fontId="0" fillId="0" borderId="0" xfId="0" applyNumberFormat="1" applyBorder="1" applyAlignment="1">
      <alignment horizontal="center"/>
    </xf>
    <xf numFmtId="0" fontId="15" fillId="0" borderId="41" xfId="0" applyFont="1" applyBorder="1"/>
    <xf numFmtId="14" fontId="0" fillId="0" borderId="0" xfId="0" applyNumberFormat="1"/>
    <xf numFmtId="167" fontId="0" fillId="0" borderId="0" xfId="0" applyNumberFormat="1" applyAlignment="1">
      <alignment horizontal="left"/>
    </xf>
    <xf numFmtId="165" fontId="15" fillId="0" borderId="10" xfId="1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167" fontId="12" fillId="10" borderId="8" xfId="0" applyNumberFormat="1" applyFont="1" applyFill="1" applyBorder="1" applyAlignment="1">
      <alignment horizontal="center" vertical="center"/>
    </xf>
    <xf numFmtId="167" fontId="12" fillId="10" borderId="5" xfId="0" applyNumberFormat="1" applyFont="1" applyFill="1" applyBorder="1" applyAlignment="1">
      <alignment horizontal="center" vertical="center"/>
    </xf>
    <xf numFmtId="167" fontId="12" fillId="10" borderId="9" xfId="0" applyNumberFormat="1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 wrapText="1"/>
    </xf>
    <xf numFmtId="0" fontId="32" fillId="10" borderId="5" xfId="0" applyFont="1" applyFill="1" applyBorder="1" applyAlignment="1">
      <alignment horizontal="center" vertical="center" wrapText="1"/>
    </xf>
    <xf numFmtId="0" fontId="32" fillId="10" borderId="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0" fontId="12" fillId="10" borderId="8" xfId="0" applyNumberFormat="1" applyFont="1" applyFill="1" applyBorder="1" applyAlignment="1">
      <alignment horizontal="center" vertical="center"/>
    </xf>
    <xf numFmtId="10" fontId="12" fillId="10" borderId="5" xfId="0" applyNumberFormat="1" applyFont="1" applyFill="1" applyBorder="1" applyAlignment="1">
      <alignment horizontal="center" vertical="center"/>
    </xf>
    <xf numFmtId="10" fontId="12" fillId="10" borderId="9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7" fontId="5" fillId="6" borderId="12" xfId="0" applyNumberFormat="1" applyFont="1" applyFill="1" applyBorder="1" applyAlignment="1">
      <alignment horizontal="center" vertical="center" wrapText="1"/>
    </xf>
    <xf numFmtId="167" fontId="5" fillId="6" borderId="13" xfId="0" applyNumberFormat="1" applyFont="1" applyFill="1" applyBorder="1" applyAlignment="1">
      <alignment horizontal="center" vertical="center" wrapText="1"/>
    </xf>
    <xf numFmtId="167" fontId="5" fillId="6" borderId="11" xfId="0" applyNumberFormat="1" applyFont="1" applyFill="1" applyBorder="1" applyAlignment="1">
      <alignment horizontal="center" vertical="center" wrapText="1"/>
    </xf>
    <xf numFmtId="167" fontId="13" fillId="6" borderId="10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167" fontId="5" fillId="6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7" fontId="29" fillId="5" borderId="12" xfId="0" applyNumberFormat="1" applyFont="1" applyFill="1" applyBorder="1" applyAlignment="1">
      <alignment horizontal="center" vertical="center" wrapText="1"/>
    </xf>
    <xf numFmtId="167" fontId="29" fillId="5" borderId="13" xfId="0" applyNumberFormat="1" applyFont="1" applyFill="1" applyBorder="1" applyAlignment="1">
      <alignment horizontal="center" vertical="center" wrapText="1"/>
    </xf>
    <xf numFmtId="167" fontId="5" fillId="5" borderId="11" xfId="0" applyNumberFormat="1" applyFont="1" applyFill="1" applyBorder="1" applyAlignment="1">
      <alignment horizontal="center" vertical="center" wrapText="1"/>
    </xf>
    <xf numFmtId="167" fontId="5" fillId="5" borderId="13" xfId="0" applyNumberFormat="1" applyFont="1" applyFill="1" applyBorder="1" applyAlignment="1">
      <alignment horizontal="center" vertical="center" wrapText="1"/>
    </xf>
    <xf numFmtId="167" fontId="5" fillId="5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7" fontId="8" fillId="10" borderId="8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167" fontId="29" fillId="8" borderId="12" xfId="0" applyNumberFormat="1" applyFont="1" applyFill="1" applyBorder="1" applyAlignment="1">
      <alignment horizontal="center" vertical="center" wrapText="1"/>
    </xf>
    <xf numFmtId="167" fontId="29" fillId="8" borderId="13" xfId="0" applyNumberFormat="1" applyFont="1" applyFill="1" applyBorder="1" applyAlignment="1">
      <alignment horizontal="center" vertical="center" wrapText="1"/>
    </xf>
    <xf numFmtId="167" fontId="5" fillId="8" borderId="11" xfId="0" applyNumberFormat="1" applyFont="1" applyFill="1" applyBorder="1" applyAlignment="1">
      <alignment horizontal="center" vertical="center" wrapText="1"/>
    </xf>
    <xf numFmtId="167" fontId="5" fillId="8" borderId="13" xfId="0" applyNumberFormat="1" applyFont="1" applyFill="1" applyBorder="1" applyAlignment="1">
      <alignment horizontal="center" vertical="center" wrapText="1"/>
    </xf>
    <xf numFmtId="167" fontId="5" fillId="8" borderId="10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167" fontId="13" fillId="5" borderId="10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67" fontId="13" fillId="8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7" fontId="5" fillId="6" borderId="0" xfId="0" applyNumberFormat="1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167" fontId="5" fillId="8" borderId="12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167" fontId="5" fillId="5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167" fontId="10" fillId="10" borderId="8" xfId="0" applyNumberFormat="1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167" fontId="8" fillId="10" borderId="9" xfId="0" applyNumberFormat="1" applyFont="1" applyFill="1" applyBorder="1" applyAlignment="1">
      <alignment horizontal="center" vertical="center"/>
    </xf>
    <xf numFmtId="167" fontId="29" fillId="8" borderId="11" xfId="0" applyNumberFormat="1" applyFont="1" applyFill="1" applyBorder="1" applyAlignment="1">
      <alignment horizontal="center" vertical="center" wrapText="1"/>
    </xf>
    <xf numFmtId="0" fontId="11" fillId="15" borderId="0" xfId="2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left" vertical="center" wrapText="1"/>
    </xf>
    <xf numFmtId="167" fontId="5" fillId="18" borderId="57" xfId="0" applyNumberFormat="1" applyFont="1" applyFill="1" applyBorder="1" applyAlignment="1">
      <alignment horizontal="center" vertical="center" wrapText="1"/>
    </xf>
    <xf numFmtId="167" fontId="5" fillId="18" borderId="58" xfId="0" applyNumberFormat="1" applyFont="1" applyFill="1" applyBorder="1" applyAlignment="1">
      <alignment horizontal="center" vertical="center" wrapText="1"/>
    </xf>
    <xf numFmtId="0" fontId="6" fillId="15" borderId="59" xfId="0" applyFont="1" applyFill="1" applyBorder="1" applyAlignment="1">
      <alignment horizontal="left" vertical="center" wrapText="1"/>
    </xf>
    <xf numFmtId="0" fontId="6" fillId="15" borderId="14" xfId="0" applyFont="1" applyFill="1" applyBorder="1" applyAlignment="1">
      <alignment horizontal="left" vertical="center" wrapText="1"/>
    </xf>
    <xf numFmtId="0" fontId="6" fillId="15" borderId="61" xfId="0" applyFont="1" applyFill="1" applyBorder="1" applyAlignment="1">
      <alignment horizontal="left" vertical="center" wrapText="1"/>
    </xf>
    <xf numFmtId="0" fontId="6" fillId="15" borderId="50" xfId="0" applyFont="1" applyFill="1" applyBorder="1" applyAlignment="1">
      <alignment horizontal="left" vertical="center" wrapText="1"/>
    </xf>
    <xf numFmtId="167" fontId="5" fillId="15" borderId="14" xfId="0" applyNumberFormat="1" applyFont="1" applyFill="1" applyBorder="1" applyAlignment="1">
      <alignment horizontal="left" vertical="center" wrapText="1"/>
    </xf>
    <xf numFmtId="167" fontId="5" fillId="15" borderId="14" xfId="0" applyNumberFormat="1" applyFont="1" applyFill="1" applyBorder="1" applyAlignment="1">
      <alignment horizontal="center" vertical="center" wrapText="1"/>
    </xf>
    <xf numFmtId="167" fontId="13" fillId="15" borderId="14" xfId="0" applyNumberFormat="1" applyFont="1" applyFill="1" applyBorder="1" applyAlignment="1">
      <alignment horizontal="center" vertical="center" wrapText="1"/>
    </xf>
    <xf numFmtId="167" fontId="13" fillId="15" borderId="6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167" fontId="5" fillId="18" borderId="10" xfId="0" applyNumberFormat="1" applyFont="1" applyFill="1" applyBorder="1" applyAlignment="1">
      <alignment horizontal="center" vertical="center" wrapText="1"/>
    </xf>
    <xf numFmtId="167" fontId="5" fillId="18" borderId="55" xfId="0" applyNumberFormat="1" applyFont="1" applyFill="1" applyBorder="1" applyAlignment="1">
      <alignment horizontal="center" vertical="center" wrapText="1"/>
    </xf>
    <xf numFmtId="0" fontId="6" fillId="18" borderId="51" xfId="0" applyFont="1" applyFill="1" applyBorder="1" applyAlignment="1">
      <alignment horizontal="left" vertical="center" wrapText="1"/>
    </xf>
    <xf numFmtId="0" fontId="6" fillId="18" borderId="52" xfId="0" applyFont="1" applyFill="1" applyBorder="1" applyAlignment="1">
      <alignment horizontal="left" vertical="center" wrapText="1"/>
    </xf>
    <xf numFmtId="0" fontId="6" fillId="18" borderId="54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0" fontId="6" fillId="18" borderId="56" xfId="0" applyFont="1" applyFill="1" applyBorder="1" applyAlignment="1">
      <alignment horizontal="left" vertical="center" wrapText="1"/>
    </xf>
    <xf numFmtId="0" fontId="6" fillId="18" borderId="57" xfId="0" applyFont="1" applyFill="1" applyBorder="1" applyAlignment="1">
      <alignment horizontal="left" vertical="center" wrapText="1"/>
    </xf>
    <xf numFmtId="0" fontId="5" fillId="18" borderId="52" xfId="0" applyFont="1" applyFill="1" applyBorder="1" applyAlignment="1">
      <alignment horizontal="left" vertical="center" wrapText="1"/>
    </xf>
    <xf numFmtId="167" fontId="5" fillId="18" borderId="52" xfId="0" applyNumberFormat="1" applyFont="1" applyFill="1" applyBorder="1" applyAlignment="1">
      <alignment horizontal="center" vertical="center" wrapText="1"/>
    </xf>
    <xf numFmtId="167" fontId="5" fillId="18" borderId="53" xfId="0" applyNumberFormat="1" applyFont="1" applyFill="1" applyBorder="1" applyAlignment="1">
      <alignment horizontal="center" vertical="center" wrapText="1"/>
    </xf>
    <xf numFmtId="0" fontId="15" fillId="18" borderId="51" xfId="0" applyFont="1" applyFill="1" applyBorder="1" applyAlignment="1">
      <alignment horizontal="left" vertical="center" wrapText="1"/>
    </xf>
    <xf numFmtId="0" fontId="15" fillId="18" borderId="52" xfId="0" applyFont="1" applyFill="1" applyBorder="1" applyAlignment="1">
      <alignment horizontal="left" vertical="center" wrapText="1"/>
    </xf>
    <xf numFmtId="0" fontId="15" fillId="18" borderId="54" xfId="0" applyFont="1" applyFill="1" applyBorder="1" applyAlignment="1">
      <alignment horizontal="left" vertical="center" wrapText="1"/>
    </xf>
    <xf numFmtId="0" fontId="15" fillId="18" borderId="10" xfId="0" applyFont="1" applyFill="1" applyBorder="1" applyAlignment="1">
      <alignment horizontal="left" vertical="center" wrapText="1"/>
    </xf>
    <xf numFmtId="0" fontId="15" fillId="18" borderId="56" xfId="0" applyFont="1" applyFill="1" applyBorder="1" applyAlignment="1">
      <alignment horizontal="left" vertical="center" wrapText="1"/>
    </xf>
    <xf numFmtId="0" fontId="15" fillId="18" borderId="57" xfId="0" applyFont="1" applyFill="1" applyBorder="1" applyAlignment="1">
      <alignment horizontal="left" vertical="center" wrapText="1"/>
    </xf>
    <xf numFmtId="167" fontId="5" fillId="18" borderId="52" xfId="0" applyNumberFormat="1" applyFont="1" applyFill="1" applyBorder="1" applyAlignment="1">
      <alignment horizontal="left" vertical="center" wrapText="1"/>
    </xf>
    <xf numFmtId="167" fontId="13" fillId="18" borderId="52" xfId="0" applyNumberFormat="1" applyFont="1" applyFill="1" applyBorder="1" applyAlignment="1">
      <alignment horizontal="center" vertical="center" wrapText="1"/>
    </xf>
    <xf numFmtId="167" fontId="13" fillId="18" borderId="53" xfId="0" applyNumberFormat="1" applyFont="1" applyFill="1" applyBorder="1" applyAlignment="1">
      <alignment horizontal="center" vertical="center" wrapText="1"/>
    </xf>
    <xf numFmtId="167" fontId="5" fillId="15" borderId="47" xfId="0" applyNumberFormat="1" applyFont="1" applyFill="1" applyBorder="1" applyAlignment="1">
      <alignment horizontal="center" vertical="center" wrapText="1"/>
    </xf>
    <xf numFmtId="167" fontId="5" fillId="15" borderId="48" xfId="0" applyNumberFormat="1" applyFont="1" applyFill="1" applyBorder="1" applyAlignment="1">
      <alignment horizontal="center" vertical="center" wrapText="1"/>
    </xf>
    <xf numFmtId="167" fontId="13" fillId="18" borderId="57" xfId="0" applyNumberFormat="1" applyFont="1" applyFill="1" applyBorder="1" applyAlignment="1">
      <alignment horizontal="center" vertical="center" wrapText="1"/>
    </xf>
    <xf numFmtId="167" fontId="13" fillId="18" borderId="58" xfId="0" applyNumberFormat="1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left" vertical="center" wrapText="1"/>
    </xf>
    <xf numFmtId="0" fontId="6" fillId="15" borderId="47" xfId="0" applyFont="1" applyFill="1" applyBorder="1" applyAlignment="1">
      <alignment horizontal="left" vertical="center" wrapText="1"/>
    </xf>
    <xf numFmtId="167" fontId="5" fillId="18" borderId="10" xfId="0" applyNumberFormat="1" applyFont="1" applyFill="1" applyBorder="1" applyAlignment="1">
      <alignment horizontal="left" vertical="center" wrapText="1"/>
    </xf>
    <xf numFmtId="167" fontId="13" fillId="18" borderId="10" xfId="0" applyNumberFormat="1" applyFont="1" applyFill="1" applyBorder="1" applyAlignment="1">
      <alignment horizontal="center" vertical="center" wrapText="1"/>
    </xf>
    <xf numFmtId="167" fontId="13" fillId="18" borderId="55" xfId="0" applyNumberFormat="1" applyFont="1" applyFill="1" applyBorder="1" applyAlignment="1">
      <alignment horizontal="center" vertical="center" wrapText="1"/>
    </xf>
    <xf numFmtId="0" fontId="15" fillId="15" borderId="59" xfId="0" applyFont="1" applyFill="1" applyBorder="1" applyAlignment="1">
      <alignment horizontal="left" vertical="center" wrapText="1"/>
    </xf>
    <xf numFmtId="0" fontId="15" fillId="15" borderId="14" xfId="0" applyFont="1" applyFill="1" applyBorder="1" applyAlignment="1">
      <alignment horizontal="left" vertical="center" wrapText="1"/>
    </xf>
    <xf numFmtId="0" fontId="15" fillId="15" borderId="54" xfId="0" applyFont="1" applyFill="1" applyBorder="1" applyAlignment="1">
      <alignment horizontal="left" vertical="center" wrapText="1"/>
    </xf>
    <xf numFmtId="0" fontId="15" fillId="15" borderId="10" xfId="0" applyFont="1" applyFill="1" applyBorder="1" applyAlignment="1">
      <alignment horizontal="left" vertical="center" wrapText="1"/>
    </xf>
    <xf numFmtId="0" fontId="15" fillId="15" borderId="61" xfId="0" applyFont="1" applyFill="1" applyBorder="1" applyAlignment="1">
      <alignment horizontal="left" vertical="center" wrapText="1"/>
    </xf>
    <xf numFmtId="0" fontId="15" fillId="15" borderId="50" xfId="0" applyFont="1" applyFill="1" applyBorder="1" applyAlignment="1">
      <alignment horizontal="left" vertical="center" wrapText="1"/>
    </xf>
    <xf numFmtId="0" fontId="5" fillId="15" borderId="14" xfId="0" applyFont="1" applyFill="1" applyBorder="1" applyAlignment="1">
      <alignment horizontal="left" vertical="center" wrapText="1"/>
    </xf>
    <xf numFmtId="167" fontId="5" fillId="15" borderId="50" xfId="0" applyNumberFormat="1" applyFont="1" applyFill="1" applyBorder="1" applyAlignment="1">
      <alignment horizontal="center" vertical="center" wrapText="1"/>
    </xf>
    <xf numFmtId="167" fontId="13" fillId="15" borderId="50" xfId="0" applyNumberFormat="1" applyFont="1" applyFill="1" applyBorder="1" applyAlignment="1">
      <alignment horizontal="center" vertical="center" wrapText="1"/>
    </xf>
    <xf numFmtId="167" fontId="13" fillId="15" borderId="62" xfId="0" applyNumberFormat="1" applyFont="1" applyFill="1" applyBorder="1" applyAlignment="1">
      <alignment horizontal="center" vertical="center" wrapText="1"/>
    </xf>
    <xf numFmtId="167" fontId="5" fillId="15" borderId="47" xfId="0" applyNumberFormat="1" applyFont="1" applyFill="1" applyBorder="1" applyAlignment="1">
      <alignment horizontal="left" vertical="center" wrapText="1"/>
    </xf>
    <xf numFmtId="167" fontId="5" fillId="15" borderId="50" xfId="0" applyNumberFormat="1" applyFont="1" applyFill="1" applyBorder="1" applyAlignment="1">
      <alignment horizontal="left" vertical="center" wrapText="1"/>
    </xf>
    <xf numFmtId="167" fontId="5" fillId="15" borderId="60" xfId="0" applyNumberFormat="1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left" vertical="center" wrapText="1"/>
    </xf>
    <xf numFmtId="167" fontId="5" fillId="15" borderId="10" xfId="0" applyNumberFormat="1" applyFont="1" applyFill="1" applyBorder="1" applyAlignment="1">
      <alignment horizontal="center" vertical="center" wrapText="1"/>
    </xf>
    <xf numFmtId="167" fontId="13" fillId="15" borderId="10" xfId="0" applyNumberFormat="1" applyFont="1" applyFill="1" applyBorder="1" applyAlignment="1">
      <alignment horizontal="center" vertical="center" wrapText="1"/>
    </xf>
    <xf numFmtId="167" fontId="13" fillId="15" borderId="55" xfId="0" applyNumberFormat="1" applyFont="1" applyFill="1" applyBorder="1" applyAlignment="1">
      <alignment horizontal="center" vertical="center" wrapText="1"/>
    </xf>
    <xf numFmtId="167" fontId="5" fillId="15" borderId="62" xfId="0" applyNumberFormat="1" applyFont="1" applyFill="1" applyBorder="1" applyAlignment="1">
      <alignment horizontal="center" vertical="center" wrapText="1"/>
    </xf>
    <xf numFmtId="0" fontId="5" fillId="15" borderId="50" xfId="0" applyFont="1" applyFill="1" applyBorder="1" applyAlignment="1">
      <alignment horizontal="left" vertical="center" wrapText="1"/>
    </xf>
    <xf numFmtId="167" fontId="5" fillId="18" borderId="57" xfId="0" applyNumberFormat="1" applyFont="1" applyFill="1" applyBorder="1" applyAlignment="1">
      <alignment horizontal="left" vertical="center" wrapText="1"/>
    </xf>
    <xf numFmtId="0" fontId="6" fillId="18" borderId="61" xfId="0" applyFont="1" applyFill="1" applyBorder="1" applyAlignment="1">
      <alignment horizontal="left" vertical="center" wrapText="1"/>
    </xf>
    <xf numFmtId="0" fontId="6" fillId="18" borderId="50" xfId="0" applyFont="1" applyFill="1" applyBorder="1" applyAlignment="1">
      <alignment horizontal="left" vertical="center" wrapText="1"/>
    </xf>
    <xf numFmtId="167" fontId="5" fillId="18" borderId="50" xfId="0" applyNumberFormat="1" applyFont="1" applyFill="1" applyBorder="1" applyAlignment="1">
      <alignment horizontal="center" vertical="center" wrapText="1"/>
    </xf>
    <xf numFmtId="167" fontId="5" fillId="18" borderId="62" xfId="0" applyNumberFormat="1" applyFont="1" applyFill="1" applyBorder="1" applyAlignment="1">
      <alignment horizontal="center" vertical="center" wrapText="1"/>
    </xf>
    <xf numFmtId="167" fontId="29" fillId="15" borderId="14" xfId="0" applyNumberFormat="1" applyFont="1" applyFill="1" applyBorder="1" applyAlignment="1">
      <alignment horizontal="center" vertical="center" wrapText="1"/>
    </xf>
    <xf numFmtId="167" fontId="29" fillId="18" borderId="52" xfId="0" applyNumberFormat="1" applyFont="1" applyFill="1" applyBorder="1" applyAlignment="1">
      <alignment horizontal="center" vertical="center" wrapText="1"/>
    </xf>
    <xf numFmtId="0" fontId="5" fillId="18" borderId="50" xfId="0" applyFont="1" applyFill="1" applyBorder="1" applyAlignment="1">
      <alignment horizontal="left" vertical="center" wrapText="1"/>
    </xf>
    <xf numFmtId="0" fontId="5" fillId="15" borderId="0" xfId="0" applyFont="1" applyFill="1" applyBorder="1" applyAlignment="1">
      <alignment horizontal="left" vertical="center" wrapText="1"/>
    </xf>
    <xf numFmtId="0" fontId="15" fillId="0" borderId="6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67" fontId="15" fillId="0" borderId="41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0" fontId="15" fillId="15" borderId="49" xfId="0" applyFont="1" applyFill="1" applyBorder="1" applyAlignment="1">
      <alignment horizontal="left" vertical="center" wrapText="1"/>
    </xf>
    <xf numFmtId="0" fontId="15" fillId="15" borderId="3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11" borderId="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12" borderId="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7" fillId="13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</cellXfs>
  <cellStyles count="7">
    <cellStyle name="Célula de Verificação" xfId="3" builtinId="23"/>
    <cellStyle name="Hiperlink" xfId="2" builtinId="8"/>
    <cellStyle name="Normal" xfId="0" builtinId="0"/>
    <cellStyle name="Normal 2" xfId="4"/>
    <cellStyle name="Porcentagem" xfId="6" builtinId="5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zoomScale="85" zoomScaleNormal="85" workbookViewId="0">
      <selection activeCell="C23" sqref="C23"/>
    </sheetView>
  </sheetViews>
  <sheetFormatPr defaultColWidth="8.85546875" defaultRowHeight="12.75" x14ac:dyDescent="0.2"/>
  <cols>
    <col min="1" max="1" width="19.42578125" style="255" customWidth="1"/>
    <col min="2" max="2" width="13.85546875" style="255" customWidth="1"/>
    <col min="3" max="3" width="14.28515625" style="255" customWidth="1"/>
    <col min="4" max="16384" width="8.85546875" style="255"/>
  </cols>
  <sheetData>
    <row r="1" spans="1:4" ht="18.399999999999999" customHeight="1" x14ac:dyDescent="0.2">
      <c r="A1" s="263" t="s">
        <v>303</v>
      </c>
      <c r="B1" s="263" t="s">
        <v>302</v>
      </c>
      <c r="C1" s="263" t="s">
        <v>301</v>
      </c>
      <c r="D1" s="263" t="s">
        <v>300</v>
      </c>
    </row>
    <row r="2" spans="1:4" ht="18.399999999999999" customHeight="1" x14ac:dyDescent="0.2">
      <c r="A2" s="257" t="s">
        <v>299</v>
      </c>
      <c r="B2" s="257" t="s">
        <v>298</v>
      </c>
      <c r="C2" s="257" t="s">
        <v>297</v>
      </c>
      <c r="D2" s="262">
        <v>0.04</v>
      </c>
    </row>
    <row r="3" spans="1:4" ht="18.399999999999999" customHeight="1" x14ac:dyDescent="0.2">
      <c r="A3" s="257" t="s">
        <v>296</v>
      </c>
      <c r="B3" s="257" t="s">
        <v>295</v>
      </c>
      <c r="C3" s="257" t="s">
        <v>237</v>
      </c>
      <c r="D3" s="262">
        <v>0.03</v>
      </c>
    </row>
    <row r="4" spans="1:4" ht="18.399999999999999" customHeight="1" x14ac:dyDescent="0.2">
      <c r="A4" s="257" t="s">
        <v>294</v>
      </c>
      <c r="B4" s="257" t="s">
        <v>293</v>
      </c>
      <c r="C4" s="257" t="s">
        <v>292</v>
      </c>
      <c r="D4" s="256">
        <v>0.05</v>
      </c>
    </row>
    <row r="5" spans="1:4" ht="18.399999999999999" customHeight="1" x14ac:dyDescent="0.2">
      <c r="A5" s="257" t="s">
        <v>291</v>
      </c>
      <c r="B5" s="257" t="s">
        <v>290</v>
      </c>
      <c r="C5" s="257" t="s">
        <v>289</v>
      </c>
      <c r="D5" s="256">
        <v>2.5000000000000001E-2</v>
      </c>
    </row>
    <row r="6" spans="1:4" ht="18.399999999999999" customHeight="1" x14ac:dyDescent="0.2">
      <c r="A6" s="257" t="s">
        <v>288</v>
      </c>
      <c r="B6" s="257" t="s">
        <v>287</v>
      </c>
      <c r="C6" s="257" t="s">
        <v>286</v>
      </c>
      <c r="D6" s="256">
        <v>0.03</v>
      </c>
    </row>
    <row r="7" spans="1:4" ht="18.399999999999999" customHeight="1" x14ac:dyDescent="0.2">
      <c r="A7" s="257" t="s">
        <v>285</v>
      </c>
      <c r="B7" s="257" t="s">
        <v>284</v>
      </c>
      <c r="C7" s="257" t="s">
        <v>283</v>
      </c>
      <c r="D7" s="256">
        <v>0.03</v>
      </c>
    </row>
    <row r="8" spans="1:4" ht="18.399999999999999" customHeight="1" x14ac:dyDescent="0.2">
      <c r="A8" s="257" t="s">
        <v>282</v>
      </c>
      <c r="B8" s="257" t="s">
        <v>281</v>
      </c>
      <c r="C8" s="257" t="s">
        <v>280</v>
      </c>
      <c r="D8" s="256">
        <v>0.04</v>
      </c>
    </row>
    <row r="9" spans="1:4" ht="18.399999999999999" customHeight="1" x14ac:dyDescent="0.2">
      <c r="A9" s="257" t="s">
        <v>279</v>
      </c>
      <c r="B9" s="257" t="s">
        <v>278</v>
      </c>
      <c r="C9" s="257" t="s">
        <v>258</v>
      </c>
      <c r="D9" s="256">
        <v>0.04</v>
      </c>
    </row>
    <row r="10" spans="1:4" ht="18.399999999999999" customHeight="1" x14ac:dyDescent="0.2">
      <c r="A10" s="261" t="s">
        <v>277</v>
      </c>
      <c r="B10" s="261" t="s">
        <v>276</v>
      </c>
      <c r="C10" s="260" t="s">
        <v>237</v>
      </c>
      <c r="D10" s="259">
        <v>0.03</v>
      </c>
    </row>
    <row r="11" spans="1:4" ht="18.399999999999999" customHeight="1" x14ac:dyDescent="0.2">
      <c r="A11" s="258"/>
      <c r="B11" s="258" t="s">
        <v>275</v>
      </c>
      <c r="C11" s="258"/>
      <c r="D11" s="258"/>
    </row>
    <row r="12" spans="1:4" ht="18.399999999999999" customHeight="1" x14ac:dyDescent="0.2">
      <c r="A12" s="257" t="s">
        <v>274</v>
      </c>
      <c r="B12" s="257" t="s">
        <v>273</v>
      </c>
      <c r="C12" s="257" t="s">
        <v>272</v>
      </c>
      <c r="D12" s="256">
        <v>0.02</v>
      </c>
    </row>
    <row r="13" spans="1:4" ht="18.399999999999999" customHeight="1" x14ac:dyDescent="0.2">
      <c r="A13" s="257" t="s">
        <v>271</v>
      </c>
      <c r="B13" s="257" t="s">
        <v>270</v>
      </c>
      <c r="C13" s="257" t="s">
        <v>269</v>
      </c>
      <c r="D13" s="256">
        <v>0.05</v>
      </c>
    </row>
    <row r="14" spans="1:4" ht="18.399999999999999" customHeight="1" x14ac:dyDescent="0.2">
      <c r="A14" s="257" t="s">
        <v>268</v>
      </c>
      <c r="B14" s="257" t="s">
        <v>267</v>
      </c>
      <c r="C14" s="257" t="s">
        <v>266</v>
      </c>
      <c r="D14" s="256">
        <v>0.05</v>
      </c>
    </row>
    <row r="15" spans="1:4" ht="18.399999999999999" customHeight="1" x14ac:dyDescent="0.2">
      <c r="A15" s="257" t="s">
        <v>265</v>
      </c>
      <c r="B15" s="257" t="s">
        <v>264</v>
      </c>
      <c r="C15" s="257" t="s">
        <v>237</v>
      </c>
      <c r="D15" s="262">
        <v>0.04</v>
      </c>
    </row>
    <row r="16" spans="1:4" ht="18.399999999999999" customHeight="1" x14ac:dyDescent="0.2">
      <c r="A16" s="257" t="s">
        <v>263</v>
      </c>
      <c r="B16" s="257" t="s">
        <v>262</v>
      </c>
      <c r="C16" s="257" t="s">
        <v>261</v>
      </c>
      <c r="D16" s="256">
        <v>0.03</v>
      </c>
    </row>
    <row r="17" spans="1:5" ht="18.399999999999999" customHeight="1" x14ac:dyDescent="0.2">
      <c r="A17" s="257" t="s">
        <v>260</v>
      </c>
      <c r="B17" s="257" t="s">
        <v>259</v>
      </c>
      <c r="C17" s="257" t="s">
        <v>258</v>
      </c>
      <c r="D17" s="256">
        <v>0.03</v>
      </c>
    </row>
    <row r="18" spans="1:5" ht="18.399999999999999" customHeight="1" x14ac:dyDescent="0.2">
      <c r="A18" s="257" t="s">
        <v>257</v>
      </c>
      <c r="B18" s="257" t="s">
        <v>256</v>
      </c>
      <c r="C18" s="257" t="s">
        <v>255</v>
      </c>
      <c r="D18" s="256">
        <v>0.03</v>
      </c>
    </row>
    <row r="19" spans="1:5" ht="18.399999999999999" customHeight="1" x14ac:dyDescent="0.2">
      <c r="A19" s="257" t="s">
        <v>254</v>
      </c>
      <c r="B19" s="257" t="s">
        <v>253</v>
      </c>
      <c r="C19" s="257" t="s">
        <v>252</v>
      </c>
      <c r="D19" s="256">
        <v>0.03</v>
      </c>
    </row>
    <row r="20" spans="1:5" ht="18.399999999999999" customHeight="1" x14ac:dyDescent="0.2">
      <c r="A20" s="257" t="s">
        <v>251</v>
      </c>
      <c r="B20" s="257" t="s">
        <v>250</v>
      </c>
      <c r="C20" s="257" t="s">
        <v>249</v>
      </c>
      <c r="D20" s="256">
        <v>0.04</v>
      </c>
    </row>
    <row r="21" spans="1:5" ht="18.399999999999999" customHeight="1" x14ac:dyDescent="0.2">
      <c r="A21" s="257" t="s">
        <v>248</v>
      </c>
      <c r="B21" s="257" t="s">
        <v>247</v>
      </c>
      <c r="C21" s="257" t="s">
        <v>246</v>
      </c>
      <c r="D21" s="262">
        <v>0.02</v>
      </c>
    </row>
    <row r="22" spans="1:5" ht="18.399999999999999" customHeight="1" x14ac:dyDescent="0.2">
      <c r="A22" s="257" t="s">
        <v>245</v>
      </c>
      <c r="B22" s="257" t="s">
        <v>244</v>
      </c>
      <c r="C22" s="257" t="s">
        <v>243</v>
      </c>
      <c r="D22" s="256">
        <v>0.02</v>
      </c>
    </row>
    <row r="23" spans="1:5" ht="18.399999999999999" customHeight="1" x14ac:dyDescent="0.2">
      <c r="A23" s="261" t="s">
        <v>242</v>
      </c>
      <c r="B23" s="261" t="s">
        <v>241</v>
      </c>
      <c r="C23" s="260" t="s">
        <v>237</v>
      </c>
      <c r="D23" s="259">
        <v>0.03</v>
      </c>
    </row>
    <row r="24" spans="1:5" ht="18.399999999999999" customHeight="1" x14ac:dyDescent="0.2">
      <c r="A24" s="258"/>
      <c r="B24" s="258" t="s">
        <v>240</v>
      </c>
      <c r="C24" s="258"/>
      <c r="D24" s="258"/>
    </row>
    <row r="25" spans="1:5" ht="18.399999999999999" customHeight="1" x14ac:dyDescent="0.2">
      <c r="A25" s="261" t="s">
        <v>239</v>
      </c>
      <c r="B25" s="261" t="s">
        <v>238</v>
      </c>
      <c r="C25" s="260" t="s">
        <v>237</v>
      </c>
      <c r="D25" s="259">
        <v>0.05</v>
      </c>
    </row>
    <row r="26" spans="1:5" ht="18.399999999999999" customHeight="1" x14ac:dyDescent="0.2">
      <c r="A26" s="258"/>
      <c r="B26" s="258" t="s">
        <v>236</v>
      </c>
      <c r="C26" s="258"/>
      <c r="D26" s="258"/>
    </row>
    <row r="27" spans="1:5" ht="18.399999999999999" customHeight="1" x14ac:dyDescent="0.2">
      <c r="A27" s="257" t="s">
        <v>235</v>
      </c>
      <c r="B27" s="257" t="s">
        <v>234</v>
      </c>
      <c r="C27" s="257" t="s">
        <v>233</v>
      </c>
      <c r="D27" s="256">
        <v>0.05</v>
      </c>
    </row>
    <row r="28" spans="1:5" ht="18.399999999999999" customHeight="1" x14ac:dyDescent="0.2">
      <c r="A28" s="257" t="s">
        <v>232</v>
      </c>
      <c r="B28" s="257" t="s">
        <v>231</v>
      </c>
      <c r="C28" s="257" t="s">
        <v>230</v>
      </c>
      <c r="D28" s="256">
        <v>0.05</v>
      </c>
    </row>
    <row r="29" spans="1:5" x14ac:dyDescent="0.2">
      <c r="A29" s="264" t="s">
        <v>93</v>
      </c>
      <c r="B29" s="264"/>
      <c r="C29" s="264"/>
      <c r="D29" s="265">
        <v>0.03</v>
      </c>
      <c r="E29" s="264"/>
    </row>
  </sheetData>
  <pageMargins left="1.31805555555556" right="0.78749999999999998" top="0.88611111111111096" bottom="0.88611111111111096" header="0.51180555555555496" footer="0.51180555555555496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64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80</v>
      </c>
      <c r="B2" s="551"/>
      <c r="C2" s="552"/>
    </row>
    <row r="3" spans="1:8" ht="15.75" x14ac:dyDescent="0.25">
      <c r="A3" s="548" t="s">
        <v>1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125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23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69"/>
      <c r="E74" s="1"/>
      <c r="F74" s="1"/>
      <c r="G74" s="1"/>
      <c r="H74" s="1"/>
    </row>
    <row r="75" spans="1:8" x14ac:dyDescent="0.25">
      <c r="A75" s="79" t="s">
        <v>61</v>
      </c>
      <c r="B75" s="69"/>
      <c r="C75" s="311" t="s">
        <v>341</v>
      </c>
      <c r="D75" s="69" t="s">
        <v>304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304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21.250000000000004</v>
      </c>
      <c r="C93" s="240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1274.6093463331697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5998.1616298031513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11996.32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1" spans="1:8" x14ac:dyDescent="0.25">
      <c r="E101" s="212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80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5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 t="s">
        <v>341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489.9137473583333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3211.2784171717585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+iss!D2</f>
        <v>0.04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5" t="s">
        <v>74</v>
      </c>
      <c r="B93" s="104"/>
      <c r="C93" s="97">
        <f>SUM(C88:C92)</f>
        <v>0.24354400000000004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24.354400000000005</v>
      </c>
      <c r="C94" s="240">
        <f>100-B94</f>
        <v>75.645600000000002</v>
      </c>
      <c r="D94" s="70"/>
      <c r="E94" s="69"/>
      <c r="F94" s="69"/>
      <c r="G94" s="69"/>
      <c r="H94" s="69"/>
    </row>
    <row r="95" spans="1:8" ht="15.75" thickBot="1" x14ac:dyDescent="0.3">
      <c r="A95" s="245" t="s">
        <v>75</v>
      </c>
      <c r="B95" s="104"/>
      <c r="C95" s="234">
        <f>SUM(C85*B94/C94)</f>
        <v>1033.8837828395558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4245.1622000113148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4245.16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H100"/>
  <sheetViews>
    <sheetView topLeftCell="A70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81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126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(3.2*2*B75)-C15*6%</f>
        <v>3.7403200000000112</v>
      </c>
      <c r="D76" s="69" t="s">
        <v>305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608.16699535833322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5317.4922967162856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21.579502100000003</v>
      </c>
      <c r="C94" s="240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1463.2505436276108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6780.7428403438962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13561.49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4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81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(3.2*2*B74)-C15*6%</f>
        <v>3.7403200000000112</v>
      </c>
      <c r="D75" s="69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608.16699535833322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4727.2926034699813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6">
        <f>+iss!D6</f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0.21579502100000003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21.579502100000003</v>
      </c>
      <c r="C93" s="240">
        <f>100-B93</f>
        <v>78.420497900000001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1300.8412774167675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6028.1338808867486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12056.27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4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128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5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(3.2*2*B75)-C15*6%</f>
        <v>22.910000000000004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512.82374735833332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3234.1884171717584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v>0.04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5" t="s">
        <v>74</v>
      </c>
      <c r="B93" s="104"/>
      <c r="C93" s="97">
        <f>SUM(C88:C92)</f>
        <v>0.21579502100000003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21.579502100000003</v>
      </c>
      <c r="C94" s="240">
        <f>100-B94</f>
        <v>78.420497900000001</v>
      </c>
      <c r="D94" s="70"/>
      <c r="E94" s="69"/>
      <c r="F94" s="69"/>
      <c r="G94" s="69"/>
      <c r="H94" s="69"/>
    </row>
    <row r="95" spans="1:8" ht="15.75" thickBot="1" x14ac:dyDescent="0.3">
      <c r="A95" s="245" t="s">
        <v>75</v>
      </c>
      <c r="B95" s="104"/>
      <c r="C95" s="234">
        <f>SUM(C85*B94/C94)</f>
        <v>889.97363711144772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4124.1620542832061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4124.16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3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82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306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+iss!D7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1223.9705958470236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5947.5228793170045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11895.05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6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82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306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.75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iss!D7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6690.6555829037243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13381.31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83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83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307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.75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+iss!D8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21.250000000000004</v>
      </c>
      <c r="C93" s="240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1274.6093463331697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5998.1616298031513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11996.32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83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307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+'UNIAO 12X36 NOTURNO 2º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+iss!D8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22.900000000000002</v>
      </c>
      <c r="C94" s="240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1578.2739334215687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6892.0259101378533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13784.05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6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84</v>
      </c>
      <c r="B2" s="551"/>
      <c r="C2" s="552"/>
    </row>
    <row r="3" spans="1:8" ht="15.75" x14ac:dyDescent="0.25">
      <c r="A3" s="548" t="s">
        <v>1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308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21.29</v>
      </c>
      <c r="C93" s="240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1277.6575799145712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6001.2098633845526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12002.42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H10" sqref="H10"/>
    </sheetView>
  </sheetViews>
  <sheetFormatPr defaultRowHeight="15" x14ac:dyDescent="0.25"/>
  <cols>
    <col min="1" max="1" width="27.7109375" style="68" customWidth="1"/>
    <col min="2" max="2" width="9.140625" style="68"/>
    <col min="3" max="3" width="13.85546875" style="68" customWidth="1"/>
    <col min="4" max="4" width="9.140625" style="68"/>
    <col min="5" max="5" width="31.85546875" style="68" customWidth="1"/>
    <col min="6" max="16384" width="9.140625" style="68"/>
  </cols>
  <sheetData>
    <row r="1" spans="1:8" ht="15.75" thickBot="1" x14ac:dyDescent="0.3"/>
    <row r="2" spans="1:8" ht="15.75" thickBot="1" x14ac:dyDescent="0.3">
      <c r="A2" s="290" t="s">
        <v>316</v>
      </c>
      <c r="B2" s="291">
        <v>2015</v>
      </c>
      <c r="C2" s="292" t="s">
        <v>317</v>
      </c>
      <c r="D2" s="292" t="s">
        <v>318</v>
      </c>
      <c r="E2" s="292"/>
      <c r="F2" s="292"/>
      <c r="G2" s="292"/>
      <c r="H2" s="292"/>
    </row>
    <row r="3" spans="1:8" ht="15.75" thickBot="1" x14ac:dyDescent="0.3">
      <c r="A3" s="293" t="s">
        <v>218</v>
      </c>
      <c r="B3" s="294" t="s">
        <v>319</v>
      </c>
      <c r="C3" s="294">
        <v>7.21</v>
      </c>
      <c r="D3" s="295">
        <v>7.6899999999999996E-2</v>
      </c>
      <c r="E3" s="294" t="s">
        <v>320</v>
      </c>
      <c r="F3" s="296">
        <f t="shared" ref="F3:F8" si="0">+C3*D3</f>
        <v>0.55444899999999997</v>
      </c>
      <c r="G3" s="296">
        <v>7.7644489999999999</v>
      </c>
      <c r="H3" s="296">
        <f t="shared" ref="H3:H8" si="1">+F3+C3</f>
        <v>7.7644489999999999</v>
      </c>
    </row>
    <row r="4" spans="1:8" ht="15.75" thickBot="1" x14ac:dyDescent="0.3">
      <c r="A4" s="293" t="s">
        <v>219</v>
      </c>
      <c r="B4" s="297" t="s">
        <v>321</v>
      </c>
      <c r="C4" s="297">
        <v>42.15</v>
      </c>
      <c r="D4" s="295">
        <v>0</v>
      </c>
      <c r="E4" s="294" t="s">
        <v>322</v>
      </c>
      <c r="F4" s="296">
        <f t="shared" si="0"/>
        <v>0</v>
      </c>
      <c r="G4" s="296">
        <v>42.15</v>
      </c>
      <c r="H4" s="296">
        <f t="shared" si="1"/>
        <v>42.15</v>
      </c>
    </row>
    <row r="5" spans="1:8" ht="15.75" thickBot="1" x14ac:dyDescent="0.3">
      <c r="A5" s="293" t="s">
        <v>220</v>
      </c>
      <c r="B5" s="297" t="s">
        <v>323</v>
      </c>
      <c r="C5" s="297">
        <v>12.5</v>
      </c>
      <c r="D5" s="295">
        <v>0</v>
      </c>
      <c r="E5" s="294" t="s">
        <v>322</v>
      </c>
      <c r="F5" s="296">
        <f t="shared" si="0"/>
        <v>0</v>
      </c>
      <c r="G5" s="296">
        <v>12.5</v>
      </c>
      <c r="H5" s="296">
        <f t="shared" si="1"/>
        <v>12.5</v>
      </c>
    </row>
    <row r="6" spans="1:8" ht="15.75" thickBot="1" x14ac:dyDescent="0.3">
      <c r="A6" s="293" t="s">
        <v>221</v>
      </c>
      <c r="B6" s="294" t="s">
        <v>324</v>
      </c>
      <c r="C6" s="294">
        <v>63</v>
      </c>
      <c r="D6" s="295">
        <v>0.32079999999999997</v>
      </c>
      <c r="E6" s="294" t="s">
        <v>320</v>
      </c>
      <c r="F6" s="296">
        <f t="shared" si="0"/>
        <v>20.2104</v>
      </c>
      <c r="G6" s="296">
        <v>67.447800000000001</v>
      </c>
      <c r="H6" s="296">
        <f t="shared" si="1"/>
        <v>83.210399999999993</v>
      </c>
    </row>
    <row r="7" spans="1:8" ht="15.75" thickBot="1" x14ac:dyDescent="0.3">
      <c r="A7" s="293" t="s">
        <v>222</v>
      </c>
      <c r="B7" s="294" t="s">
        <v>325</v>
      </c>
      <c r="C7" s="294">
        <v>1.2</v>
      </c>
      <c r="D7" s="295">
        <v>7.6899999999999996E-2</v>
      </c>
      <c r="E7" s="294" t="s">
        <v>320</v>
      </c>
      <c r="F7" s="296">
        <f t="shared" si="0"/>
        <v>9.2279999999999987E-2</v>
      </c>
      <c r="G7" s="296">
        <v>1.2922799999999999</v>
      </c>
      <c r="H7" s="296">
        <f t="shared" si="1"/>
        <v>1.2922799999999999</v>
      </c>
    </row>
    <row r="8" spans="1:8" ht="15.75" thickBot="1" x14ac:dyDescent="0.3">
      <c r="A8" s="293" t="s">
        <v>223</v>
      </c>
      <c r="B8" s="294" t="s">
        <v>326</v>
      </c>
      <c r="C8" s="294">
        <v>1.5</v>
      </c>
      <c r="D8" s="295">
        <v>7.6899999999999996E-2</v>
      </c>
      <c r="E8" s="294" t="s">
        <v>320</v>
      </c>
      <c r="F8" s="296">
        <f t="shared" si="0"/>
        <v>0.11534999999999999</v>
      </c>
      <c r="G8" s="296">
        <v>1.6153500000000001</v>
      </c>
      <c r="H8" s="296">
        <f t="shared" si="1"/>
        <v>1.6153500000000001</v>
      </c>
    </row>
    <row r="9" spans="1:8" ht="15.75" thickBot="1" x14ac:dyDescent="0.3">
      <c r="A9" s="293" t="s">
        <v>327</v>
      </c>
      <c r="B9" s="294">
        <v>132.19999999999999</v>
      </c>
      <c r="C9" s="294">
        <v>127.56</v>
      </c>
      <c r="D9" s="294"/>
      <c r="E9" s="294"/>
      <c r="H9" s="268">
        <f>SUM(H3:H8)</f>
        <v>148.532479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1"/>
  <sheetViews>
    <sheetView topLeftCell="A64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84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308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23.701000000000004</v>
      </c>
      <c r="C94" s="240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1650.6276045577622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6964.3795812740473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13928.76</v>
      </c>
      <c r="D99" s="70"/>
      <c r="E99" s="131"/>
      <c r="F99" s="131"/>
      <c r="G99" s="274"/>
      <c r="H99" s="131"/>
    </row>
    <row r="100" spans="1:8" ht="15.75" x14ac:dyDescent="0.25">
      <c r="A100" s="1"/>
      <c r="B100" s="1"/>
      <c r="C100" s="1"/>
      <c r="D100" s="131"/>
      <c r="E100" s="274"/>
      <c r="F100" s="131"/>
      <c r="G100" s="131"/>
      <c r="H100" s="131"/>
    </row>
    <row r="101" spans="1:8" x14ac:dyDescent="0.25">
      <c r="E101" s="212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4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85</v>
      </c>
      <c r="B2" s="551"/>
      <c r="C2" s="552"/>
    </row>
    <row r="3" spans="1:8" ht="15.75" x14ac:dyDescent="0.25">
      <c r="A3" s="548" t="s">
        <v>118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119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120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54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56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(3.6*2*B74)-C15*6%</f>
        <v>15.915360000000007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609.51459735833328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thickBot="1" x14ac:dyDescent="0.3">
      <c r="A84" s="541" t="s">
        <v>67</v>
      </c>
      <c r="B84" s="541"/>
      <c r="C84" s="118">
        <f>C80+C68+C22+C82</f>
        <v>4728.6402054699811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+iss!D16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1225.2889822114037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5953.929187681385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11907.86</v>
      </c>
      <c r="D98" s="1"/>
      <c r="E98" s="1"/>
      <c r="F98" s="1"/>
      <c r="G98" s="1"/>
      <c r="H98" s="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4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85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customHeight="1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(3.6*2*B75)-C15*6%</f>
        <v>15.915360000000007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620.34203535833331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5329.6673367162857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1381.0276068321427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6710.6949435484285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13421.39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7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103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118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119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120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54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56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6.784080000000003</v>
      </c>
      <c r="D75" s="69" t="s">
        <v>309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2.4716007500000003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573.07641908333335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4692.2020271949814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+iss!D15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0.21579502100000003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21.579502100000003</v>
      </c>
      <c r="C93" s="240">
        <f>100-B93</f>
        <v>78.420497900000001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1291.185164733293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5983.3871919282747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11966.77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F82" sqref="F82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129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6.784080000000003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.75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611.21075535833324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5320.5360567162852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21.579502100000003</v>
      </c>
      <c r="C94" s="240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1464.0881157812032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6784.624172497488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13569.25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4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87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(3.4*2*B75)-C15*6%</f>
        <v>9.8278399999999948</v>
      </c>
      <c r="D76" s="69" t="s">
        <v>309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614.25451535833326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5323.5798167162848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+iss!D9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0.21579502100000003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21.579502100000003</v>
      </c>
      <c r="C94" s="240">
        <f>100-B94</f>
        <v>78.420497900000001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1464.9256879347956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6788.5055046510806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13577.01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7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87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118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104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119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104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254">
        <f>C12</f>
        <v>1561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227</v>
      </c>
      <c r="B17" s="253">
        <v>21</v>
      </c>
      <c r="C17" s="111">
        <f>SUM(C15:C16)/220*1.5*B17</f>
        <v>290.55886363636364</v>
      </c>
      <c r="D17" s="70"/>
      <c r="E17" s="69"/>
      <c r="F17" s="69"/>
      <c r="G17" s="69"/>
      <c r="H17" s="69"/>
    </row>
    <row r="18" spans="1:8" x14ac:dyDescent="0.25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 t="s">
        <v>229</v>
      </c>
      <c r="G19" s="69"/>
      <c r="H19" s="69"/>
    </row>
    <row r="20" spans="1:8" x14ac:dyDescent="0.25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58.111772727272722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2434.3006363636364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547" t="s">
        <v>19</v>
      </c>
      <c r="B24" s="547"/>
      <c r="C24" s="547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486.86012727272731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3">
        <f t="shared" si="0"/>
        <v>194.7440509090909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36.514509545454544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3">
        <f t="shared" si="0"/>
        <v>24.343006363636363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4.8686012727272727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3">
        <f t="shared" si="0"/>
        <v>14.605803818181819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60.857515909090914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+base!E26</f>
        <v>3.2300000000000002E-2</v>
      </c>
      <c r="C33" s="243">
        <f t="shared" si="0"/>
        <v>78.627910554545466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901.42152564545461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202.85838636363636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3">
        <f t="shared" si="1"/>
        <v>270.47784848484849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47.333623484848488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3">
        <f t="shared" si="1"/>
        <v>33.809731060606062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112">
        <f t="shared" si="1"/>
        <v>5.0714596590909089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3">
        <f t="shared" si="1"/>
        <v>13.523892424242424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1.8012023326620001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3">
        <f t="shared" si="1"/>
        <v>0.50714596590909089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575.38328977584388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32.457341818181817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3">
        <f>+C$22*B50</f>
        <v>4.0571677272727271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77.897620363636364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3">
        <f>+C$22*B52</f>
        <v>19.474405090909091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133.88653500000001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213.06443220399498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213.06443220399498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2.5965873454545454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0.40571677272727269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3.0023041181818182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6.510266574106061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6.510266574106061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customHeight="1" thickBot="1" x14ac:dyDescent="0.3">
      <c r="A68" s="96" t="s">
        <v>56</v>
      </c>
      <c r="B68" s="97">
        <f>SUM(B34+B46+B53+B57+B62+B66)</f>
        <v>0.75309858032002241</v>
      </c>
      <c r="C68" s="83">
        <f>C66+C62+C57+C53+C46+C34</f>
        <v>1833.2683533175814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.75" customHeight="1" thickBot="1" x14ac:dyDescent="0.3">
      <c r="A70" s="541" t="s">
        <v>57</v>
      </c>
      <c r="B70" s="541"/>
      <c r="C70" s="83">
        <f>C68+C22</f>
        <v>4267.5689896812182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Uniforme!F28</f>
        <v>107.61381033333335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0">
        <v>21</v>
      </c>
      <c r="C74" s="112">
        <f>+B74*base!F6</f>
        <v>420.67200000000003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f>(3.4*2*B74)-C15*6%</f>
        <v>49.139999999999986</v>
      </c>
      <c r="D75" s="70"/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+'depreciação de equipamento'!E11</f>
        <v>2.4716007500000003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ht="15" customHeight="1" thickBot="1" x14ac:dyDescent="0.3">
      <c r="A78" s="79" t="s">
        <v>217</v>
      </c>
      <c r="B78" s="69"/>
      <c r="C78" s="233">
        <f>base!F22</f>
        <v>151.38999999999999</v>
      </c>
      <c r="D78" s="70"/>
      <c r="E78" s="69"/>
      <c r="F78" s="69"/>
      <c r="G78" s="69"/>
      <c r="H78" s="69"/>
    </row>
    <row r="79" spans="1:8" ht="15.75" thickBot="1" x14ac:dyDescent="0.3">
      <c r="A79" s="100" t="s">
        <v>65</v>
      </c>
      <c r="B79" s="101"/>
      <c r="C79" s="208">
        <f>SUM(C73:C78)</f>
        <v>731.28741108333338</v>
      </c>
      <c r="D79" s="70"/>
      <c r="E79" s="69"/>
      <c r="F79" s="69"/>
      <c r="G79" s="69"/>
      <c r="H79" s="69"/>
    </row>
    <row r="80" spans="1:8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customHeight="1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541" t="s">
        <v>67</v>
      </c>
      <c r="B83" s="541"/>
      <c r="C83" s="118">
        <f>C79+C68+C22+C81</f>
        <v>4998.8564007645509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base!$E$13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37">
        <v>2.0899999999999998E-2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+iss!D9</f>
        <v>0.04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96" t="s">
        <v>74</v>
      </c>
      <c r="B91" s="97"/>
      <c r="C91" s="97">
        <f>SUM(C86:C90)</f>
        <v>0.16740000000000002</v>
      </c>
      <c r="D91" s="70"/>
      <c r="E91" s="69"/>
      <c r="F91" s="69"/>
      <c r="G91" s="69"/>
      <c r="H91" s="69"/>
    </row>
    <row r="92" spans="1:8" ht="15.75" thickBot="1" x14ac:dyDescent="0.3">
      <c r="A92" s="238"/>
      <c r="B92" s="239">
        <f>+C91*100</f>
        <v>16.740000000000002</v>
      </c>
      <c r="C92" s="240">
        <f>100-B92</f>
        <v>83.259999999999991</v>
      </c>
      <c r="D92" s="70"/>
      <c r="E92" s="69"/>
      <c r="F92" s="69"/>
      <c r="G92" s="69"/>
      <c r="H92" s="69"/>
    </row>
    <row r="93" spans="1:8" ht="15.75" thickBot="1" x14ac:dyDescent="0.3">
      <c r="A93" s="96" t="s">
        <v>105</v>
      </c>
      <c r="B93" s="104"/>
      <c r="C93" s="234">
        <f>SUM(C83*B92/C92)</f>
        <v>1005.0547219408911</v>
      </c>
      <c r="D93" s="70"/>
      <c r="E93" s="69"/>
      <c r="F93" s="69"/>
      <c r="G93" s="69"/>
      <c r="H93" s="69"/>
    </row>
    <row r="94" spans="1:8" ht="15.75" thickBot="1" x14ac:dyDescent="0.3">
      <c r="A94" s="539"/>
      <c r="B94" s="539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6003.9111227054418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6003.91</v>
      </c>
      <c r="D97" s="131"/>
      <c r="E97" s="131"/>
      <c r="F97" s="274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6">
    <mergeCell ref="A83:B83"/>
    <mergeCell ref="A94:B94"/>
    <mergeCell ref="A2:C2"/>
    <mergeCell ref="A3:C3"/>
    <mergeCell ref="A70:B70"/>
    <mergeCell ref="A4:C4"/>
    <mergeCell ref="A5:C5"/>
    <mergeCell ref="A6:C6"/>
    <mergeCell ref="A8:A9"/>
    <mergeCell ref="B8:B9"/>
    <mergeCell ref="C8:C9"/>
    <mergeCell ref="A11:C11"/>
    <mergeCell ref="A12:B12"/>
    <mergeCell ref="A14:C14"/>
    <mergeCell ref="A15:B15"/>
    <mergeCell ref="A24:C2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7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88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307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v>3.5000000000000003E-2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0.21079502100000003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21.079502100000003</v>
      </c>
      <c r="C93" s="240">
        <f>100-B93</f>
        <v>78.920497900000001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1261.651065671562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5985.2033491415432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11970.41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3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106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307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.75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v>3.5000000000000003E-2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0.21079502100000003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21.079502100000003</v>
      </c>
      <c r="C94" s="240">
        <f>100-B94</f>
        <v>78.920497900000001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1419.2921855865545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6733.0441623028391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13466.09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0" zoomScaleNormal="100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89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130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(3.1*2*B74)-C15*6%</f>
        <v>0.69656000000000518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605.1232353583332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4724.2488434699808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+'JACAREZINHO 12X36 DIURNO 2ºADOM'!C88</f>
        <v>5.6399999999999999E-2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+iss!D13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0.21290000000000001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21.29</v>
      </c>
      <c r="C93" s="240">
        <f>100-B93</f>
        <v>78.710000000000008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1277.8459900581358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6002.0948335281164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12004.19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workbookViewId="0">
      <selection activeCell="I20" sqref="I20"/>
    </sheetView>
  </sheetViews>
  <sheetFormatPr defaultColWidth="9.140625" defaultRowHeight="15" x14ac:dyDescent="0.25"/>
  <cols>
    <col min="1" max="1" width="52.28515625" style="68" customWidth="1"/>
    <col min="2" max="2" width="18.85546875" style="68" customWidth="1"/>
    <col min="3" max="5" width="20.28515625" style="68" customWidth="1"/>
    <col min="6" max="6" width="18.28515625" style="68" customWidth="1"/>
    <col min="7" max="7" width="16.140625" style="68" customWidth="1"/>
    <col min="8" max="8" width="15.42578125" style="68" customWidth="1"/>
    <col min="9" max="9" width="14.5703125" style="68" customWidth="1"/>
    <col min="10" max="16384" width="9.140625" style="68"/>
  </cols>
  <sheetData>
    <row r="1" spans="1:9" x14ac:dyDescent="0.25">
      <c r="A1" s="383" t="s">
        <v>9</v>
      </c>
      <c r="B1" s="383"/>
      <c r="C1" s="289" t="s">
        <v>314</v>
      </c>
      <c r="D1" s="331" t="s">
        <v>315</v>
      </c>
      <c r="E1" s="289" t="s">
        <v>337</v>
      </c>
      <c r="F1" s="341"/>
      <c r="G1" s="69"/>
      <c r="H1" s="69"/>
      <c r="I1" s="69"/>
    </row>
    <row r="2" spans="1:9" ht="15.75" thickBot="1" x14ac:dyDescent="0.3">
      <c r="A2" s="382" t="s">
        <v>207</v>
      </c>
      <c r="B2" s="382"/>
      <c r="C2" s="73">
        <v>1300</v>
      </c>
      <c r="D2" s="73">
        <v>1400</v>
      </c>
      <c r="E2" s="73">
        <v>1561</v>
      </c>
      <c r="F2" s="341"/>
      <c r="G2" s="69"/>
      <c r="H2" s="69"/>
      <c r="I2" s="69"/>
    </row>
    <row r="3" spans="1:9" ht="15.75" thickBot="1" x14ac:dyDescent="0.3">
      <c r="A3" s="382" t="s">
        <v>208</v>
      </c>
      <c r="B3" s="382"/>
      <c r="C3" s="73">
        <v>525.91</v>
      </c>
      <c r="D3" s="73">
        <v>566.36</v>
      </c>
      <c r="E3" s="73">
        <v>631.5</v>
      </c>
      <c r="F3" s="342"/>
      <c r="G3" s="69"/>
      <c r="H3" s="69"/>
      <c r="I3" s="69"/>
    </row>
    <row r="4" spans="1:9" ht="15.75" thickBot="1" x14ac:dyDescent="0.3">
      <c r="A4" s="382" t="s">
        <v>60</v>
      </c>
      <c r="B4" s="382"/>
      <c r="C4" s="73">
        <f>(19*30.42)/2</f>
        <v>288.99</v>
      </c>
      <c r="D4" s="73">
        <v>288.99</v>
      </c>
      <c r="E4" s="73">
        <f>(25.04*30.433)/2</f>
        <v>381.02116000000001</v>
      </c>
      <c r="F4" s="343">
        <v>25.04</v>
      </c>
      <c r="G4" s="69"/>
      <c r="H4" s="69"/>
      <c r="I4" s="69"/>
    </row>
    <row r="5" spans="1:9" ht="15.75" thickBot="1" x14ac:dyDescent="0.3">
      <c r="A5" s="201" t="s">
        <v>60</v>
      </c>
      <c r="B5" s="202">
        <v>0.2</v>
      </c>
      <c r="C5" s="203">
        <f>(288.99*20%)</f>
        <v>57.798000000000002</v>
      </c>
      <c r="D5" s="203">
        <v>57.798000000000002</v>
      </c>
      <c r="E5" s="203">
        <f>(E4*20%)</f>
        <v>76.204232000000005</v>
      </c>
      <c r="F5" s="344">
        <f>-F4*B5</f>
        <v>-5.008</v>
      </c>
    </row>
    <row r="6" spans="1:9" ht="15.75" thickBot="1" x14ac:dyDescent="0.3">
      <c r="A6" s="201" t="s">
        <v>60</v>
      </c>
      <c r="B6" s="201"/>
      <c r="C6" s="203">
        <f>C4-C5</f>
        <v>231.19200000000001</v>
      </c>
      <c r="D6" s="203">
        <v>231.19200000000001</v>
      </c>
      <c r="E6" s="203">
        <f>E4-E5</f>
        <v>304.81692800000002</v>
      </c>
      <c r="F6" s="287">
        <f>F4-(F4*20%)</f>
        <v>20.032</v>
      </c>
    </row>
    <row r="7" spans="1:9" ht="15.75" thickBot="1" x14ac:dyDescent="0.3">
      <c r="A7" s="201" t="s">
        <v>209</v>
      </c>
      <c r="B7" s="204"/>
      <c r="C7" s="203">
        <f>(2.85*2*15)-78</f>
        <v>7.5</v>
      </c>
      <c r="D7" s="203">
        <v>21</v>
      </c>
      <c r="E7" s="203">
        <f>(3.3*2*15)-78</f>
        <v>21</v>
      </c>
      <c r="F7" s="287"/>
    </row>
    <row r="8" spans="1:9" ht="15.75" thickBot="1" x14ac:dyDescent="0.3">
      <c r="A8" s="201" t="s">
        <v>210</v>
      </c>
      <c r="B8" s="204"/>
      <c r="C8" s="203">
        <f>(C3*30%+C3)/89*38*150%</f>
        <v>437.86439325842696</v>
      </c>
      <c r="D8" s="203">
        <v>471.54242696629217</v>
      </c>
      <c r="E8" s="203">
        <f>(E3*30%+E3)/89*38*150%</f>
        <v>525.77696629213483</v>
      </c>
      <c r="F8" s="288"/>
    </row>
    <row r="9" spans="1:9" ht="15.75" thickBot="1" x14ac:dyDescent="0.3">
      <c r="A9" s="201" t="s">
        <v>211</v>
      </c>
      <c r="B9" s="204"/>
      <c r="C9" s="205">
        <v>72.98</v>
      </c>
      <c r="D9" s="205">
        <v>78.59</v>
      </c>
      <c r="E9" s="205">
        <v>87.63</v>
      </c>
      <c r="F9" s="288"/>
    </row>
    <row r="10" spans="1:9" ht="15.75" thickBot="1" x14ac:dyDescent="0.3">
      <c r="A10" s="198" t="s">
        <v>212</v>
      </c>
      <c r="B10" s="199"/>
      <c r="C10" s="200">
        <v>14.03</v>
      </c>
      <c r="D10" s="200">
        <v>15.114000000000001</v>
      </c>
      <c r="E10" s="200">
        <v>16.850000000000001</v>
      </c>
      <c r="F10" s="288"/>
    </row>
    <row r="11" spans="1:9" x14ac:dyDescent="0.25">
      <c r="A11" s="305" t="s">
        <v>328</v>
      </c>
      <c r="D11" s="68">
        <v>90.68</v>
      </c>
      <c r="E11" s="68">
        <v>101.11</v>
      </c>
    </row>
    <row r="13" spans="1:9" x14ac:dyDescent="0.25">
      <c r="A13" s="86" t="s">
        <v>69</v>
      </c>
      <c r="B13" s="69"/>
      <c r="C13" s="87">
        <v>7.0000000000000007E-2</v>
      </c>
      <c r="D13" s="87">
        <v>7.0000000000000007E-2</v>
      </c>
      <c r="E13" s="87">
        <v>7.0000000000000007E-2</v>
      </c>
    </row>
    <row r="14" spans="1:9" x14ac:dyDescent="0.25">
      <c r="A14" s="84" t="s">
        <v>70</v>
      </c>
      <c r="B14" s="78"/>
      <c r="C14" s="85">
        <v>6.9295020999999998E-2</v>
      </c>
      <c r="D14" s="85">
        <v>6.9295020999999998E-2</v>
      </c>
      <c r="E14" s="85">
        <v>6.9295020999999998E-2</v>
      </c>
      <c r="G14" s="231"/>
    </row>
    <row r="15" spans="1:9" x14ac:dyDescent="0.25">
      <c r="G15" s="231"/>
    </row>
    <row r="16" spans="1:9" x14ac:dyDescent="0.25">
      <c r="A16" s="79" t="s">
        <v>217</v>
      </c>
      <c r="G16" s="231"/>
    </row>
    <row r="17" spans="1:7" x14ac:dyDescent="0.25">
      <c r="A17" s="68" t="s">
        <v>218</v>
      </c>
      <c r="B17" s="231">
        <v>7.21</v>
      </c>
      <c r="C17" s="231"/>
      <c r="D17" s="231"/>
      <c r="E17" s="231"/>
      <c r="G17" s="231"/>
    </row>
    <row r="18" spans="1:7" x14ac:dyDescent="0.25">
      <c r="A18" s="68" t="s">
        <v>219</v>
      </c>
      <c r="B18" s="231">
        <f>+E18/24</f>
        <v>42.152083333333337</v>
      </c>
      <c r="C18" s="231">
        <f>(180+100+27.5)+140.83*5</f>
        <v>1011.6500000000001</v>
      </c>
      <c r="D18" s="231">
        <v>1011.6500000000001</v>
      </c>
      <c r="E18" s="231">
        <f>(180+100+27.5)+140.83*5</f>
        <v>1011.6500000000001</v>
      </c>
      <c r="G18" s="231"/>
    </row>
    <row r="19" spans="1:7" x14ac:dyDescent="0.25">
      <c r="A19" s="68" t="s">
        <v>220</v>
      </c>
      <c r="B19" s="231">
        <v>12.5</v>
      </c>
      <c r="C19" s="231"/>
      <c r="D19" s="231"/>
      <c r="E19" s="231"/>
    </row>
    <row r="20" spans="1:7" x14ac:dyDescent="0.25">
      <c r="A20" s="68" t="s">
        <v>221</v>
      </c>
      <c r="B20" s="231">
        <v>63</v>
      </c>
      <c r="C20" s="231"/>
      <c r="D20" s="381" t="s">
        <v>331</v>
      </c>
      <c r="E20" s="381"/>
      <c r="F20" s="381"/>
      <c r="G20" s="268"/>
    </row>
    <row r="21" spans="1:7" x14ac:dyDescent="0.25">
      <c r="A21" s="68" t="s">
        <v>222</v>
      </c>
      <c r="B21" s="231">
        <v>1.2</v>
      </c>
      <c r="C21" s="231"/>
      <c r="D21" s="330" t="s">
        <v>329</v>
      </c>
      <c r="E21" s="330" t="s">
        <v>330</v>
      </c>
      <c r="F21" s="310" t="s">
        <v>338</v>
      </c>
    </row>
    <row r="22" spans="1:7" x14ac:dyDescent="0.25">
      <c r="A22" s="68" t="s">
        <v>223</v>
      </c>
      <c r="B22" s="231">
        <v>1.5</v>
      </c>
      <c r="C22" s="231">
        <f>SUM(A17:A22)</f>
        <v>0</v>
      </c>
      <c r="D22" s="306">
        <v>127.56208333333335</v>
      </c>
      <c r="E22" s="306">
        <v>132.77000000000001</v>
      </c>
      <c r="F22" s="307">
        <v>151.38999999999999</v>
      </c>
    </row>
    <row r="25" spans="1:7" x14ac:dyDescent="0.25">
      <c r="D25" s="68" t="s">
        <v>332</v>
      </c>
      <c r="E25" s="309" t="s">
        <v>339</v>
      </c>
    </row>
    <row r="26" spans="1:7" x14ac:dyDescent="0.25">
      <c r="A26" s="86" t="s">
        <v>28</v>
      </c>
      <c r="B26" s="68">
        <v>3</v>
      </c>
      <c r="C26" s="236" t="e">
        <f>+A26*A27/100</f>
        <v>#VALUE!</v>
      </c>
      <c r="D26" s="236">
        <v>3.7406999999999996E-2</v>
      </c>
      <c r="E26" s="308">
        <v>3.2300000000000002E-2</v>
      </c>
    </row>
    <row r="27" spans="1:7" x14ac:dyDescent="0.25">
      <c r="A27" s="235" t="s">
        <v>224</v>
      </c>
      <c r="B27" s="285">
        <v>1.1112</v>
      </c>
      <c r="C27" s="68">
        <v>1.2468999999999999</v>
      </c>
    </row>
    <row r="30" spans="1:7" x14ac:dyDescent="0.25">
      <c r="A30" s="68" t="s">
        <v>225</v>
      </c>
      <c r="B30" s="287">
        <v>365</v>
      </c>
      <c r="C30" s="68">
        <f>SUM(A30:A33)/48</f>
        <v>0</v>
      </c>
      <c r="D30" s="68">
        <v>30.4375</v>
      </c>
      <c r="E30" s="68">
        <f>SUM(B30:B33)/48</f>
        <v>30.4375</v>
      </c>
    </row>
    <row r="31" spans="1:7" x14ac:dyDescent="0.25">
      <c r="B31" s="287">
        <v>365</v>
      </c>
      <c r="C31" s="288">
        <f>+C30/2</f>
        <v>0</v>
      </c>
      <c r="D31" s="288">
        <v>15.21875</v>
      </c>
      <c r="E31" s="288">
        <f>+E30/2</f>
        <v>15.21875</v>
      </c>
    </row>
    <row r="32" spans="1:7" x14ac:dyDescent="0.25">
      <c r="B32" s="287">
        <v>365</v>
      </c>
    </row>
    <row r="33" spans="2:2" x14ac:dyDescent="0.25">
      <c r="B33" s="287">
        <v>366</v>
      </c>
    </row>
    <row r="34" spans="2:2" x14ac:dyDescent="0.25">
      <c r="B34" s="288"/>
    </row>
  </sheetData>
  <mergeCells count="5">
    <mergeCell ref="D20:F20"/>
    <mergeCell ref="A3:B3"/>
    <mergeCell ref="A4:B4"/>
    <mergeCell ref="A2:B2"/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zoomScaleNormal="100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89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(3.1*2*B75)-C15*6%</f>
        <v>0.69656000000000518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605.1232353583332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5314.4485367162852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+'JACAREZINHO 12X36 NOT 2ºADOM'!C89</f>
        <v>8.0509999999999998E-2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+iss!D13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0.23701000000000003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23.701000000000004</v>
      </c>
      <c r="C94" s="240">
        <f>100-B94</f>
        <v>76.298999999999992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1650.8439791964863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6965.2925159127717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13930.59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7" workbookViewId="0">
      <selection activeCell="O91" sqref="O9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90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 t="s">
        <v>341</v>
      </c>
      <c r="D75" s="69" t="s">
        <v>342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+iss!D10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1223.9705958470236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5947.5228793170045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11895.05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1" workbookViewId="0">
      <selection activeCell="D76" sqref="D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90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342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6690.6555829037243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13381.31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3"/>
  <sheetViews>
    <sheetView topLeftCell="A70" workbookViewId="0">
      <selection activeCell="E81" sqref="E81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3" t="s">
        <v>78</v>
      </c>
    </row>
    <row r="2" spans="1:8" s="68" customFormat="1" ht="15.75" thickBot="1" x14ac:dyDescent="0.3">
      <c r="A2" s="550" t="s">
        <v>0</v>
      </c>
      <c r="B2" s="551"/>
      <c r="C2" s="552"/>
    </row>
    <row r="3" spans="1:8" ht="15.75" x14ac:dyDescent="0.25">
      <c r="A3" s="548" t="s">
        <v>1</v>
      </c>
      <c r="B3" s="548"/>
      <c r="C3" s="548"/>
      <c r="D3" s="69"/>
      <c r="E3" s="69"/>
      <c r="F3" s="69"/>
      <c r="G3" s="69"/>
      <c r="H3" s="69"/>
    </row>
    <row r="4" spans="1:8" ht="15.75" x14ac:dyDescent="0.25">
      <c r="A4" s="548" t="s">
        <v>131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117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7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52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69"/>
      <c r="G71" s="69"/>
      <c r="H71" s="69"/>
    </row>
    <row r="72" spans="1:8" ht="15.75" customHeight="1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ht="15.75" customHeight="1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342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'depreciacao equipamento motoriz'!F39</f>
        <v>30.996309024999999</v>
      </c>
      <c r="D77" s="70"/>
      <c r="E77" s="69"/>
      <c r="F77" s="69"/>
      <c r="G77" s="69"/>
      <c r="H77" s="69"/>
    </row>
    <row r="78" spans="1:8" x14ac:dyDescent="0.25">
      <c r="A78" s="84" t="s">
        <v>109</v>
      </c>
      <c r="B78" s="84"/>
      <c r="C78" s="191">
        <f>'depreciacao equipamento motoriz'!B25</f>
        <v>52.083333333333336</v>
      </c>
      <c r="D78" s="70"/>
      <c r="E78" s="69"/>
      <c r="F78" s="69"/>
      <c r="G78" s="69"/>
      <c r="H78" s="69"/>
    </row>
    <row r="79" spans="1:8" x14ac:dyDescent="0.25">
      <c r="A79" s="79" t="s">
        <v>110</v>
      </c>
      <c r="B79" s="69"/>
      <c r="C79" s="120">
        <f>'depreciacao equipamento motoriz'!G18</f>
        <v>57.015650000000001</v>
      </c>
      <c r="D79" s="70"/>
      <c r="E79" s="69"/>
      <c r="F79" s="69"/>
      <c r="G79" s="69"/>
      <c r="H79" s="69"/>
    </row>
    <row r="80" spans="1:8" x14ac:dyDescent="0.25">
      <c r="A80" s="84" t="s">
        <v>111</v>
      </c>
      <c r="B80" s="84"/>
      <c r="C80" s="112">
        <f>'depreciacao equipamento motoriz'!G9</f>
        <v>25.117331249999999</v>
      </c>
      <c r="D80" s="70"/>
      <c r="E80" s="69"/>
      <c r="F80" s="69"/>
      <c r="G80" s="69"/>
      <c r="H80" s="69"/>
    </row>
    <row r="81" spans="1:8" x14ac:dyDescent="0.25">
      <c r="A81" s="79" t="s">
        <v>112</v>
      </c>
      <c r="B81" s="69"/>
      <c r="C81" s="81">
        <f>'depreciacao equipamento motoriz'!G15</f>
        <v>21.185742374999997</v>
      </c>
      <c r="D81" s="70"/>
      <c r="E81" s="69"/>
      <c r="F81" s="69"/>
      <c r="G81" s="69"/>
      <c r="H81" s="69"/>
    </row>
    <row r="82" spans="1:8" x14ac:dyDescent="0.25">
      <c r="A82" s="79" t="s">
        <v>64</v>
      </c>
      <c r="B82" s="69"/>
      <c r="C82" s="190">
        <f>'depreciação de equipamento'!F13</f>
        <v>10.827437999999999</v>
      </c>
      <c r="D82" s="70"/>
      <c r="E82" s="69"/>
      <c r="F82" s="69"/>
      <c r="G82" s="69"/>
      <c r="H82" s="69"/>
    </row>
    <row r="83" spans="1:8" ht="15.75" thickBot="1" x14ac:dyDescent="0.3">
      <c r="A83" s="79" t="s">
        <v>217</v>
      </c>
      <c r="B83" s="69"/>
      <c r="C83" s="233">
        <f>base!F22</f>
        <v>151.38999999999999</v>
      </c>
      <c r="D83" s="70"/>
      <c r="E83" s="69"/>
      <c r="F83" s="69"/>
      <c r="G83" s="69"/>
      <c r="H83" s="69"/>
    </row>
    <row r="84" spans="1:8" ht="15.75" thickBot="1" x14ac:dyDescent="0.3">
      <c r="A84" s="100" t="s">
        <v>65</v>
      </c>
      <c r="B84" s="101"/>
      <c r="C84" s="208">
        <f>SUM(C74:C83)</f>
        <v>761.04654231666677</v>
      </c>
      <c r="D84" s="70"/>
      <c r="E84" s="69"/>
      <c r="F84" s="69"/>
      <c r="G84" s="69"/>
      <c r="H84" s="69"/>
    </row>
    <row r="85" spans="1:8" ht="15.75" thickBot="1" x14ac:dyDescent="0.3">
      <c r="A85" s="69"/>
      <c r="B85" s="102"/>
      <c r="C85" s="103"/>
      <c r="D85" s="70"/>
      <c r="E85" s="69"/>
      <c r="F85" s="69"/>
      <c r="G85" s="69"/>
      <c r="H85" s="69"/>
    </row>
    <row r="86" spans="1:8" ht="15.75" thickBot="1" x14ac:dyDescent="0.3">
      <c r="A86" s="100"/>
      <c r="B86" s="128"/>
      <c r="C86" s="124"/>
      <c r="D86" s="70"/>
      <c r="E86" s="69"/>
      <c r="F86" s="69"/>
      <c r="G86" s="69"/>
      <c r="H86" s="69"/>
    </row>
    <row r="87" spans="1:8" ht="15.75" customHeight="1" thickBot="1" x14ac:dyDescent="0.3">
      <c r="A87" s="69"/>
      <c r="B87" s="102"/>
      <c r="C87" s="103"/>
      <c r="D87" s="70"/>
      <c r="E87" s="69"/>
      <c r="F87" s="69"/>
      <c r="G87" s="69"/>
      <c r="H87" s="69"/>
    </row>
    <row r="88" spans="1:8" ht="15.75" customHeight="1" thickBot="1" x14ac:dyDescent="0.3">
      <c r="A88" s="541" t="s">
        <v>67</v>
      </c>
      <c r="B88" s="542"/>
      <c r="C88" s="118">
        <f>C84+C69+C23+C86</f>
        <v>5470.3718436746185</v>
      </c>
      <c r="D88" s="70"/>
      <c r="E88" s="69"/>
      <c r="F88" s="69"/>
      <c r="G88" s="69"/>
      <c r="H88" s="69"/>
    </row>
    <row r="89" spans="1:8" ht="15.75" customHeight="1" thickBot="1" x14ac:dyDescent="0.3">
      <c r="A89" s="70"/>
      <c r="B89" s="70"/>
      <c r="C89" s="95"/>
      <c r="D89" s="70"/>
      <c r="E89" s="69"/>
      <c r="F89" s="69"/>
      <c r="G89" s="69"/>
      <c r="H89" s="69"/>
    </row>
    <row r="90" spans="1:8" ht="15.75" customHeight="1" x14ac:dyDescent="0.25">
      <c r="A90" s="99" t="s">
        <v>68</v>
      </c>
      <c r="B90" s="105"/>
      <c r="C90" s="90"/>
      <c r="D90" s="70"/>
      <c r="E90" s="69"/>
      <c r="F90" s="69"/>
      <c r="G90" s="69"/>
      <c r="H90" s="69"/>
    </row>
    <row r="91" spans="1:8" ht="15.75" customHeight="1" x14ac:dyDescent="0.25">
      <c r="A91" s="86" t="s">
        <v>69</v>
      </c>
      <c r="B91" s="69"/>
      <c r="C91" s="87">
        <f>base!$E$13</f>
        <v>7.0000000000000007E-2</v>
      </c>
      <c r="D91" s="70"/>
      <c r="E91" s="69"/>
      <c r="F91" s="69"/>
      <c r="G91" s="69"/>
      <c r="H91" s="69"/>
    </row>
    <row r="92" spans="1:8" ht="15.75" customHeight="1" x14ac:dyDescent="0.25">
      <c r="A92" s="84" t="s">
        <v>70</v>
      </c>
      <c r="B92" s="78"/>
      <c r="C92" s="237">
        <f>base!$E$14</f>
        <v>6.9295020999999998E-2</v>
      </c>
      <c r="D92" s="70"/>
      <c r="E92" s="69"/>
      <c r="F92" s="69"/>
      <c r="G92" s="69"/>
      <c r="H92" s="69"/>
    </row>
    <row r="93" spans="1:8" x14ac:dyDescent="0.25">
      <c r="A93" s="86" t="s">
        <v>71</v>
      </c>
      <c r="B93" s="70"/>
      <c r="C93" s="106">
        <f>+iss!D10</f>
        <v>0.03</v>
      </c>
      <c r="D93" s="70"/>
      <c r="E93" s="69"/>
      <c r="F93" s="69"/>
      <c r="G93" s="69"/>
      <c r="H93" s="69"/>
    </row>
    <row r="94" spans="1:8" x14ac:dyDescent="0.25">
      <c r="A94" s="84" t="s">
        <v>72</v>
      </c>
      <c r="B94" s="107"/>
      <c r="C94" s="108">
        <v>0.03</v>
      </c>
      <c r="D94" s="70"/>
      <c r="E94" s="69"/>
      <c r="F94" s="69"/>
      <c r="G94" s="69"/>
      <c r="H94" s="69"/>
    </row>
    <row r="95" spans="1:8" ht="15.75" thickBot="1" x14ac:dyDescent="0.3">
      <c r="A95" s="86" t="s">
        <v>73</v>
      </c>
      <c r="B95" s="70"/>
      <c r="C95" s="106">
        <v>6.4999999999999997E-3</v>
      </c>
      <c r="D95" s="70"/>
      <c r="E95" s="69"/>
      <c r="F95" s="69"/>
      <c r="G95" s="69"/>
      <c r="H95" s="69"/>
    </row>
    <row r="96" spans="1:8" ht="15.75" thickBot="1" x14ac:dyDescent="0.3">
      <c r="A96" s="96" t="s">
        <v>74</v>
      </c>
      <c r="B96" s="104"/>
      <c r="C96" s="97">
        <f>SUM(C91:C95)</f>
        <v>0.20579502100000002</v>
      </c>
      <c r="D96" s="70"/>
      <c r="E96" s="69"/>
      <c r="F96" s="69"/>
      <c r="G96" s="69"/>
      <c r="H96" s="69"/>
    </row>
    <row r="97" spans="1:8" ht="15.75" thickBot="1" x14ac:dyDescent="0.3">
      <c r="A97" s="238"/>
      <c r="B97" s="239">
        <f>+C96*100</f>
        <v>20.579502100000003</v>
      </c>
      <c r="C97" s="240">
        <f>100-B97</f>
        <v>79.420497900000001</v>
      </c>
      <c r="D97" s="70"/>
      <c r="E97" s="69"/>
      <c r="F97" s="69"/>
      <c r="G97" s="69"/>
      <c r="H97" s="69"/>
    </row>
    <row r="98" spans="1:8" ht="15.75" thickBot="1" x14ac:dyDescent="0.3">
      <c r="A98" s="82" t="s">
        <v>75</v>
      </c>
      <c r="B98" s="82"/>
      <c r="C98" s="234">
        <f>SUM(C88*B97/C97)</f>
        <v>1417.4870697289182</v>
      </c>
      <c r="D98" s="70"/>
      <c r="E98" s="69"/>
      <c r="F98" s="69"/>
      <c r="G98" s="69"/>
      <c r="H98" s="69"/>
    </row>
    <row r="99" spans="1:8" ht="15.75" thickBot="1" x14ac:dyDescent="0.3">
      <c r="A99" s="539"/>
      <c r="B99" s="539"/>
      <c r="C99" s="95"/>
      <c r="D99" s="70"/>
      <c r="E99" s="69"/>
      <c r="F99" s="69"/>
      <c r="G99" s="69"/>
      <c r="H99" s="69"/>
    </row>
    <row r="100" spans="1:8" ht="15.75" thickBot="1" x14ac:dyDescent="0.3">
      <c r="A100" s="82" t="s">
        <v>76</v>
      </c>
      <c r="B100" s="82"/>
      <c r="C100" s="83">
        <f>C88+C98</f>
        <v>6887.8589134035365</v>
      </c>
      <c r="D100" s="70"/>
      <c r="E100" s="69"/>
      <c r="F100" s="69"/>
      <c r="G100" s="50"/>
      <c r="H100" s="69"/>
    </row>
    <row r="101" spans="1:8" ht="15.75" thickBot="1" x14ac:dyDescent="0.3">
      <c r="A101" s="109"/>
      <c r="B101" s="109"/>
      <c r="C101" s="110"/>
      <c r="D101" s="70"/>
      <c r="E101" s="69"/>
      <c r="F101" s="69"/>
      <c r="G101" s="69"/>
      <c r="H101" s="69"/>
    </row>
    <row r="102" spans="1:8" ht="15.75" thickBot="1" x14ac:dyDescent="0.3">
      <c r="A102" s="82" t="s">
        <v>121</v>
      </c>
      <c r="B102" s="82"/>
      <c r="C102" s="83">
        <f>ROUND(C100*2,2)</f>
        <v>13775.72</v>
      </c>
      <c r="D102" s="70"/>
      <c r="E102" s="69"/>
      <c r="F102" s="69"/>
      <c r="G102" s="69"/>
      <c r="H102" s="69"/>
    </row>
    <row r="103" spans="1:8" x14ac:dyDescent="0.25">
      <c r="A103" s="69"/>
      <c r="B103" s="69"/>
      <c r="C103" s="69"/>
      <c r="D103" s="69"/>
      <c r="E103" s="69"/>
      <c r="F103" s="69"/>
      <c r="G103" s="69"/>
      <c r="H103" s="69"/>
    </row>
  </sheetData>
  <mergeCells count="16">
    <mergeCell ref="A25:C25"/>
    <mergeCell ref="A71:B71"/>
    <mergeCell ref="A88:B88"/>
    <mergeCell ref="A99:B99"/>
    <mergeCell ref="A11:C11"/>
    <mergeCell ref="A12:B12"/>
    <mergeCell ref="A14:C14"/>
    <mergeCell ref="A15:B15"/>
    <mergeCell ref="A2:C2"/>
    <mergeCell ref="A3:C3"/>
    <mergeCell ref="A8:A9"/>
    <mergeCell ref="B8:B9"/>
    <mergeCell ref="C8:C9"/>
    <mergeCell ref="A4:C4"/>
    <mergeCell ref="A5:C5"/>
    <mergeCell ref="A6:C6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90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5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(3*2*B75)-C15*6%</f>
        <v>19.11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509.02374735833331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3230.3884171717586</v>
      </c>
      <c r="D85" s="70"/>
      <c r="E85" s="69"/>
      <c r="F85" s="69"/>
      <c r="G85" s="69"/>
      <c r="H85" s="69"/>
    </row>
    <row r="86" spans="1:8" ht="15.75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+iss!D10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5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5" t="s">
        <v>75</v>
      </c>
      <c r="B95" s="104"/>
      <c r="C95" s="234">
        <f>SUM(C85*B94/C94)</f>
        <v>837.06079630359363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4067.4492134753523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4067.45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91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311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.75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+iss!D28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0.22579502100000001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22.579502100000003</v>
      </c>
      <c r="C94" s="240">
        <f>100-B94</f>
        <v>77.420497900000001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1549.7429901848323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6863.4949669011166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13726.99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70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92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(3.3*2*B74)-C15*6%</f>
        <v>6.784080000000003</v>
      </c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611.21075535833324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4730.3363634699817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v>5.6239999999999998E-2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+iss!D4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0.21274000000000001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21.274000000000001</v>
      </c>
      <c r="C93" s="240">
        <f>100-B93</f>
        <v>78.725999999999999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1278.2711657706525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6008.607529240634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12017.22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3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92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132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(3.3*2*B75)-C15*6%</f>
        <v>6.784080000000003</v>
      </c>
      <c r="D76" s="70"/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611.21075535833324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5320.5360567162852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v>8.2000000000000003E-2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+iss!D4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0.23850000000000002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23.85</v>
      </c>
      <c r="C94" s="240">
        <f>100-B94</f>
        <v>76.150000000000006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1666.3793165158686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6986.9153732321538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13973.83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8"/>
  <sheetViews>
    <sheetView topLeftCell="A76" workbookViewId="0">
      <selection activeCell="C74" sqref="C74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93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118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104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119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104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254">
        <f>C12</f>
        <v>1561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253">
        <v>21</v>
      </c>
      <c r="C17" s="111">
        <f>SUM(C15:C16)/220*1.5*B17</f>
        <v>290.55886363636364</v>
      </c>
      <c r="D17" s="70"/>
      <c r="E17" s="69"/>
      <c r="F17" s="69"/>
      <c r="G17" s="69"/>
      <c r="H17" s="69"/>
    </row>
    <row r="18" spans="1:8" x14ac:dyDescent="0.25">
      <c r="A18" s="79" t="s">
        <v>15</v>
      </c>
      <c r="B18" s="80"/>
      <c r="C18" s="81"/>
      <c r="D18" s="70"/>
      <c r="E18" s="69"/>
      <c r="F18" s="69"/>
      <c r="G18" s="69"/>
      <c r="H18" s="69"/>
    </row>
    <row r="19" spans="1:8" x14ac:dyDescent="0.25">
      <c r="A19" s="75" t="s">
        <v>16</v>
      </c>
      <c r="B19" s="78"/>
      <c r="C19" s="77">
        <v>56.33</v>
      </c>
      <c r="D19" s="70"/>
      <c r="E19" s="69"/>
      <c r="F19" s="69"/>
      <c r="G19" s="69"/>
      <c r="H19" s="69"/>
    </row>
    <row r="20" spans="1:8" x14ac:dyDescent="0.25">
      <c r="A20" s="75" t="s">
        <v>17</v>
      </c>
      <c r="B20" s="78"/>
      <c r="C20" s="77"/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58.111772727272722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2434.3006363636364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547" t="s">
        <v>19</v>
      </c>
      <c r="B24" s="547"/>
      <c r="C24" s="547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486.86012727272731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3">
        <f t="shared" si="0"/>
        <v>194.7440509090909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36.514509545454544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3">
        <f t="shared" si="0"/>
        <v>24.343006363636363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4.8686012727272727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3">
        <f t="shared" si="0"/>
        <v>14.605803818181819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60.857515909090914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87">
        <f>+base!E26</f>
        <v>3.2300000000000002E-2</v>
      </c>
      <c r="C33" s="243">
        <f t="shared" si="0"/>
        <v>78.627910554545466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901.42152564545461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112">
        <f t="shared" ref="C37:C44" si="1">+C$22*B37</f>
        <v>202.85838636363636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243">
        <f t="shared" si="1"/>
        <v>270.47784848484849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112">
        <f t="shared" si="1"/>
        <v>47.333623484848488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243">
        <f t="shared" si="1"/>
        <v>33.809731060606062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112">
        <f t="shared" si="1"/>
        <v>5.0714596590909089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243">
        <f t="shared" si="1"/>
        <v>13.523892424242424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112">
        <f t="shared" si="1"/>
        <v>1.8012023326620001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243">
        <f t="shared" si="1"/>
        <v>0.50714596590909089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71" t="s">
        <v>39</v>
      </c>
      <c r="B46" s="91">
        <f>SUM(B37:B44)</f>
        <v>0.23636492599999998</v>
      </c>
      <c r="C46" s="115">
        <f>SUM(C37:C44)</f>
        <v>575.38328977584388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112">
        <f>+C$22*B49</f>
        <v>32.457341818181817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243">
        <f>+C$22*B50</f>
        <v>4.0571677272727271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112">
        <f>+C$22*B51</f>
        <v>77.897620363636364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243">
        <f>+C$22*B52</f>
        <v>19.474405090909091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133.88653500000001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213.06443220399498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213.06443220399498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2.5965873454545454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0.40571677272727269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B61+B60</f>
        <v>1.2333333333333335E-3</v>
      </c>
      <c r="C62" s="115">
        <f>SUM(C60:C61)</f>
        <v>3.0023041181818182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2.6743888888888889E-3</v>
      </c>
      <c r="C65" s="243">
        <f>+C$22*B65</f>
        <v>6.510266574106061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2.6743888888888889E-3</v>
      </c>
      <c r="C66" s="117">
        <f>C65</f>
        <v>6.510266574106061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52" t="s">
        <v>56</v>
      </c>
      <c r="B68" s="97">
        <f>SUM(B34+B46+B53+B57+B62+B66)</f>
        <v>0.75309858032002241</v>
      </c>
      <c r="C68" s="83">
        <f>C66+C62+C57+C53+C46+C34</f>
        <v>1833.2683533175814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.75" customHeight="1" thickBot="1" x14ac:dyDescent="0.3">
      <c r="A70" s="541" t="s">
        <v>57</v>
      </c>
      <c r="B70" s="541"/>
      <c r="C70" s="83">
        <f>C68+C22</f>
        <v>4267.5689896812182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Uniforme!F28</f>
        <v>107.61381033333335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0">
        <v>21</v>
      </c>
      <c r="C74" s="112">
        <f>+B74*base!F6</f>
        <v>420.67200000000003</v>
      </c>
      <c r="D74" s="70"/>
      <c r="E74" s="69"/>
      <c r="F74" s="69"/>
      <c r="G74" s="69"/>
      <c r="H74" s="69"/>
    </row>
    <row r="75" spans="1:10" ht="18.600000000000001" customHeight="1" x14ac:dyDescent="0.25">
      <c r="A75" s="79" t="s">
        <v>61</v>
      </c>
      <c r="B75" s="69"/>
      <c r="C75" s="111">
        <v>0</v>
      </c>
      <c r="D75" s="553" t="s">
        <v>312</v>
      </c>
      <c r="E75" s="553"/>
      <c r="F75" s="553"/>
      <c r="G75" s="553"/>
      <c r="H75" s="553"/>
      <c r="I75" s="553"/>
      <c r="J75" s="553"/>
    </row>
    <row r="76" spans="1:10" x14ac:dyDescent="0.25">
      <c r="A76" s="79" t="s">
        <v>62</v>
      </c>
      <c r="B76" s="69"/>
      <c r="C76" s="190">
        <f>+'depreciação de equipamento'!F11</f>
        <v>29.778499024999999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ht="15" customHeight="1" thickBot="1" x14ac:dyDescent="0.3">
      <c r="A78" s="79" t="s">
        <v>217</v>
      </c>
      <c r="B78" s="69"/>
      <c r="C78" s="233">
        <f>base!F22</f>
        <v>151.38999999999999</v>
      </c>
      <c r="D78" s="70"/>
      <c r="E78" s="69"/>
      <c r="F78" s="69"/>
      <c r="G78" s="69"/>
      <c r="H78" s="69"/>
    </row>
    <row r="79" spans="1:10" ht="15.75" thickBot="1" x14ac:dyDescent="0.3">
      <c r="A79" s="100" t="s">
        <v>65</v>
      </c>
      <c r="B79" s="101"/>
      <c r="C79" s="208">
        <f>SUM(C73:C78)</f>
        <v>709.45430935833338</v>
      </c>
      <c r="D79" s="70"/>
      <c r="E79" s="69"/>
      <c r="F79" s="69"/>
      <c r="G79" s="69"/>
      <c r="H79" s="69"/>
    </row>
    <row r="80" spans="1:10" ht="15.75" thickBot="1" x14ac:dyDescent="0.3">
      <c r="A80" s="69"/>
      <c r="B80" s="102"/>
      <c r="C80" s="103"/>
      <c r="D80" s="70"/>
      <c r="E80" s="69"/>
      <c r="F80" s="69"/>
      <c r="G80" s="69"/>
      <c r="H80" s="69"/>
    </row>
    <row r="81" spans="1:8" ht="15.75" thickBot="1" x14ac:dyDescent="0.3">
      <c r="A81" s="100"/>
      <c r="B81" s="128"/>
      <c r="C81" s="124"/>
      <c r="D81" s="70"/>
      <c r="E81" s="69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541" t="s">
        <v>67</v>
      </c>
      <c r="B83" s="541"/>
      <c r="C83" s="118">
        <f>C79+C68+C22+C81</f>
        <v>4977.0232990395507</v>
      </c>
      <c r="D83" s="70"/>
      <c r="E83" s="69"/>
      <c r="F83" s="69"/>
      <c r="G83" s="69"/>
      <c r="H83" s="69"/>
    </row>
    <row r="84" spans="1:8" ht="15.75" customHeight="1" thickBot="1" x14ac:dyDescent="0.3">
      <c r="A84" s="70"/>
      <c r="B84" s="70"/>
      <c r="C84" s="95"/>
      <c r="D84" s="70"/>
      <c r="E84" s="69"/>
      <c r="F84" s="69"/>
      <c r="G84" s="69"/>
      <c r="H84" s="69"/>
    </row>
    <row r="85" spans="1:8" x14ac:dyDescent="0.25">
      <c r="A85" s="99" t="s">
        <v>68</v>
      </c>
      <c r="B85" s="105"/>
      <c r="C85" s="90"/>
      <c r="D85" s="70"/>
      <c r="E85" s="69"/>
      <c r="F85" s="69"/>
      <c r="G85" s="69"/>
      <c r="H85" s="69"/>
    </row>
    <row r="86" spans="1:8" x14ac:dyDescent="0.25">
      <c r="A86" s="86" t="s">
        <v>69</v>
      </c>
      <c r="B86" s="69"/>
      <c r="C86" s="87">
        <f>base!$E$13</f>
        <v>7.0000000000000007E-2</v>
      </c>
      <c r="D86" s="70"/>
      <c r="E86" s="69"/>
      <c r="F86" s="69"/>
      <c r="G86" s="69"/>
      <c r="H86" s="69"/>
    </row>
    <row r="87" spans="1:8" x14ac:dyDescent="0.25">
      <c r="A87" s="84" t="s">
        <v>70</v>
      </c>
      <c r="B87" s="78"/>
      <c r="C87" s="237">
        <v>3.5499999999999997E-2</v>
      </c>
      <c r="D87" s="70"/>
      <c r="E87" s="69"/>
      <c r="F87" s="69"/>
      <c r="G87" s="69"/>
      <c r="H87" s="69"/>
    </row>
    <row r="88" spans="1:8" x14ac:dyDescent="0.25">
      <c r="A88" s="86" t="s">
        <v>71</v>
      </c>
      <c r="B88" s="70"/>
      <c r="C88" s="106">
        <f>+iss!D29</f>
        <v>0.03</v>
      </c>
      <c r="D88" s="70"/>
      <c r="E88" s="69"/>
      <c r="F88" s="69"/>
      <c r="G88" s="69"/>
      <c r="H88" s="69"/>
    </row>
    <row r="89" spans="1:8" x14ac:dyDescent="0.25">
      <c r="A89" s="84" t="s">
        <v>72</v>
      </c>
      <c r="B89" s="107"/>
      <c r="C89" s="108">
        <v>0.03</v>
      </c>
      <c r="D89" s="70"/>
      <c r="E89" s="69"/>
      <c r="F89" s="69"/>
      <c r="G89" s="69"/>
      <c r="H89" s="69"/>
    </row>
    <row r="90" spans="1:8" ht="15.75" thickBot="1" x14ac:dyDescent="0.3">
      <c r="A90" s="86" t="s">
        <v>73</v>
      </c>
      <c r="B90" s="70"/>
      <c r="C90" s="106">
        <v>6.4999999999999997E-3</v>
      </c>
      <c r="D90" s="70"/>
      <c r="E90" s="69"/>
      <c r="F90" s="69"/>
      <c r="G90" s="69"/>
      <c r="H90" s="69"/>
    </row>
    <row r="91" spans="1:8" ht="15.75" thickBot="1" x14ac:dyDescent="0.3">
      <c r="A91" s="252" t="s">
        <v>74</v>
      </c>
      <c r="B91" s="97"/>
      <c r="C91" s="97">
        <f>SUM(C86:C90)</f>
        <v>0.17200000000000001</v>
      </c>
      <c r="D91" s="70"/>
      <c r="E91" s="69"/>
      <c r="F91" s="69"/>
      <c r="G91" s="69"/>
      <c r="H91" s="69"/>
    </row>
    <row r="92" spans="1:8" ht="15.75" thickBot="1" x14ac:dyDescent="0.3">
      <c r="A92" s="238"/>
      <c r="B92" s="239">
        <f>+C91*100</f>
        <v>17.200000000000003</v>
      </c>
      <c r="C92" s="240">
        <f>100-B92</f>
        <v>82.8</v>
      </c>
      <c r="D92" s="70"/>
      <c r="E92" s="69"/>
      <c r="F92" s="69"/>
      <c r="G92" s="69"/>
      <c r="H92" s="69"/>
    </row>
    <row r="93" spans="1:8" ht="15.75" thickBot="1" x14ac:dyDescent="0.3">
      <c r="A93" s="252" t="s">
        <v>105</v>
      </c>
      <c r="B93" s="104"/>
      <c r="C93" s="234">
        <f>SUM(C83*B92/C92)</f>
        <v>1033.8744051144963</v>
      </c>
      <c r="D93" s="70"/>
      <c r="E93" s="69"/>
      <c r="F93" s="69"/>
      <c r="G93" s="69"/>
      <c r="H93" s="69"/>
    </row>
    <row r="94" spans="1:8" ht="15.75" thickBot="1" x14ac:dyDescent="0.3">
      <c r="A94" s="539"/>
      <c r="B94" s="539"/>
      <c r="C94" s="95"/>
      <c r="D94" s="70"/>
      <c r="E94" s="69"/>
      <c r="F94" s="69"/>
      <c r="G94" s="69"/>
      <c r="H94" s="69"/>
    </row>
    <row r="95" spans="1:8" ht="15.75" thickBot="1" x14ac:dyDescent="0.3">
      <c r="A95" s="82" t="s">
        <v>76</v>
      </c>
      <c r="B95" s="82"/>
      <c r="C95" s="83">
        <f>C83+C93</f>
        <v>6010.8977041540475</v>
      </c>
      <c r="D95" s="70"/>
      <c r="E95" s="69"/>
      <c r="F95" s="69"/>
      <c r="G95" s="69"/>
      <c r="H95" s="69"/>
    </row>
    <row r="96" spans="1:8" ht="15.75" thickBot="1" x14ac:dyDescent="0.3">
      <c r="A96" s="109"/>
      <c r="B96" s="109"/>
      <c r="C96" s="110"/>
      <c r="D96" s="69"/>
      <c r="E96" s="69"/>
      <c r="F96" s="69"/>
      <c r="G96" s="69"/>
      <c r="H96" s="69"/>
    </row>
    <row r="97" spans="1:8" ht="16.5" thickBot="1" x14ac:dyDescent="0.3">
      <c r="A97" s="82" t="s">
        <v>121</v>
      </c>
      <c r="B97" s="82"/>
      <c r="C97" s="83">
        <f>ROUND(C95,2)</f>
        <v>6010.9</v>
      </c>
      <c r="D97" s="131"/>
      <c r="E97" s="131"/>
      <c r="F97" s="131"/>
      <c r="G97" s="131"/>
      <c r="H97" s="131"/>
    </row>
    <row r="98" spans="1:8" ht="15.75" x14ac:dyDescent="0.25">
      <c r="A98" s="69"/>
      <c r="B98" s="69"/>
      <c r="C98" s="69"/>
      <c r="D98" s="131"/>
      <c r="E98" s="131"/>
      <c r="F98" s="131"/>
      <c r="G98" s="131"/>
      <c r="H98" s="131"/>
    </row>
  </sheetData>
  <mergeCells count="17">
    <mergeCell ref="D75:J75"/>
    <mergeCell ref="A94:B94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3:B83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7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94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ht="16.149999999999999" customHeight="1" x14ac:dyDescent="0.25">
      <c r="A75" s="79" t="s">
        <v>61</v>
      </c>
      <c r="B75" s="69"/>
      <c r="C75" s="111">
        <f>(3.7*2*B74)-C15*6%</f>
        <v>18.959120000000013</v>
      </c>
      <c r="D75" s="554" t="s">
        <v>313</v>
      </c>
      <c r="E75" s="554"/>
      <c r="F75" s="554"/>
      <c r="G75" s="554"/>
      <c r="H75" s="554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.75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623.38579535833333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4742.5114034699818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1228.883297985273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5971.394701455255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11942.79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80"/>
  <sheetViews>
    <sheetView topLeftCell="A58" zoomScale="80" zoomScaleNormal="80" workbookViewId="0">
      <selection activeCell="V72" activeCellId="1" sqref="J64:K64 V72:W72"/>
    </sheetView>
  </sheetViews>
  <sheetFormatPr defaultRowHeight="15" x14ac:dyDescent="0.25"/>
  <cols>
    <col min="2" max="2" width="6.140625" customWidth="1"/>
    <col min="6" max="6" width="7.7109375" customWidth="1"/>
    <col min="11" max="11" width="10.42578125" customWidth="1"/>
    <col min="12" max="12" width="2.5703125" customWidth="1"/>
    <col min="14" max="14" width="6.140625" customWidth="1"/>
    <col min="18" max="18" width="7.7109375" customWidth="1"/>
    <col min="24" max="24" width="3" customWidth="1"/>
    <col min="25" max="25" width="12.7109375" bestFit="1" customWidth="1"/>
    <col min="27" max="27" width="11.5703125" bestFit="1" customWidth="1"/>
    <col min="29" max="29" width="2.42578125" customWidth="1"/>
    <col min="30" max="30" width="16.5703125" bestFit="1" customWidth="1"/>
    <col min="31" max="31" width="18.7109375" customWidth="1"/>
  </cols>
  <sheetData>
    <row r="1" spans="1:40" s="68" customFormat="1" ht="29.25" customHeight="1" thickBot="1" x14ac:dyDescent="0.3">
      <c r="A1" s="450"/>
      <c r="B1" s="451"/>
      <c r="C1" s="451"/>
      <c r="D1" s="451"/>
      <c r="E1" s="451"/>
      <c r="F1" s="451"/>
      <c r="G1" s="452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54" customHeight="1" x14ac:dyDescent="0.25">
      <c r="A2" s="448" t="s">
        <v>0</v>
      </c>
      <c r="B2" s="449"/>
      <c r="C2" s="447" t="s">
        <v>8</v>
      </c>
      <c r="D2" s="447"/>
      <c r="E2" s="447" t="s">
        <v>142</v>
      </c>
      <c r="F2" s="447"/>
      <c r="G2" s="155" t="s">
        <v>143</v>
      </c>
      <c r="H2" s="444" t="s">
        <v>145</v>
      </c>
      <c r="I2" s="444"/>
      <c r="J2" s="444" t="s">
        <v>144</v>
      </c>
      <c r="K2" s="444"/>
      <c r="L2" s="134"/>
      <c r="M2" s="444" t="s">
        <v>0</v>
      </c>
      <c r="N2" s="444"/>
      <c r="O2" s="446" t="s">
        <v>8</v>
      </c>
      <c r="P2" s="444"/>
      <c r="Q2" s="447" t="s">
        <v>142</v>
      </c>
      <c r="R2" s="447"/>
      <c r="S2" s="157" t="s">
        <v>143</v>
      </c>
      <c r="T2" s="444" t="s">
        <v>145</v>
      </c>
      <c r="U2" s="444"/>
      <c r="V2" s="444" t="s">
        <v>144</v>
      </c>
      <c r="W2" s="44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9" customHeight="1" thickBot="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1:40" ht="45" customHeight="1" thickBot="1" x14ac:dyDescent="0.3">
      <c r="A4" s="410" t="s">
        <v>79</v>
      </c>
      <c r="B4" s="410"/>
      <c r="C4" s="417" t="s">
        <v>136</v>
      </c>
      <c r="D4" s="418"/>
      <c r="E4" s="414">
        <f>'CWB-12X36-NOTURNO- 2º A DOM   '!C99</f>
        <v>13345.04</v>
      </c>
      <c r="F4" s="415"/>
      <c r="G4" s="136">
        <v>3</v>
      </c>
      <c r="H4" s="414">
        <f>E4*3</f>
        <v>40035.120000000003</v>
      </c>
      <c r="I4" s="415"/>
      <c r="J4" s="431">
        <f>H4*20</f>
        <v>800702.4</v>
      </c>
      <c r="K4" s="431"/>
      <c r="L4" s="134"/>
      <c r="M4" s="410" t="s">
        <v>90</v>
      </c>
      <c r="N4" s="410"/>
      <c r="O4" s="410" t="s">
        <v>137</v>
      </c>
      <c r="P4" s="410"/>
      <c r="Q4" s="414">
        <f>'PALMAS 12X36 DIURNO 2º A DOM'!C98</f>
        <v>11895.05</v>
      </c>
      <c r="R4" s="415"/>
      <c r="S4" s="136">
        <v>1</v>
      </c>
      <c r="T4" s="414">
        <f>Q4*S4</f>
        <v>11895.05</v>
      </c>
      <c r="U4" s="415"/>
      <c r="V4" s="416">
        <f>T4*20</f>
        <v>237901</v>
      </c>
      <c r="W4" s="416"/>
      <c r="X4" s="134"/>
      <c r="Y4" s="384" t="s">
        <v>146</v>
      </c>
      <c r="Z4" s="385"/>
      <c r="AA4" s="385"/>
      <c r="AB4" s="386"/>
      <c r="AC4" s="134"/>
      <c r="AD4" s="384" t="s">
        <v>147</v>
      </c>
      <c r="AE4" s="385"/>
      <c r="AF4" s="385"/>
      <c r="AG4" s="386"/>
      <c r="AH4" s="134"/>
      <c r="AI4" s="134"/>
      <c r="AJ4" s="134"/>
      <c r="AK4" s="134"/>
      <c r="AL4" s="134"/>
      <c r="AM4" s="134"/>
      <c r="AN4" s="134"/>
    </row>
    <row r="5" spans="1:40" ht="6.95" customHeight="1" thickBot="1" x14ac:dyDescent="0.3">
      <c r="A5" s="410"/>
      <c r="B5" s="410"/>
      <c r="C5" s="140"/>
      <c r="D5" s="140"/>
      <c r="E5" s="140"/>
      <c r="F5" s="140"/>
      <c r="G5" s="140"/>
      <c r="H5" s="140"/>
      <c r="I5" s="140"/>
      <c r="J5" s="150"/>
      <c r="K5" s="150"/>
      <c r="L5" s="134"/>
      <c r="M5" s="410"/>
      <c r="N5" s="410"/>
      <c r="O5" s="140"/>
      <c r="P5" s="140"/>
      <c r="Q5" s="140"/>
      <c r="R5" s="140"/>
      <c r="S5" s="140"/>
      <c r="T5" s="140"/>
      <c r="U5" s="140"/>
      <c r="V5" s="140"/>
      <c r="W5" s="140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1:40" ht="46.5" customHeight="1" thickBot="1" x14ac:dyDescent="0.55000000000000004">
      <c r="A6" s="410"/>
      <c r="B6" s="410"/>
      <c r="C6" s="417" t="s">
        <v>123</v>
      </c>
      <c r="D6" s="418"/>
      <c r="E6" s="414">
        <f>'CWB- SDF 24 24HORAS'!C99</f>
        <v>4058.64</v>
      </c>
      <c r="F6" s="415"/>
      <c r="G6" s="136">
        <v>3</v>
      </c>
      <c r="H6" s="414">
        <f>E6*3</f>
        <v>12175.92</v>
      </c>
      <c r="I6" s="415"/>
      <c r="J6" s="431">
        <f>H6*20</f>
        <v>243518.4</v>
      </c>
      <c r="K6" s="431"/>
      <c r="L6" s="134"/>
      <c r="M6" s="410"/>
      <c r="N6" s="410"/>
      <c r="O6" s="417" t="s">
        <v>136</v>
      </c>
      <c r="P6" s="418"/>
      <c r="Q6" s="414">
        <f>'PALMAS 12X36 NOTURNO 2º A DOM'!C99</f>
        <v>13381.31</v>
      </c>
      <c r="R6" s="415"/>
      <c r="S6" s="136">
        <v>1</v>
      </c>
      <c r="T6" s="414">
        <f>Q6*S6</f>
        <v>13381.31</v>
      </c>
      <c r="U6" s="415"/>
      <c r="V6" s="416">
        <f>T6*20</f>
        <v>267626.2</v>
      </c>
      <c r="W6" s="416"/>
      <c r="X6" s="134"/>
      <c r="Y6" s="453">
        <f>H64+T72</f>
        <v>777574.01</v>
      </c>
      <c r="Z6" s="454"/>
      <c r="AA6" s="454"/>
      <c r="AB6" s="455"/>
      <c r="AC6" s="156"/>
      <c r="AD6" s="453">
        <f>J64+V72</f>
        <v>15551480.200000003</v>
      </c>
      <c r="AE6" s="454"/>
      <c r="AF6" s="454"/>
      <c r="AG6" s="455"/>
      <c r="AH6" s="134"/>
      <c r="AI6" s="134"/>
      <c r="AJ6" s="134"/>
      <c r="AK6" s="134"/>
      <c r="AL6" s="134"/>
      <c r="AM6" s="134"/>
      <c r="AN6" s="134"/>
    </row>
    <row r="7" spans="1:40" ht="6.95" customHeight="1" thickBot="1" x14ac:dyDescent="0.3">
      <c r="A7" s="135"/>
      <c r="B7" s="135"/>
      <c r="C7" s="135"/>
      <c r="D7" s="135"/>
      <c r="E7" s="51"/>
      <c r="F7" s="51"/>
      <c r="G7" s="51"/>
      <c r="H7" s="51"/>
      <c r="I7" s="51"/>
      <c r="J7" s="151"/>
      <c r="K7" s="151"/>
      <c r="L7" s="134"/>
      <c r="M7" s="410"/>
      <c r="N7" s="410"/>
      <c r="O7" s="135"/>
      <c r="P7" s="135"/>
      <c r="Q7" s="51"/>
      <c r="R7" s="51"/>
      <c r="S7" s="51"/>
      <c r="T7" s="51"/>
      <c r="U7" s="51"/>
      <c r="V7" s="51"/>
      <c r="W7" s="51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46.5" customHeight="1" thickBot="1" x14ac:dyDescent="0.3">
      <c r="A8" s="422" t="s">
        <v>135</v>
      </c>
      <c r="B8" s="422"/>
      <c r="C8" s="427" t="s">
        <v>137</v>
      </c>
      <c r="D8" s="428"/>
      <c r="E8" s="427">
        <f>'CWB-12X36-DIURNO- 2º A DOM   '!C98</f>
        <v>11868.07</v>
      </c>
      <c r="F8" s="428"/>
      <c r="G8" s="137">
        <v>1</v>
      </c>
      <c r="H8" s="427">
        <f>E8*G8</f>
        <v>11868.07</v>
      </c>
      <c r="I8" s="428"/>
      <c r="J8" s="433">
        <f>H8*20</f>
        <v>237361.4</v>
      </c>
      <c r="K8" s="433"/>
      <c r="L8" s="134"/>
      <c r="M8" s="410"/>
      <c r="N8" s="410"/>
      <c r="O8" s="417" t="s">
        <v>141</v>
      </c>
      <c r="P8" s="418"/>
      <c r="Q8" s="445">
        <f>'PALMAS 12X36 NOTU 2º A DOM MOTO'!C102</f>
        <v>13775.72</v>
      </c>
      <c r="R8" s="415"/>
      <c r="S8" s="136">
        <v>1</v>
      </c>
      <c r="T8" s="414">
        <f>Q8*S8</f>
        <v>13775.72</v>
      </c>
      <c r="U8" s="415"/>
      <c r="V8" s="416">
        <f>T8*20</f>
        <v>275514.39999999997</v>
      </c>
      <c r="W8" s="416"/>
      <c r="X8" s="134"/>
      <c r="Y8" s="384" t="s">
        <v>335</v>
      </c>
      <c r="Z8" s="385"/>
      <c r="AA8" s="385"/>
      <c r="AB8" s="386"/>
      <c r="AC8" s="134"/>
      <c r="AD8" s="387">
        <v>11863312.199999999</v>
      </c>
      <c r="AE8" s="388"/>
      <c r="AF8" s="388"/>
      <c r="AG8" s="389"/>
      <c r="AH8" s="134"/>
      <c r="AI8" s="134"/>
      <c r="AJ8" s="134"/>
      <c r="AK8" s="134"/>
      <c r="AL8" s="134"/>
      <c r="AM8" s="134"/>
      <c r="AN8" s="134"/>
    </row>
    <row r="9" spans="1:40" ht="6.95" customHeight="1" thickBot="1" x14ac:dyDescent="0.3">
      <c r="A9" s="422"/>
      <c r="B9" s="422"/>
      <c r="C9" s="142"/>
      <c r="D9" s="142"/>
      <c r="E9" s="143"/>
      <c r="F9" s="143"/>
      <c r="G9" s="143"/>
      <c r="H9" s="143"/>
      <c r="I9" s="143"/>
      <c r="J9" s="152"/>
      <c r="K9" s="152"/>
      <c r="L9" s="134"/>
      <c r="M9" s="410"/>
      <c r="N9" s="410"/>
      <c r="O9" s="148"/>
      <c r="P9" s="147"/>
      <c r="Q9" s="140"/>
      <c r="R9" s="140"/>
      <c r="S9" s="140"/>
      <c r="T9" s="140"/>
      <c r="U9" s="140"/>
      <c r="V9" s="140"/>
      <c r="W9" s="140"/>
      <c r="X9" s="134"/>
      <c r="Y9" s="134"/>
      <c r="Z9" s="134"/>
      <c r="AA9" s="134"/>
      <c r="AB9" s="134"/>
      <c r="AC9" s="134"/>
      <c r="AD9" s="134"/>
      <c r="AE9" s="267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69" customHeight="1" thickBot="1" x14ac:dyDescent="0.3">
      <c r="A10" s="422"/>
      <c r="B10" s="422"/>
      <c r="C10" s="427" t="s">
        <v>136</v>
      </c>
      <c r="D10" s="428"/>
      <c r="E10" s="427">
        <f>'CWB-12X36-NOTURNO- 2º A DOM   '!C99</f>
        <v>13345.04</v>
      </c>
      <c r="F10" s="428"/>
      <c r="G10" s="137">
        <v>1</v>
      </c>
      <c r="H10" s="427">
        <f>E10*G10</f>
        <v>13345.04</v>
      </c>
      <c r="I10" s="428"/>
      <c r="J10" s="433">
        <f>H10*20</f>
        <v>266900.80000000005</v>
      </c>
      <c r="K10" s="433"/>
      <c r="L10" s="134"/>
      <c r="M10" s="410"/>
      <c r="N10" s="410"/>
      <c r="O10" s="417" t="s">
        <v>123</v>
      </c>
      <c r="P10" s="418"/>
      <c r="Q10" s="445">
        <f>'PALMAS- SDF 24 24HORAS'!C99</f>
        <v>4067.45</v>
      </c>
      <c r="R10" s="415"/>
      <c r="S10" s="136">
        <v>1</v>
      </c>
      <c r="T10" s="414">
        <f>Q10*S10</f>
        <v>4067.45</v>
      </c>
      <c r="U10" s="415"/>
      <c r="V10" s="416">
        <f>T10*20</f>
        <v>81349</v>
      </c>
      <c r="W10" s="416"/>
      <c r="X10" s="134"/>
      <c r="Y10" s="384" t="s">
        <v>343</v>
      </c>
      <c r="Z10" s="385"/>
      <c r="AA10" s="385"/>
      <c r="AB10" s="386"/>
      <c r="AC10" s="134"/>
      <c r="AD10" s="387">
        <f>J64+V4+V6+V8+V10+V12+V14+V16+V18+V20+V22+V24+V26+V28+V30+V32+V34+V36+V38+V40+V42+V44+V46+V48+V50+V52+V54+(V64/2)</f>
        <v>14064634.4</v>
      </c>
      <c r="AE10" s="385"/>
      <c r="AF10" s="385"/>
      <c r="AG10" s="386"/>
      <c r="AH10" s="134"/>
      <c r="AI10" s="134"/>
      <c r="AJ10" s="134"/>
      <c r="AK10" s="134"/>
      <c r="AL10" s="134"/>
      <c r="AM10" s="134"/>
      <c r="AN10" s="134"/>
    </row>
    <row r="11" spans="1:40" ht="6.95" customHeight="1" thickBot="1" x14ac:dyDescent="0.3">
      <c r="A11" s="135"/>
      <c r="B11" s="135"/>
      <c r="C11" s="135"/>
      <c r="D11" s="135"/>
      <c r="E11" s="51"/>
      <c r="F11" s="51"/>
      <c r="G11" s="51"/>
      <c r="H11" s="51"/>
      <c r="I11" s="51"/>
      <c r="J11" s="151"/>
      <c r="K11" s="151"/>
      <c r="L11" s="134"/>
      <c r="M11" s="67"/>
      <c r="N11" s="67"/>
      <c r="O11" s="67"/>
      <c r="P11" s="67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267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36.75" customHeight="1" thickBot="1" x14ac:dyDescent="0.3">
      <c r="A12" s="410" t="s">
        <v>138</v>
      </c>
      <c r="B12" s="410"/>
      <c r="C12" s="410" t="s">
        <v>137</v>
      </c>
      <c r="D12" s="410"/>
      <c r="E12" s="414">
        <f>'CWB-12X36-DIURNO- 2º A DOM   '!C98</f>
        <v>11868.07</v>
      </c>
      <c r="F12" s="415"/>
      <c r="G12" s="136">
        <v>1</v>
      </c>
      <c r="H12" s="414">
        <f>E12*G12</f>
        <v>11868.07</v>
      </c>
      <c r="I12" s="415"/>
      <c r="J12" s="431">
        <f>H12*20</f>
        <v>237361.4</v>
      </c>
      <c r="K12" s="431"/>
      <c r="L12" s="134"/>
      <c r="M12" s="422" t="s">
        <v>91</v>
      </c>
      <c r="N12" s="422"/>
      <c r="O12" s="427" t="s">
        <v>136</v>
      </c>
      <c r="P12" s="428"/>
      <c r="Q12" s="427">
        <f>'CORONEL 12X36 NOTURNO 2º A DOM'!C99</f>
        <v>13726.99</v>
      </c>
      <c r="R12" s="428"/>
      <c r="S12" s="137">
        <v>1</v>
      </c>
      <c r="T12" s="429">
        <f>Q12*S12</f>
        <v>13726.99</v>
      </c>
      <c r="U12" s="429"/>
      <c r="V12" s="429">
        <f>T12*20</f>
        <v>274539.8</v>
      </c>
      <c r="W12" s="429"/>
      <c r="X12" s="134"/>
      <c r="Y12" s="390" t="s">
        <v>344</v>
      </c>
      <c r="Z12" s="391"/>
      <c r="AA12" s="391"/>
      <c r="AB12" s="392"/>
      <c r="AC12" s="134"/>
      <c r="AD12" s="387">
        <f>AD10-AD8</f>
        <v>2201322.2000000011</v>
      </c>
      <c r="AE12" s="388"/>
      <c r="AF12" s="388"/>
      <c r="AG12" s="389"/>
      <c r="AH12" s="134"/>
      <c r="AI12" s="134"/>
      <c r="AJ12" s="134"/>
      <c r="AK12" s="134"/>
      <c r="AL12" s="134"/>
      <c r="AM12" s="134"/>
      <c r="AN12" s="134"/>
    </row>
    <row r="13" spans="1:40" ht="6.95" customHeight="1" thickBot="1" x14ac:dyDescent="0.3">
      <c r="A13" s="410"/>
      <c r="B13" s="410"/>
      <c r="C13" s="141"/>
      <c r="D13" s="141"/>
      <c r="E13" s="140"/>
      <c r="F13" s="140"/>
      <c r="G13" s="140"/>
      <c r="H13" s="140"/>
      <c r="I13" s="140"/>
      <c r="J13" s="150"/>
      <c r="K13" s="150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1:40" ht="40.5" customHeight="1" thickBot="1" x14ac:dyDescent="0.3">
      <c r="A14" s="410"/>
      <c r="B14" s="410"/>
      <c r="C14" s="410" t="s">
        <v>136</v>
      </c>
      <c r="D14" s="410"/>
      <c r="E14" s="414">
        <f>'CWB-12X36-NOTURNO- 2º A DOM   '!C99</f>
        <v>13345.04</v>
      </c>
      <c r="F14" s="415"/>
      <c r="G14" s="136">
        <v>1</v>
      </c>
      <c r="H14" s="414">
        <f>E14*G14</f>
        <v>13345.04</v>
      </c>
      <c r="I14" s="415"/>
      <c r="J14" s="431">
        <f>H14*20</f>
        <v>266900.80000000005</v>
      </c>
      <c r="K14" s="431"/>
      <c r="L14" s="134"/>
      <c r="M14" s="410" t="s">
        <v>92</v>
      </c>
      <c r="N14" s="410"/>
      <c r="O14" s="411" t="s">
        <v>137</v>
      </c>
      <c r="P14" s="418"/>
      <c r="Q14" s="414">
        <f>'CASCAVEL 12X36 DIURNO 2º A DOM'!C98</f>
        <v>12017.22</v>
      </c>
      <c r="R14" s="415"/>
      <c r="S14" s="326">
        <v>1</v>
      </c>
      <c r="T14" s="414">
        <f>Q14*S14</f>
        <v>12017.22</v>
      </c>
      <c r="U14" s="415"/>
      <c r="V14" s="414">
        <f>T14*20</f>
        <v>240344.4</v>
      </c>
      <c r="W14" s="415"/>
      <c r="X14" s="134"/>
      <c r="Y14" s="390" t="s">
        <v>336</v>
      </c>
      <c r="Z14" s="391"/>
      <c r="AA14" s="391"/>
      <c r="AB14" s="392"/>
      <c r="AC14" s="134"/>
      <c r="AD14" s="394">
        <f>AD12/AD10</f>
        <v>0.15651471182215737</v>
      </c>
      <c r="AE14" s="395"/>
      <c r="AF14" s="395"/>
      <c r="AG14" s="396"/>
      <c r="AH14" s="134"/>
      <c r="AI14" s="134"/>
      <c r="AJ14" s="134"/>
      <c r="AK14" s="134"/>
      <c r="AL14" s="134"/>
      <c r="AM14" s="134"/>
      <c r="AN14" s="134"/>
    </row>
    <row r="15" spans="1:40" ht="6.9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151"/>
      <c r="K15" s="151"/>
      <c r="L15" s="134"/>
      <c r="M15" s="410"/>
      <c r="N15" s="410"/>
      <c r="O15" s="141"/>
      <c r="P15" s="141"/>
      <c r="Q15" s="140"/>
      <c r="R15" s="140"/>
      <c r="S15" s="140"/>
      <c r="T15" s="140"/>
      <c r="U15" s="140"/>
      <c r="V15" s="140"/>
      <c r="W15" s="140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1:40" ht="42.75" customHeight="1" x14ac:dyDescent="0.25">
      <c r="A16" s="432" t="s">
        <v>80</v>
      </c>
      <c r="B16" s="432"/>
      <c r="C16" s="427" t="s">
        <v>136</v>
      </c>
      <c r="D16" s="428"/>
      <c r="E16" s="429">
        <f>'ASSIS-12X36-NOTURNO- 2º A DOM'!C99</f>
        <v>13577.14</v>
      </c>
      <c r="F16" s="429"/>
      <c r="G16" s="137">
        <v>1</v>
      </c>
      <c r="H16" s="429">
        <f>E16*G16</f>
        <v>13577.14</v>
      </c>
      <c r="I16" s="429"/>
      <c r="J16" s="433">
        <f>H16*20</f>
        <v>271542.8</v>
      </c>
      <c r="K16" s="433"/>
      <c r="L16" s="134"/>
      <c r="M16" s="410"/>
      <c r="N16" s="410"/>
      <c r="O16" s="417" t="s">
        <v>136</v>
      </c>
      <c r="P16" s="418"/>
      <c r="Q16" s="414">
        <f>'CASCAVEL 12X36 NOTURNO 2º A DOM'!C99</f>
        <v>13973.83</v>
      </c>
      <c r="R16" s="415"/>
      <c r="S16" s="136">
        <v>1</v>
      </c>
      <c r="T16" s="414">
        <f>Q16*S16</f>
        <v>13973.83</v>
      </c>
      <c r="U16" s="415"/>
      <c r="V16" s="416">
        <f>T16*20</f>
        <v>279476.59999999998</v>
      </c>
      <c r="W16" s="416"/>
      <c r="X16" s="134"/>
      <c r="Y16" s="267"/>
      <c r="Z16" s="134"/>
      <c r="AA16" s="267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ht="6.75" customHeight="1" x14ac:dyDescent="0.25">
      <c r="A17" s="432"/>
      <c r="B17" s="432"/>
      <c r="C17" s="422"/>
      <c r="D17" s="422"/>
      <c r="E17" s="429"/>
      <c r="F17" s="429"/>
      <c r="G17" s="137"/>
      <c r="H17" s="429"/>
      <c r="I17" s="429"/>
      <c r="J17" s="433"/>
      <c r="K17" s="433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ht="45" customHeight="1" x14ac:dyDescent="0.25">
      <c r="A18" s="432"/>
      <c r="B18" s="432"/>
      <c r="C18" s="427" t="s">
        <v>137</v>
      </c>
      <c r="D18" s="428"/>
      <c r="E18" s="429">
        <f>'ASSIS-12X36 DIURNO- 2º A DOM'!C98</f>
        <v>11996.32</v>
      </c>
      <c r="F18" s="429"/>
      <c r="G18" s="137">
        <v>0</v>
      </c>
      <c r="H18" s="429">
        <f>E18*G18</f>
        <v>0</v>
      </c>
      <c r="I18" s="429"/>
      <c r="J18" s="433">
        <f>H18*20</f>
        <v>0</v>
      </c>
      <c r="K18" s="433"/>
      <c r="L18" s="134"/>
      <c r="M18" s="434" t="s">
        <v>94</v>
      </c>
      <c r="N18" s="434"/>
      <c r="O18" s="411" t="s">
        <v>137</v>
      </c>
      <c r="P18" s="418"/>
      <c r="Q18" s="414">
        <f>'CAMPO LAR 12X36 DIURNO 2º A DOM'!C98</f>
        <v>11942.79</v>
      </c>
      <c r="R18" s="415"/>
      <c r="S18" s="319">
        <v>1</v>
      </c>
      <c r="T18" s="414">
        <f>Q18*S18</f>
        <v>11942.79</v>
      </c>
      <c r="U18" s="415"/>
      <c r="V18" s="414">
        <f>T18*20</f>
        <v>238855.80000000002</v>
      </c>
      <c r="W18" s="415"/>
      <c r="X18" s="134"/>
      <c r="Y18" s="134"/>
      <c r="Z18" s="134"/>
      <c r="AA18" s="328"/>
      <c r="AB18" s="328"/>
      <c r="AC18" s="328"/>
      <c r="AD18" s="328"/>
      <c r="AE18" s="328"/>
      <c r="AF18" s="328"/>
      <c r="AG18" s="134"/>
      <c r="AH18" s="134"/>
      <c r="AI18" s="134"/>
      <c r="AJ18" s="134"/>
      <c r="AK18" s="134"/>
      <c r="AL18" s="134"/>
      <c r="AM18" s="134"/>
      <c r="AN18" s="134"/>
    </row>
    <row r="19" spans="1:40" ht="6.75" customHeight="1" x14ac:dyDescent="0.25">
      <c r="A19" s="432"/>
      <c r="B19" s="432"/>
      <c r="C19" s="422"/>
      <c r="D19" s="422"/>
      <c r="E19" s="429"/>
      <c r="F19" s="429"/>
      <c r="G19" s="137"/>
      <c r="H19" s="429"/>
      <c r="I19" s="429"/>
      <c r="J19" s="433"/>
      <c r="K19" s="433"/>
      <c r="L19" s="134"/>
      <c r="M19" s="434"/>
      <c r="N19" s="434"/>
      <c r="O19" s="410"/>
      <c r="P19" s="410"/>
      <c r="Q19" s="416"/>
      <c r="R19" s="416"/>
      <c r="S19" s="136"/>
      <c r="T19" s="416"/>
      <c r="U19" s="416"/>
      <c r="V19" s="416"/>
      <c r="W19" s="416"/>
      <c r="X19" s="134"/>
      <c r="Y19" s="134"/>
      <c r="Z19" s="134"/>
      <c r="AA19" s="328"/>
      <c r="AB19" s="328"/>
      <c r="AC19" s="328"/>
      <c r="AD19" s="328"/>
      <c r="AE19" s="328"/>
      <c r="AF19" s="328"/>
      <c r="AG19" s="134"/>
      <c r="AH19" s="134"/>
      <c r="AI19" s="134"/>
      <c r="AJ19" s="134"/>
      <c r="AK19" s="134"/>
      <c r="AL19" s="134"/>
      <c r="AM19" s="134"/>
      <c r="AN19" s="134"/>
    </row>
    <row r="20" spans="1:40" ht="36" customHeight="1" x14ac:dyDescent="0.25">
      <c r="A20" s="432"/>
      <c r="B20" s="432"/>
      <c r="C20" s="427" t="s">
        <v>136</v>
      </c>
      <c r="D20" s="428"/>
      <c r="E20" s="429">
        <f>'ASSIS-12X36-NOTURNO- 2º A DOM'!C99</f>
        <v>13577.14</v>
      </c>
      <c r="F20" s="429"/>
      <c r="G20" s="137">
        <v>1</v>
      </c>
      <c r="H20" s="429">
        <f>E20*G20</f>
        <v>13577.14</v>
      </c>
      <c r="I20" s="429"/>
      <c r="J20" s="433">
        <f>H20*20</f>
        <v>271542.8</v>
      </c>
      <c r="K20" s="433"/>
      <c r="L20" s="134"/>
      <c r="M20" s="434"/>
      <c r="N20" s="434"/>
      <c r="O20" s="417" t="s">
        <v>136</v>
      </c>
      <c r="P20" s="418"/>
      <c r="Q20" s="416">
        <f>'CAMPO LAR 12X36 NOTURN 2º A DOM'!C99</f>
        <v>13429.05</v>
      </c>
      <c r="R20" s="416"/>
      <c r="S20" s="136">
        <v>1</v>
      </c>
      <c r="T20" s="416">
        <f>Q20*S20</f>
        <v>13429.05</v>
      </c>
      <c r="U20" s="416"/>
      <c r="V20" s="416">
        <f>T20*20</f>
        <v>268581</v>
      </c>
      <c r="W20" s="416"/>
      <c r="X20" s="134"/>
      <c r="Y20" s="134"/>
      <c r="Z20" s="134"/>
      <c r="AA20" s="328"/>
      <c r="AB20" s="393"/>
      <c r="AC20" s="393"/>
      <c r="AD20" s="393"/>
      <c r="AE20" s="393"/>
      <c r="AF20" s="328"/>
      <c r="AG20" s="134"/>
      <c r="AH20" s="134"/>
      <c r="AI20" s="134"/>
      <c r="AJ20" s="134"/>
      <c r="AK20" s="134"/>
      <c r="AL20" s="134"/>
      <c r="AM20" s="134"/>
      <c r="AN20" s="134"/>
    </row>
    <row r="21" spans="1:40" ht="6.95" customHeight="1" x14ac:dyDescent="0.25">
      <c r="A21" s="432"/>
      <c r="B21" s="432"/>
      <c r="C21" s="422"/>
      <c r="D21" s="422"/>
      <c r="E21" s="429"/>
      <c r="F21" s="429"/>
      <c r="G21" s="137"/>
      <c r="H21" s="429"/>
      <c r="I21" s="429"/>
      <c r="J21" s="433"/>
      <c r="K21" s="433"/>
      <c r="L21" s="134"/>
      <c r="M21" s="434"/>
      <c r="N21" s="434"/>
      <c r="O21" s="410"/>
      <c r="P21" s="410"/>
      <c r="Q21" s="416"/>
      <c r="R21" s="416"/>
      <c r="S21" s="136"/>
      <c r="T21" s="416"/>
      <c r="U21" s="416"/>
      <c r="V21" s="416"/>
      <c r="W21" s="416"/>
      <c r="X21" s="134"/>
      <c r="Y21" s="134"/>
      <c r="Z21" s="134"/>
      <c r="AA21" s="328"/>
      <c r="AB21" s="328"/>
      <c r="AC21" s="328"/>
      <c r="AD21" s="328"/>
      <c r="AE21" s="328"/>
      <c r="AF21" s="328"/>
      <c r="AG21" s="134"/>
      <c r="AH21" s="134"/>
      <c r="AI21" s="134"/>
      <c r="AJ21" s="134"/>
      <c r="AK21" s="134"/>
      <c r="AL21" s="134"/>
      <c r="AM21" s="134"/>
      <c r="AN21" s="134"/>
    </row>
    <row r="22" spans="1:40" ht="42" customHeight="1" x14ac:dyDescent="0.25">
      <c r="A22" s="432"/>
      <c r="B22" s="432"/>
      <c r="C22" s="422" t="s">
        <v>123</v>
      </c>
      <c r="D22" s="422"/>
      <c r="E22" s="429">
        <f>'ASSIS- SDF 24HORAS'!C99</f>
        <v>4245.16</v>
      </c>
      <c r="F22" s="429"/>
      <c r="G22" s="137">
        <v>1</v>
      </c>
      <c r="H22" s="429">
        <f>E22*G22</f>
        <v>4245.16</v>
      </c>
      <c r="I22" s="429"/>
      <c r="J22" s="433">
        <f>H22*20</f>
        <v>84903.2</v>
      </c>
      <c r="K22" s="433"/>
      <c r="L22" s="134"/>
      <c r="M22" s="434"/>
      <c r="N22" s="434"/>
      <c r="O22" s="417" t="s">
        <v>136</v>
      </c>
      <c r="P22" s="418"/>
      <c r="Q22" s="416">
        <f>'CAMPO LAR 12X36 NOTURN 2º A DOM'!C99</f>
        <v>13429.05</v>
      </c>
      <c r="R22" s="416"/>
      <c r="S22" s="136">
        <v>1</v>
      </c>
      <c r="T22" s="416">
        <f>Q22*S22</f>
        <v>13429.05</v>
      </c>
      <c r="U22" s="416"/>
      <c r="V22" s="416">
        <f>T22*20</f>
        <v>268581</v>
      </c>
      <c r="W22" s="416"/>
      <c r="X22" s="134"/>
      <c r="Y22" s="134"/>
      <c r="Z22" s="134"/>
      <c r="AA22" s="328"/>
      <c r="AB22" s="329"/>
      <c r="AC22" s="328"/>
      <c r="AD22" s="328"/>
      <c r="AE22" s="328"/>
      <c r="AF22" s="328"/>
      <c r="AG22" s="134"/>
      <c r="AH22" s="134"/>
      <c r="AI22" s="134"/>
      <c r="AJ22" s="134"/>
      <c r="AK22" s="134"/>
      <c r="AL22" s="134"/>
      <c r="AM22" s="134"/>
      <c r="AN22" s="134"/>
    </row>
    <row r="23" spans="1:40" ht="6.95" customHeight="1" x14ac:dyDescent="0.25">
      <c r="A23" s="144"/>
      <c r="B23" s="144"/>
      <c r="C23" s="406"/>
      <c r="D23" s="406"/>
      <c r="E23" s="435"/>
      <c r="F23" s="435"/>
      <c r="G23" s="138"/>
      <c r="H23" s="435"/>
      <c r="I23" s="435"/>
      <c r="J23" s="436"/>
      <c r="K23" s="436"/>
      <c r="L23" s="134"/>
      <c r="M23" s="434"/>
      <c r="N23" s="434"/>
      <c r="O23" s="410"/>
      <c r="P23" s="410"/>
      <c r="Q23" s="416"/>
      <c r="R23" s="416"/>
      <c r="S23" s="136"/>
      <c r="T23" s="416"/>
      <c r="U23" s="416"/>
      <c r="V23" s="416"/>
      <c r="W23" s="416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ht="36" customHeight="1" x14ac:dyDescent="0.25">
      <c r="A24" s="434" t="s">
        <v>81</v>
      </c>
      <c r="B24" s="434"/>
      <c r="C24" s="410" t="s">
        <v>136</v>
      </c>
      <c r="D24" s="410"/>
      <c r="E24" s="416">
        <f>'FOZ-12X36 -NOTURNO- 2º A DOM'!C99</f>
        <v>13561.49</v>
      </c>
      <c r="F24" s="416"/>
      <c r="G24" s="136">
        <v>1</v>
      </c>
      <c r="H24" s="416">
        <f>E24*G24</f>
        <v>13561.49</v>
      </c>
      <c r="I24" s="416"/>
      <c r="J24" s="431">
        <f>H24*20</f>
        <v>271229.8</v>
      </c>
      <c r="K24" s="431"/>
      <c r="L24" s="134"/>
      <c r="M24" s="434"/>
      <c r="N24" s="434"/>
      <c r="O24" s="417" t="s">
        <v>123</v>
      </c>
      <c r="P24" s="418"/>
      <c r="Q24" s="416">
        <f>'CAMPO LARGO - SDF 24 24HORAS'!C99</f>
        <v>4084.2</v>
      </c>
      <c r="R24" s="416"/>
      <c r="S24" s="136">
        <v>1</v>
      </c>
      <c r="T24" s="416">
        <f>Q24*S24</f>
        <v>4084.2</v>
      </c>
      <c r="U24" s="416"/>
      <c r="V24" s="416">
        <f>T24*20</f>
        <v>81684</v>
      </c>
      <c r="W24" s="416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6.95" customHeight="1" x14ac:dyDescent="0.25">
      <c r="A25" s="434"/>
      <c r="B25" s="434"/>
      <c r="C25" s="410"/>
      <c r="D25" s="410"/>
      <c r="E25" s="416"/>
      <c r="F25" s="416"/>
      <c r="G25" s="136"/>
      <c r="H25" s="416"/>
      <c r="I25" s="416"/>
      <c r="J25" s="431"/>
      <c r="K25" s="431"/>
      <c r="L25" s="134"/>
      <c r="M25" s="144"/>
      <c r="N25" s="144"/>
      <c r="O25" s="406"/>
      <c r="P25" s="406"/>
      <c r="Q25" s="435"/>
      <c r="R25" s="435"/>
      <c r="S25" s="138"/>
      <c r="T25" s="435"/>
      <c r="U25" s="435"/>
      <c r="V25" s="435"/>
      <c r="W25" s="435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ht="27" customHeight="1" x14ac:dyDescent="0.25">
      <c r="A26" s="434"/>
      <c r="B26" s="434"/>
      <c r="C26" s="410" t="s">
        <v>137</v>
      </c>
      <c r="D26" s="410"/>
      <c r="E26" s="416">
        <f>'FOZ-12X36-DIURNO - 2º A DOM'!C98</f>
        <v>12056.27</v>
      </c>
      <c r="F26" s="416"/>
      <c r="G26" s="136">
        <v>1</v>
      </c>
      <c r="H26" s="416">
        <f>E26*G26</f>
        <v>12056.27</v>
      </c>
      <c r="I26" s="416"/>
      <c r="J26" s="431">
        <f>H26*20</f>
        <v>241125.40000000002</v>
      </c>
      <c r="K26" s="431"/>
      <c r="L26" s="134"/>
      <c r="M26" s="422" t="s">
        <v>95</v>
      </c>
      <c r="N26" s="422"/>
      <c r="O26" s="427" t="s">
        <v>137</v>
      </c>
      <c r="P26" s="428"/>
      <c r="Q26" s="427">
        <f>'CAPANEMA 12X36 DIURNO 2º A DOM'!C98</f>
        <v>11895.05</v>
      </c>
      <c r="R26" s="428"/>
      <c r="S26" s="137">
        <v>1</v>
      </c>
      <c r="T26" s="427">
        <f>Q26*S26</f>
        <v>11895.05</v>
      </c>
      <c r="U26" s="428"/>
      <c r="V26" s="429">
        <f>T26*20</f>
        <v>237901</v>
      </c>
      <c r="W26" s="429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ht="6.95" customHeight="1" x14ac:dyDescent="0.25">
      <c r="A27" s="434"/>
      <c r="B27" s="434"/>
      <c r="C27" s="410"/>
      <c r="D27" s="410"/>
      <c r="E27" s="416"/>
      <c r="F27" s="416"/>
      <c r="G27" s="136"/>
      <c r="H27" s="416"/>
      <c r="I27" s="416"/>
      <c r="J27" s="431"/>
      <c r="K27" s="431"/>
      <c r="L27" s="134"/>
      <c r="M27" s="422"/>
      <c r="N27" s="422"/>
      <c r="O27" s="142"/>
      <c r="P27" s="142"/>
      <c r="Q27" s="143"/>
      <c r="R27" s="143"/>
      <c r="S27" s="143"/>
      <c r="T27" s="143"/>
      <c r="U27" s="143"/>
      <c r="V27" s="143"/>
      <c r="W27" s="14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36" customHeight="1" x14ac:dyDescent="0.25">
      <c r="A28" s="434"/>
      <c r="B28" s="434"/>
      <c r="C28" s="410" t="s">
        <v>136</v>
      </c>
      <c r="D28" s="410"/>
      <c r="E28" s="416">
        <f>'FOZ-12X36 -NOTURNO- 2º A DOM'!C99</f>
        <v>13561.49</v>
      </c>
      <c r="F28" s="416"/>
      <c r="G28" s="136">
        <v>1</v>
      </c>
      <c r="H28" s="416">
        <f>E28*G28</f>
        <v>13561.49</v>
      </c>
      <c r="I28" s="416"/>
      <c r="J28" s="431">
        <f>H28*20</f>
        <v>271229.8</v>
      </c>
      <c r="K28" s="431"/>
      <c r="L28" s="134"/>
      <c r="M28" s="422"/>
      <c r="N28" s="422"/>
      <c r="O28" s="427" t="s">
        <v>136</v>
      </c>
      <c r="P28" s="428"/>
      <c r="Q28" s="427">
        <f>'CAPANEMA 12X36 NOTURNO 2º A DOM'!C99</f>
        <v>13381.31</v>
      </c>
      <c r="R28" s="428"/>
      <c r="S28" s="137">
        <v>1</v>
      </c>
      <c r="T28" s="427">
        <f>Q28*S28</f>
        <v>13381.31</v>
      </c>
      <c r="U28" s="428"/>
      <c r="V28" s="429">
        <f>T28*20</f>
        <v>267626.2</v>
      </c>
      <c r="W28" s="429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ht="6.95" customHeight="1" x14ac:dyDescent="0.25">
      <c r="A29" s="434"/>
      <c r="B29" s="434"/>
      <c r="C29" s="410"/>
      <c r="D29" s="410"/>
      <c r="E29" s="416"/>
      <c r="F29" s="416"/>
      <c r="G29" s="136"/>
      <c r="H29" s="416"/>
      <c r="I29" s="416"/>
      <c r="J29" s="431"/>
      <c r="K29" s="431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ht="42" customHeight="1" x14ac:dyDescent="0.25">
      <c r="A30" s="434"/>
      <c r="B30" s="434"/>
      <c r="C30" s="417" t="s">
        <v>123</v>
      </c>
      <c r="D30" s="418"/>
      <c r="E30" s="416">
        <f>'FOZ- SDF 24HORAS'!C99</f>
        <v>4124.16</v>
      </c>
      <c r="F30" s="416"/>
      <c r="G30" s="136">
        <v>1</v>
      </c>
      <c r="H30" s="416">
        <f>E30*G30</f>
        <v>4124.16</v>
      </c>
      <c r="I30" s="416"/>
      <c r="J30" s="431">
        <f>H30*20</f>
        <v>82483.199999999997</v>
      </c>
      <c r="K30" s="431"/>
      <c r="L30" s="134"/>
      <c r="M30" s="410" t="s">
        <v>96</v>
      </c>
      <c r="N30" s="410"/>
      <c r="O30" s="410" t="s">
        <v>137</v>
      </c>
      <c r="P30" s="410"/>
      <c r="Q30" s="414">
        <f>'COLOMBO12X36 DIURNO 2º A DOM'!C98</f>
        <v>11958.12</v>
      </c>
      <c r="R30" s="415"/>
      <c r="S30" s="136">
        <v>1</v>
      </c>
      <c r="T30" s="414">
        <f>Q30*S30</f>
        <v>11958.12</v>
      </c>
      <c r="U30" s="415"/>
      <c r="V30" s="416">
        <f>T30*20</f>
        <v>239162.40000000002</v>
      </c>
      <c r="W30" s="416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ht="6.95" customHeight="1" x14ac:dyDescent="0.25">
      <c r="A31" s="139"/>
      <c r="B31" s="139"/>
      <c r="C31" s="406"/>
      <c r="D31" s="406"/>
      <c r="E31" s="435"/>
      <c r="F31" s="435"/>
      <c r="G31" s="138"/>
      <c r="H31" s="435"/>
      <c r="I31" s="435"/>
      <c r="J31" s="436"/>
      <c r="K31" s="436"/>
      <c r="L31" s="134"/>
      <c r="M31" s="410"/>
      <c r="N31" s="410"/>
      <c r="O31" s="141"/>
      <c r="P31" s="141"/>
      <c r="Q31" s="140"/>
      <c r="R31" s="140"/>
      <c r="S31" s="140"/>
      <c r="T31" s="140"/>
      <c r="U31" s="140"/>
      <c r="V31" s="140"/>
      <c r="W31" s="140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ht="39.75" customHeight="1" x14ac:dyDescent="0.25">
      <c r="A32" s="432" t="s">
        <v>82</v>
      </c>
      <c r="B32" s="432"/>
      <c r="C32" s="427" t="s">
        <v>137</v>
      </c>
      <c r="D32" s="428"/>
      <c r="E32" s="429">
        <f>'IRATI-12X36 DIURNO 2º A DOM '!C98</f>
        <v>11895.05</v>
      </c>
      <c r="F32" s="429"/>
      <c r="G32" s="137">
        <v>1</v>
      </c>
      <c r="H32" s="429">
        <f>E32*G32</f>
        <v>11895.05</v>
      </c>
      <c r="I32" s="429"/>
      <c r="J32" s="433">
        <f>H32*20</f>
        <v>237901</v>
      </c>
      <c r="K32" s="433"/>
      <c r="L32" s="134"/>
      <c r="M32" s="410"/>
      <c r="N32" s="410"/>
      <c r="O32" s="417" t="s">
        <v>136</v>
      </c>
      <c r="P32" s="418"/>
      <c r="Q32" s="414">
        <f>'COLOMBO12X36 NOTURNO 2º A DOM'!C99</f>
        <v>13444.38</v>
      </c>
      <c r="R32" s="415"/>
      <c r="S32" s="136">
        <v>1</v>
      </c>
      <c r="T32" s="414">
        <f>Q32*S32</f>
        <v>13444.38</v>
      </c>
      <c r="U32" s="415"/>
      <c r="V32" s="416">
        <f>T32*20</f>
        <v>268887.59999999998</v>
      </c>
      <c r="W32" s="416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ht="6.95" customHeight="1" x14ac:dyDescent="0.25">
      <c r="A33" s="432"/>
      <c r="B33" s="432"/>
      <c r="C33" s="422"/>
      <c r="D33" s="422"/>
      <c r="E33" s="429"/>
      <c r="F33" s="429"/>
      <c r="G33" s="137"/>
      <c r="H33" s="429"/>
      <c r="I33" s="429"/>
      <c r="J33" s="433"/>
      <c r="K33" s="433"/>
      <c r="L33" s="134"/>
      <c r="M33" s="410"/>
      <c r="N33" s="410"/>
      <c r="O33" s="149"/>
      <c r="P33" s="149"/>
      <c r="Q33" s="146"/>
      <c r="R33" s="146"/>
      <c r="S33" s="146"/>
      <c r="T33" s="146"/>
      <c r="U33" s="146"/>
      <c r="V33" s="146"/>
      <c r="W33" s="146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ht="45" customHeight="1" x14ac:dyDescent="0.25">
      <c r="A34" s="432"/>
      <c r="B34" s="432"/>
      <c r="C34" s="427" t="s">
        <v>136</v>
      </c>
      <c r="D34" s="428"/>
      <c r="E34" s="429">
        <f>'IRATI -12X36 NOTURNO 2º A DOM'!C99</f>
        <v>13381.31</v>
      </c>
      <c r="F34" s="429"/>
      <c r="G34" s="137">
        <v>1</v>
      </c>
      <c r="H34" s="429">
        <f>E34*G34</f>
        <v>13381.31</v>
      </c>
      <c r="I34" s="429"/>
      <c r="J34" s="433">
        <f>H34*20</f>
        <v>267626.2</v>
      </c>
      <c r="K34" s="433"/>
      <c r="L34" s="134"/>
      <c r="M34" s="410"/>
      <c r="N34" s="410"/>
      <c r="O34" s="417" t="s">
        <v>123</v>
      </c>
      <c r="P34" s="418"/>
      <c r="Q34" s="416">
        <f>'COLOMBO - SDF 24 24HORAS'!C99</f>
        <v>4088.98</v>
      </c>
      <c r="R34" s="416"/>
      <c r="S34" s="136">
        <v>1</v>
      </c>
      <c r="T34" s="416">
        <f>Q34*S34</f>
        <v>4088.98</v>
      </c>
      <c r="U34" s="416"/>
      <c r="V34" s="416">
        <f>T34*20</f>
        <v>81779.600000000006</v>
      </c>
      <c r="W34" s="416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ht="6.9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53"/>
      <c r="K35" s="15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ht="39" customHeight="1" x14ac:dyDescent="0.25">
      <c r="A36" s="410" t="s">
        <v>83</v>
      </c>
      <c r="B36" s="410"/>
      <c r="C36" s="410" t="s">
        <v>137</v>
      </c>
      <c r="D36" s="410"/>
      <c r="E36" s="414">
        <f>+'IVAIPORÃ 12X36 DIURNO 2º A DOM'!C98</f>
        <v>11996.32</v>
      </c>
      <c r="F36" s="415"/>
      <c r="G36" s="136">
        <v>1</v>
      </c>
      <c r="H36" s="414">
        <f>E36*G36</f>
        <v>11996.32</v>
      </c>
      <c r="I36" s="415"/>
      <c r="J36" s="431">
        <f>H36*20</f>
        <v>239926.39999999999</v>
      </c>
      <c r="K36" s="431"/>
      <c r="L36" s="134"/>
      <c r="M36" s="422" t="s">
        <v>97</v>
      </c>
      <c r="N36" s="422"/>
      <c r="O36" s="427" t="s">
        <v>137</v>
      </c>
      <c r="P36" s="428"/>
      <c r="Q36" s="427">
        <f>+'GOIOERE 12X36 DIURNO 2º A DOM'!C98</f>
        <v>11996.32</v>
      </c>
      <c r="R36" s="428"/>
      <c r="S36" s="137">
        <v>1</v>
      </c>
      <c r="T36" s="427">
        <f>Q36*S36</f>
        <v>11996.32</v>
      </c>
      <c r="U36" s="428"/>
      <c r="V36" s="429">
        <f>T36*20</f>
        <v>239926.39999999999</v>
      </c>
      <c r="W36" s="429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6.95" customHeight="1" x14ac:dyDescent="0.25">
      <c r="A37" s="410"/>
      <c r="B37" s="410"/>
      <c r="C37" s="141"/>
      <c r="D37" s="141"/>
      <c r="E37" s="140"/>
      <c r="F37" s="140"/>
      <c r="G37" s="140"/>
      <c r="H37" s="140"/>
      <c r="I37" s="140"/>
      <c r="J37" s="150"/>
      <c r="K37" s="150"/>
      <c r="L37" s="134"/>
      <c r="M37" s="422"/>
      <c r="N37" s="422"/>
      <c r="O37" s="142"/>
      <c r="P37" s="142"/>
      <c r="Q37" s="143"/>
      <c r="R37" s="143"/>
      <c r="S37" s="143"/>
      <c r="T37" s="143"/>
      <c r="U37" s="143"/>
      <c r="V37" s="143"/>
      <c r="W37" s="143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ht="36" customHeight="1" x14ac:dyDescent="0.25">
      <c r="A38" s="410"/>
      <c r="B38" s="410"/>
      <c r="C38" s="410" t="s">
        <v>136</v>
      </c>
      <c r="D38" s="410"/>
      <c r="E38" s="414">
        <f>'IVAIPORA 12X36 NOTURN  2ª A DOM'!C99</f>
        <v>13784.05</v>
      </c>
      <c r="F38" s="415"/>
      <c r="G38" s="136">
        <v>1</v>
      </c>
      <c r="H38" s="414">
        <f>E38*G38</f>
        <v>13784.05</v>
      </c>
      <c r="I38" s="415"/>
      <c r="J38" s="431">
        <f>H38*20</f>
        <v>275681</v>
      </c>
      <c r="K38" s="431"/>
      <c r="L38" s="134"/>
      <c r="M38" s="422"/>
      <c r="N38" s="422"/>
      <c r="O38" s="427" t="s">
        <v>136</v>
      </c>
      <c r="P38" s="428"/>
      <c r="Q38" s="427">
        <f>'GOIOERE12X36 NOTURNO 2º A DOM'!C99</f>
        <v>13784.05</v>
      </c>
      <c r="R38" s="428"/>
      <c r="S38" s="137">
        <v>1</v>
      </c>
      <c r="T38" s="427">
        <f>Q38*S38</f>
        <v>13784.05</v>
      </c>
      <c r="U38" s="428"/>
      <c r="V38" s="429">
        <f>T38*20</f>
        <v>275681</v>
      </c>
      <c r="W38" s="429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1:40" ht="6.9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53"/>
      <c r="K39" s="153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ht="42" customHeight="1" x14ac:dyDescent="0.25">
      <c r="A40" s="432" t="s">
        <v>84</v>
      </c>
      <c r="B40" s="432"/>
      <c r="C40" s="427" t="s">
        <v>137</v>
      </c>
      <c r="D40" s="428"/>
      <c r="E40" s="429">
        <f>+'JACAREZINHO 12X36 DIURNO 2ºADOM'!C98</f>
        <v>12002.42</v>
      </c>
      <c r="F40" s="429"/>
      <c r="G40" s="137">
        <v>1</v>
      </c>
      <c r="H40" s="429">
        <f>E40*G40</f>
        <v>12002.42</v>
      </c>
      <c r="I40" s="429"/>
      <c r="J40" s="433">
        <f>H40*20</f>
        <v>240048.4</v>
      </c>
      <c r="K40" s="433"/>
      <c r="L40" s="134"/>
      <c r="M40" s="410" t="s">
        <v>98</v>
      </c>
      <c r="N40" s="410"/>
      <c r="O40" s="410" t="s">
        <v>137</v>
      </c>
      <c r="P40" s="410"/>
      <c r="Q40" s="414">
        <f>'JAGUARIAI 12X36 DIURNO 2º A DOM'!C98</f>
        <v>11747.14</v>
      </c>
      <c r="R40" s="415"/>
      <c r="S40" s="136">
        <v>1</v>
      </c>
      <c r="T40" s="414">
        <f>Q40*S40</f>
        <v>11747.14</v>
      </c>
      <c r="U40" s="415"/>
      <c r="V40" s="416">
        <f>T40*20</f>
        <v>234942.8</v>
      </c>
      <c r="W40" s="416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ht="6.95" customHeight="1" x14ac:dyDescent="0.25">
      <c r="A41" s="432"/>
      <c r="B41" s="432"/>
      <c r="C41" s="422"/>
      <c r="D41" s="422"/>
      <c r="E41" s="429"/>
      <c r="F41" s="429"/>
      <c r="G41" s="137"/>
      <c r="H41" s="429"/>
      <c r="I41" s="429"/>
      <c r="J41" s="433"/>
      <c r="K41" s="433"/>
      <c r="L41" s="134"/>
      <c r="M41" s="410"/>
      <c r="N41" s="410"/>
      <c r="O41" s="141"/>
      <c r="P41" s="141"/>
      <c r="Q41" s="140"/>
      <c r="R41" s="140"/>
      <c r="S41" s="140"/>
      <c r="T41" s="140"/>
      <c r="U41" s="140"/>
      <c r="V41" s="140"/>
      <c r="W41" s="140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ht="36" customHeight="1" x14ac:dyDescent="0.25">
      <c r="A42" s="432"/>
      <c r="B42" s="432"/>
      <c r="C42" s="427" t="s">
        <v>136</v>
      </c>
      <c r="D42" s="428"/>
      <c r="E42" s="429">
        <f>'JACAREZINHO 12X36 NOT 2ºADOM'!C99</f>
        <v>13928.76</v>
      </c>
      <c r="F42" s="429"/>
      <c r="G42" s="137">
        <v>1</v>
      </c>
      <c r="H42" s="429">
        <f>E42*G42</f>
        <v>13928.76</v>
      </c>
      <c r="I42" s="429"/>
      <c r="J42" s="433">
        <f>H42*20</f>
        <v>278575.2</v>
      </c>
      <c r="K42" s="433"/>
      <c r="L42" s="134"/>
      <c r="M42" s="410"/>
      <c r="N42" s="410"/>
      <c r="O42" s="417" t="s">
        <v>136</v>
      </c>
      <c r="P42" s="418"/>
      <c r="Q42" s="414">
        <f>'JAGUARIAI 12X36 NOTURN 2º A DOM'!C99</f>
        <v>13214.92</v>
      </c>
      <c r="R42" s="415"/>
      <c r="S42" s="136">
        <v>1</v>
      </c>
      <c r="T42" s="414">
        <f>Q42*S42</f>
        <v>13214.92</v>
      </c>
      <c r="U42" s="415"/>
      <c r="V42" s="416">
        <f>T42*20</f>
        <v>264298.40000000002</v>
      </c>
      <c r="W42" s="416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ht="6.9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53"/>
      <c r="K43" s="153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ht="42.75" customHeight="1" x14ac:dyDescent="0.25">
      <c r="A44" s="410" t="s">
        <v>85</v>
      </c>
      <c r="B44" s="411"/>
      <c r="C44" s="410" t="s">
        <v>139</v>
      </c>
      <c r="D44" s="410"/>
      <c r="E44" s="445">
        <f>+'LONDRINA 12X36 DIURNO 2º A DOM'!C98</f>
        <v>11907.86</v>
      </c>
      <c r="F44" s="415"/>
      <c r="G44" s="136">
        <v>1</v>
      </c>
      <c r="H44" s="414">
        <f>E44*G44</f>
        <v>11907.86</v>
      </c>
      <c r="I44" s="415"/>
      <c r="J44" s="431">
        <f>H44*20</f>
        <v>238157.2</v>
      </c>
      <c r="K44" s="431"/>
      <c r="L44" s="134"/>
      <c r="M44" s="422" t="s">
        <v>99</v>
      </c>
      <c r="N44" s="422"/>
      <c r="O44" s="427" t="s">
        <v>137</v>
      </c>
      <c r="P44" s="428"/>
      <c r="Q44" s="427">
        <f>'PINHAIS 12X36 DIURNO 2º A DOM'!C98</f>
        <v>11809.42</v>
      </c>
      <c r="R44" s="428"/>
      <c r="S44" s="137">
        <v>1</v>
      </c>
      <c r="T44" s="427">
        <f>Q44*S44</f>
        <v>11809.42</v>
      </c>
      <c r="U44" s="428"/>
      <c r="V44" s="429">
        <f>T44*20</f>
        <v>236188.4</v>
      </c>
      <c r="W44" s="429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ht="6.95" customHeight="1" x14ac:dyDescent="0.25">
      <c r="A45" s="410"/>
      <c r="B45" s="410"/>
      <c r="C45" s="141"/>
      <c r="D45" s="141"/>
      <c r="E45" s="140"/>
      <c r="F45" s="140"/>
      <c r="G45" s="140"/>
      <c r="H45" s="140"/>
      <c r="I45" s="140"/>
      <c r="J45" s="150"/>
      <c r="K45" s="150"/>
      <c r="L45" s="134"/>
      <c r="M45" s="422"/>
      <c r="N45" s="422"/>
      <c r="O45" s="142"/>
      <c r="P45" s="142"/>
      <c r="Q45" s="143"/>
      <c r="R45" s="143"/>
      <c r="S45" s="143"/>
      <c r="T45" s="143"/>
      <c r="U45" s="143"/>
      <c r="V45" s="143"/>
      <c r="W45" s="143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ht="36" customHeight="1" x14ac:dyDescent="0.25">
      <c r="A46" s="410"/>
      <c r="B46" s="410"/>
      <c r="C46" s="410" t="s">
        <v>136</v>
      </c>
      <c r="D46" s="410"/>
      <c r="E46" s="414">
        <f>+'LONDRINA 12X36 NOTURNO 2º A DOM'!C99</f>
        <v>13421.39</v>
      </c>
      <c r="F46" s="415"/>
      <c r="G46" s="136">
        <v>1</v>
      </c>
      <c r="H46" s="414">
        <f>E46*G46</f>
        <v>13421.39</v>
      </c>
      <c r="I46" s="415"/>
      <c r="J46" s="431">
        <f>H46*20</f>
        <v>268427.8</v>
      </c>
      <c r="K46" s="431"/>
      <c r="L46" s="134"/>
      <c r="M46" s="422"/>
      <c r="N46" s="422"/>
      <c r="O46" s="427" t="s">
        <v>136</v>
      </c>
      <c r="P46" s="428"/>
      <c r="Q46" s="427">
        <f>'PINHAIS 12X36 NOTURNO 2º A DOM'!C99</f>
        <v>13277.21</v>
      </c>
      <c r="R46" s="428"/>
      <c r="S46" s="137">
        <v>1</v>
      </c>
      <c r="T46" s="427">
        <f>Q46*S46</f>
        <v>13277.21</v>
      </c>
      <c r="U46" s="428"/>
      <c r="V46" s="429">
        <f>T46*20</f>
        <v>265544.19999999995</v>
      </c>
      <c r="W46" s="429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ht="6.9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53"/>
      <c r="K47" s="153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ht="36" customHeight="1" x14ac:dyDescent="0.25">
      <c r="A48" s="437" t="s">
        <v>86</v>
      </c>
      <c r="B48" s="438"/>
      <c r="C48" s="427" t="s">
        <v>139</v>
      </c>
      <c r="D48" s="428"/>
      <c r="E48" s="443">
        <f>+'PARANAGUA 12X36 DIURNO 2º A DOM'!C98</f>
        <v>11966.77</v>
      </c>
      <c r="F48" s="428"/>
      <c r="G48" s="137">
        <v>1</v>
      </c>
      <c r="H48" s="427">
        <f>E48*G48</f>
        <v>11966.77</v>
      </c>
      <c r="I48" s="428"/>
      <c r="J48" s="433">
        <f>H48*20</f>
        <v>239335.40000000002</v>
      </c>
      <c r="K48" s="433"/>
      <c r="L48" s="134"/>
      <c r="M48" s="410" t="s">
        <v>100</v>
      </c>
      <c r="N48" s="410"/>
      <c r="O48" s="410" t="s">
        <v>137</v>
      </c>
      <c r="P48" s="410"/>
      <c r="Q48" s="414">
        <f>+'PITANGA 12X36 DIURNO 2º A DOM'!C98</f>
        <v>11895.05</v>
      </c>
      <c r="R48" s="415"/>
      <c r="S48" s="136">
        <v>1</v>
      </c>
      <c r="T48" s="414">
        <f>Q48*S48</f>
        <v>11895.05</v>
      </c>
      <c r="U48" s="415"/>
      <c r="V48" s="416">
        <f>T48*20</f>
        <v>237901</v>
      </c>
      <c r="W48" s="416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6.95" customHeight="1" x14ac:dyDescent="0.25">
      <c r="A49" s="439"/>
      <c r="B49" s="440"/>
      <c r="C49" s="422"/>
      <c r="D49" s="422"/>
      <c r="E49" s="143"/>
      <c r="F49" s="143"/>
      <c r="G49" s="143"/>
      <c r="H49" s="143"/>
      <c r="I49" s="143"/>
      <c r="J49" s="152"/>
      <c r="K49" s="152"/>
      <c r="L49" s="134"/>
      <c r="M49" s="410"/>
      <c r="N49" s="410"/>
      <c r="O49" s="141"/>
      <c r="P49" s="141"/>
      <c r="Q49" s="140"/>
      <c r="R49" s="140"/>
      <c r="S49" s="140"/>
      <c r="T49" s="140"/>
      <c r="U49" s="140"/>
      <c r="V49" s="140"/>
      <c r="W49" s="140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ht="36" customHeight="1" x14ac:dyDescent="0.25">
      <c r="A50" s="441"/>
      <c r="B50" s="442"/>
      <c r="C50" s="427" t="s">
        <v>136</v>
      </c>
      <c r="D50" s="428"/>
      <c r="E50" s="427">
        <f>'PARANAGUA 12X36 NOTURNO 2ºADOM'!C99</f>
        <v>13569.25</v>
      </c>
      <c r="F50" s="428"/>
      <c r="G50" s="137">
        <v>2</v>
      </c>
      <c r="H50" s="427">
        <f>E50*G50</f>
        <v>27138.5</v>
      </c>
      <c r="I50" s="428"/>
      <c r="J50" s="433">
        <f>H50*20</f>
        <v>542770</v>
      </c>
      <c r="K50" s="433"/>
      <c r="L50" s="134"/>
      <c r="M50" s="410"/>
      <c r="N50" s="410"/>
      <c r="O50" s="417" t="s">
        <v>136</v>
      </c>
      <c r="P50" s="418"/>
      <c r="Q50" s="414">
        <f>+'PITANGA 12X36 NOTURNO 2º A DOM'!C99</f>
        <v>13381.31</v>
      </c>
      <c r="R50" s="415"/>
      <c r="S50" s="136">
        <v>1</v>
      </c>
      <c r="T50" s="414">
        <f>Q50*S50</f>
        <v>13381.31</v>
      </c>
      <c r="U50" s="415"/>
      <c r="V50" s="416">
        <f>T50*20</f>
        <v>267626.2</v>
      </c>
      <c r="W50" s="416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6.95" customHeight="1" x14ac:dyDescent="0.25">
      <c r="J51" s="154"/>
      <c r="K51" s="15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ht="36" customHeight="1" x14ac:dyDescent="0.25">
      <c r="A52" s="410" t="s">
        <v>87</v>
      </c>
      <c r="B52" s="410"/>
      <c r="C52" s="410" t="s">
        <v>136</v>
      </c>
      <c r="D52" s="410"/>
      <c r="E52" s="414">
        <f>'PARANAVAÍ 12X36 NOTURN 2º A DOM'!C99</f>
        <v>13577.01</v>
      </c>
      <c r="F52" s="415"/>
      <c r="G52" s="136">
        <v>1</v>
      </c>
      <c r="H52" s="414">
        <f>E52*G52</f>
        <v>13577.01</v>
      </c>
      <c r="I52" s="415"/>
      <c r="J52" s="431">
        <f>H52*20</f>
        <v>271540.2</v>
      </c>
      <c r="K52" s="431"/>
      <c r="L52" s="134"/>
      <c r="M52" s="437" t="s">
        <v>101</v>
      </c>
      <c r="N52" s="438"/>
      <c r="O52" s="423" t="s">
        <v>139</v>
      </c>
      <c r="P52" s="424"/>
      <c r="Q52" s="457">
        <f>+'UNIAO 12X36 DIURNO 2º A DOM'!C98</f>
        <v>11944.98</v>
      </c>
      <c r="R52" s="426"/>
      <c r="S52" s="316">
        <v>1</v>
      </c>
      <c r="T52" s="427">
        <f>Q52*S52</f>
        <v>11944.98</v>
      </c>
      <c r="U52" s="428"/>
      <c r="V52" s="427">
        <f>T52*20</f>
        <v>238899.59999999998</v>
      </c>
      <c r="W52" s="428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ht="6.95" customHeight="1" x14ac:dyDescent="0.25">
      <c r="A53" s="410"/>
      <c r="B53" s="410"/>
      <c r="C53" s="141"/>
      <c r="D53" s="141"/>
      <c r="E53" s="140"/>
      <c r="F53" s="140"/>
      <c r="G53" s="140"/>
      <c r="H53" s="140"/>
      <c r="I53" s="140"/>
      <c r="J53" s="150"/>
      <c r="K53" s="150"/>
      <c r="L53" s="134"/>
      <c r="M53" s="439"/>
      <c r="N53" s="440"/>
      <c r="O53" s="142"/>
      <c r="P53" s="142"/>
      <c r="Q53" s="143"/>
      <c r="R53" s="143"/>
      <c r="S53" s="143"/>
      <c r="T53" s="143"/>
      <c r="U53" s="143"/>
      <c r="V53" s="143"/>
      <c r="W53" s="143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ht="36" customHeight="1" x14ac:dyDescent="0.25">
      <c r="A54" s="410"/>
      <c r="B54" s="410"/>
      <c r="C54" s="417" t="s">
        <v>140</v>
      </c>
      <c r="D54" s="418"/>
      <c r="E54" s="414">
        <f>+'PARANAVAI 44H SEMANAIS '!C97</f>
        <v>6003.91</v>
      </c>
      <c r="F54" s="415"/>
      <c r="G54" s="136">
        <v>1</v>
      </c>
      <c r="H54" s="414">
        <f>E54*G54</f>
        <v>6003.91</v>
      </c>
      <c r="I54" s="415"/>
      <c r="J54" s="431">
        <f>H54*20</f>
        <v>120078.2</v>
      </c>
      <c r="K54" s="431"/>
      <c r="L54" s="134"/>
      <c r="M54" s="441"/>
      <c r="N54" s="442"/>
      <c r="O54" s="423" t="s">
        <v>136</v>
      </c>
      <c r="P54" s="424"/>
      <c r="Q54" s="427">
        <f>+'UNIAO 12X36 NOTURNO 2º A DOM'!C99</f>
        <v>13965.18</v>
      </c>
      <c r="R54" s="428"/>
      <c r="S54" s="316">
        <v>1</v>
      </c>
      <c r="T54" s="427">
        <f>Q54*S54</f>
        <v>13965.18</v>
      </c>
      <c r="U54" s="428"/>
      <c r="V54" s="427">
        <f>T54*20</f>
        <v>279303.59999999998</v>
      </c>
      <c r="W54" s="428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ht="6.95" customHeight="1" x14ac:dyDescent="0.25">
      <c r="J55" s="154"/>
      <c r="K55" s="15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41.25" customHeight="1" x14ac:dyDescent="0.25">
      <c r="A56" s="422" t="s">
        <v>88</v>
      </c>
      <c r="B56" s="422"/>
      <c r="C56" s="427" t="s">
        <v>137</v>
      </c>
      <c r="D56" s="428"/>
      <c r="E56" s="427">
        <f>'TELEMACO 12X36 DIURNO 2º A DOM'!C98</f>
        <v>11970.41</v>
      </c>
      <c r="F56" s="428"/>
      <c r="G56" s="137">
        <v>1</v>
      </c>
      <c r="H56" s="427">
        <f>E56*G56</f>
        <v>11970.41</v>
      </c>
      <c r="I56" s="428"/>
      <c r="J56" s="433">
        <f>H56*20</f>
        <v>239408.2</v>
      </c>
      <c r="K56" s="433"/>
      <c r="L56" s="134"/>
      <c r="M56" s="410" t="s">
        <v>333</v>
      </c>
      <c r="N56" s="411"/>
      <c r="O56" s="410" t="s">
        <v>137</v>
      </c>
      <c r="P56" s="410"/>
      <c r="Q56" s="412">
        <f>'ASTORGA 12X36 DIURNO '!C98</f>
        <v>11648.02</v>
      </c>
      <c r="R56" s="413"/>
      <c r="S56" s="312">
        <v>1</v>
      </c>
      <c r="T56" s="414">
        <f>Q56*S56</f>
        <v>11648.02</v>
      </c>
      <c r="U56" s="415"/>
      <c r="V56" s="416">
        <f>T56*20</f>
        <v>232960.40000000002</v>
      </c>
      <c r="W56" s="416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ht="6.95" customHeight="1" x14ac:dyDescent="0.25">
      <c r="A57" s="422"/>
      <c r="B57" s="422"/>
      <c r="C57" s="422"/>
      <c r="D57" s="422"/>
      <c r="E57" s="143"/>
      <c r="F57" s="143"/>
      <c r="G57" s="143"/>
      <c r="H57" s="143"/>
      <c r="I57" s="143"/>
      <c r="J57" s="152"/>
      <c r="K57" s="152"/>
      <c r="L57" s="134"/>
      <c r="M57" s="410"/>
      <c r="N57" s="410"/>
      <c r="O57" s="141"/>
      <c r="P57" s="141"/>
      <c r="Q57" s="140"/>
      <c r="R57" s="140"/>
      <c r="S57" s="140"/>
      <c r="T57" s="140"/>
      <c r="U57" s="140"/>
      <c r="V57" s="140"/>
      <c r="W57" s="140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36" customHeight="1" x14ac:dyDescent="0.25">
      <c r="A58" s="422"/>
      <c r="B58" s="422"/>
      <c r="C58" s="427" t="s">
        <v>136</v>
      </c>
      <c r="D58" s="428"/>
      <c r="E58" s="427">
        <f>'TELEMACO 12X36 NOTURNO 2º A DOM'!C99</f>
        <v>13466.09</v>
      </c>
      <c r="F58" s="428"/>
      <c r="G58" s="137">
        <v>1</v>
      </c>
      <c r="H58" s="427">
        <f>E58*G58</f>
        <v>13466.09</v>
      </c>
      <c r="I58" s="428"/>
      <c r="J58" s="433">
        <f>H58*20</f>
        <v>269321.8</v>
      </c>
      <c r="K58" s="433"/>
      <c r="L58" s="134"/>
      <c r="M58" s="410"/>
      <c r="N58" s="410"/>
      <c r="O58" s="417" t="s">
        <v>136</v>
      </c>
      <c r="P58" s="418"/>
      <c r="Q58" s="414">
        <f>'ASTORGA 12X36 NOTURNO 2º A (2'!C99</f>
        <v>13381.31</v>
      </c>
      <c r="R58" s="415"/>
      <c r="S58" s="312">
        <v>1</v>
      </c>
      <c r="T58" s="414">
        <f>Q58*S58</f>
        <v>13381.31</v>
      </c>
      <c r="U58" s="415"/>
      <c r="V58" s="416">
        <f>T58*20</f>
        <v>267626.2</v>
      </c>
      <c r="W58" s="416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ht="6.95" customHeight="1" x14ac:dyDescent="0.25">
      <c r="J59" s="154"/>
      <c r="K59" s="15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ht="27" customHeight="1" x14ac:dyDescent="0.25">
      <c r="A60" s="410" t="s">
        <v>89</v>
      </c>
      <c r="B60" s="410"/>
      <c r="C60" s="410" t="s">
        <v>137</v>
      </c>
      <c r="D60" s="410"/>
      <c r="E60" s="414">
        <f>+'UMUARAMA 12X36 DIURNO 2º A DOM'!C98</f>
        <v>12004.19</v>
      </c>
      <c r="F60" s="415"/>
      <c r="G60" s="136">
        <v>1</v>
      </c>
      <c r="H60" s="414">
        <f>E60*G60</f>
        <v>12004.19</v>
      </c>
      <c r="I60" s="415"/>
      <c r="J60" s="431">
        <f>H60*20</f>
        <v>240083.80000000002</v>
      </c>
      <c r="K60" s="431"/>
      <c r="L60" s="134"/>
      <c r="M60" s="422" t="s">
        <v>334</v>
      </c>
      <c r="N60" s="423"/>
      <c r="O60" s="423" t="s">
        <v>123</v>
      </c>
      <c r="P60" s="424"/>
      <c r="Q60" s="425">
        <f>'QUEDAS SDF 24 24HORAS (2)'!C99</f>
        <v>4179.8900000000003</v>
      </c>
      <c r="R60" s="426"/>
      <c r="S60" s="316">
        <v>1</v>
      </c>
      <c r="T60" s="427">
        <f>Q60*S60</f>
        <v>4179.8900000000003</v>
      </c>
      <c r="U60" s="428"/>
      <c r="V60" s="429">
        <f>T60*20</f>
        <v>83597.8</v>
      </c>
      <c r="W60" s="429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6.95" customHeight="1" x14ac:dyDescent="0.25">
      <c r="A61" s="410"/>
      <c r="B61" s="410"/>
      <c r="C61" s="141"/>
      <c r="D61" s="141"/>
      <c r="E61" s="140"/>
      <c r="F61" s="140"/>
      <c r="G61" s="140"/>
      <c r="H61" s="140"/>
      <c r="I61" s="140"/>
      <c r="J61" s="150"/>
      <c r="K61" s="150"/>
      <c r="L61" s="134"/>
      <c r="M61" s="422"/>
      <c r="N61" s="422"/>
      <c r="O61" s="142"/>
      <c r="P61" s="142"/>
      <c r="Q61" s="143"/>
      <c r="R61" s="143"/>
      <c r="S61" s="143"/>
      <c r="T61" s="143"/>
      <c r="U61" s="143"/>
      <c r="V61" s="143"/>
      <c r="W61" s="143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36" customHeight="1" x14ac:dyDescent="0.25">
      <c r="A62" s="410"/>
      <c r="B62" s="410"/>
      <c r="C62" s="410" t="s">
        <v>136</v>
      </c>
      <c r="D62" s="410"/>
      <c r="E62" s="414">
        <f>'UMUARAMA 12X36 NOTURNO 2º A DOM'!C99</f>
        <v>13930.59</v>
      </c>
      <c r="F62" s="415"/>
      <c r="G62" s="136">
        <v>1</v>
      </c>
      <c r="H62" s="414">
        <f>E62*G62</f>
        <v>13930.59</v>
      </c>
      <c r="I62" s="415"/>
      <c r="J62" s="431">
        <f>H62*20</f>
        <v>278611.8</v>
      </c>
      <c r="K62" s="431"/>
      <c r="L62" s="134"/>
      <c r="M62" s="422"/>
      <c r="N62" s="422"/>
      <c r="O62" s="430" t="s">
        <v>136</v>
      </c>
      <c r="P62" s="424"/>
      <c r="Q62" s="427">
        <f>'QUEDAS 12X36 NOTURNO 2º A (2'!C99</f>
        <v>13941.85</v>
      </c>
      <c r="R62" s="428"/>
      <c r="S62" s="316">
        <v>1</v>
      </c>
      <c r="T62" s="427">
        <f>Q62*S62</f>
        <v>13941.85</v>
      </c>
      <c r="U62" s="428"/>
      <c r="V62" s="429">
        <f>T62*20</f>
        <v>278837</v>
      </c>
      <c r="W62" s="429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ht="6.95" customHeight="1" thickBot="1" x14ac:dyDescent="0.3">
      <c r="A63" s="134"/>
      <c r="B63" s="134"/>
      <c r="C63" s="134"/>
      <c r="D63" s="134"/>
      <c r="E63" s="134"/>
      <c r="F63" s="134"/>
      <c r="G63" s="134"/>
      <c r="H63" s="134"/>
      <c r="I63" s="134"/>
      <c r="J63" s="151"/>
      <c r="K63" s="151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ht="27" customHeight="1" thickBot="1" x14ac:dyDescent="0.3">
      <c r="A64" s="134"/>
      <c r="B64" s="134"/>
      <c r="C64" s="134"/>
      <c r="D64" s="134"/>
      <c r="E64" s="134"/>
      <c r="F64" s="134"/>
      <c r="G64" s="134"/>
      <c r="H64" s="419">
        <f>SUM(H4:H63)</f>
        <v>389714.74000000005</v>
      </c>
      <c r="I64" s="456"/>
      <c r="J64" s="419">
        <f>SUM(J4:J63)</f>
        <v>7794294.8000000007</v>
      </c>
      <c r="K64" s="456"/>
      <c r="L64" s="134"/>
      <c r="M64" s="397" t="s">
        <v>85</v>
      </c>
      <c r="N64" s="398"/>
      <c r="O64" s="403" t="s">
        <v>140</v>
      </c>
      <c r="P64" s="404"/>
      <c r="Q64" s="409">
        <f>+'Londrina 44H SEMANAIS '!C97</f>
        <v>6010.9</v>
      </c>
      <c r="R64" s="409"/>
      <c r="S64" s="397">
        <v>2</v>
      </c>
      <c r="T64" s="409">
        <f>Q64*S64</f>
        <v>12021.8</v>
      </c>
      <c r="U64" s="409"/>
      <c r="V64" s="409">
        <f>T64*20</f>
        <v>240436</v>
      </c>
      <c r="W64" s="409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ht="6.95" customHeight="1" x14ac:dyDescent="0.25">
      <c r="A65" s="134"/>
      <c r="B65" s="134"/>
      <c r="C65" s="134"/>
      <c r="D65" s="134"/>
      <c r="E65" s="134"/>
      <c r="F65" s="134"/>
      <c r="G65" s="134"/>
      <c r="L65" s="134"/>
      <c r="M65" s="397"/>
      <c r="N65" s="397"/>
      <c r="O65" s="405"/>
      <c r="P65" s="406"/>
      <c r="Q65" s="409"/>
      <c r="R65" s="409"/>
      <c r="S65" s="397"/>
      <c r="T65" s="409"/>
      <c r="U65" s="409"/>
      <c r="V65" s="409"/>
      <c r="W65" s="409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ht="27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397"/>
      <c r="N66" s="397"/>
      <c r="O66" s="407"/>
      <c r="P66" s="408"/>
      <c r="Q66" s="409"/>
      <c r="R66" s="409"/>
      <c r="S66" s="397"/>
      <c r="T66" s="409"/>
      <c r="U66" s="409"/>
      <c r="V66" s="409"/>
      <c r="W66" s="409"/>
      <c r="X66" s="134"/>
      <c r="Y66" s="267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40" ht="6.95" customHeight="1" x14ac:dyDescent="0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320"/>
      <c r="N67" s="320"/>
      <c r="O67" s="320"/>
      <c r="P67" s="320"/>
      <c r="Q67" s="321"/>
      <c r="R67" s="321"/>
      <c r="S67" s="320"/>
      <c r="T67" s="321"/>
      <c r="U67" s="321"/>
      <c r="V67" s="322"/>
      <c r="W67" s="322"/>
      <c r="X67" s="134"/>
      <c r="Y67" s="267"/>
      <c r="Z67" s="134"/>
      <c r="AA67" s="134"/>
      <c r="AB67" s="134"/>
      <c r="AC67" s="134"/>
      <c r="AD67" s="134"/>
      <c r="AE67" s="134"/>
      <c r="AF67" s="134"/>
      <c r="AG67" s="134"/>
    </row>
    <row r="68" spans="1:40" ht="27" customHeight="1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397" t="s">
        <v>93</v>
      </c>
      <c r="N68" s="398"/>
      <c r="O68" s="397" t="s">
        <v>139</v>
      </c>
      <c r="P68" s="397"/>
      <c r="Q68" s="399">
        <f>'BARRACAO 12X36 DIURNO 2º A  (2'!C98</f>
        <v>11799.01</v>
      </c>
      <c r="R68" s="400"/>
      <c r="S68" s="327">
        <v>1</v>
      </c>
      <c r="T68" s="401">
        <f>Q68*S68</f>
        <v>11799.01</v>
      </c>
      <c r="U68" s="400"/>
      <c r="V68" s="402">
        <f>T68*20</f>
        <v>235980.2</v>
      </c>
      <c r="W68" s="402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</row>
    <row r="69" spans="1:40" ht="5.25" customHeight="1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397"/>
      <c r="N69" s="397"/>
      <c r="O69" s="135"/>
      <c r="P69" s="135"/>
      <c r="Q69" s="51"/>
      <c r="R69" s="51"/>
      <c r="S69" s="51"/>
      <c r="T69" s="51"/>
      <c r="U69" s="51"/>
      <c r="V69" s="151"/>
      <c r="W69" s="151"/>
      <c r="X69" s="134"/>
      <c r="Y69" s="134"/>
      <c r="Z69" s="134"/>
      <c r="AA69" s="134"/>
      <c r="AB69" s="134"/>
      <c r="AC69" s="267"/>
      <c r="AD69" s="267"/>
      <c r="AE69" s="267"/>
      <c r="AF69" s="267"/>
      <c r="AG69" s="267"/>
    </row>
    <row r="70" spans="1:40" ht="27" customHeight="1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397"/>
      <c r="N70" s="397"/>
      <c r="O70" s="397" t="s">
        <v>136</v>
      </c>
      <c r="P70" s="397"/>
      <c r="Q70" s="401">
        <f>'BARRACAO 12X36 NOTURNO 2º A (2'!C99</f>
        <v>13381.31</v>
      </c>
      <c r="R70" s="400"/>
      <c r="S70" s="327">
        <v>1</v>
      </c>
      <c r="T70" s="401">
        <f>Q70*S70</f>
        <v>13381.31</v>
      </c>
      <c r="U70" s="400"/>
      <c r="V70" s="402">
        <f>T70*20</f>
        <v>267626.2</v>
      </c>
      <c r="W70" s="402"/>
      <c r="X70" s="134"/>
      <c r="Y70" s="267"/>
      <c r="Z70" s="134"/>
      <c r="AA70" s="134"/>
      <c r="AB70" s="134"/>
      <c r="AC70" s="267"/>
      <c r="AD70" s="267"/>
      <c r="AE70" s="267"/>
      <c r="AF70" s="267"/>
      <c r="AG70" s="267"/>
    </row>
    <row r="71" spans="1:40" ht="3.75" customHeight="1" thickBot="1" x14ac:dyDescent="0.3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320"/>
      <c r="N71" s="320"/>
      <c r="O71" s="320"/>
      <c r="P71" s="320"/>
      <c r="Q71" s="321"/>
      <c r="R71" s="321"/>
      <c r="S71" s="320"/>
      <c r="T71" s="321"/>
      <c r="U71" s="321"/>
      <c r="V71" s="322"/>
      <c r="W71" s="322"/>
      <c r="X71" s="134"/>
      <c r="Y71" s="134"/>
      <c r="Z71" s="134"/>
      <c r="AA71" s="134"/>
      <c r="AB71" s="134"/>
      <c r="AC71" s="267"/>
      <c r="AD71" s="267"/>
      <c r="AE71" s="267"/>
      <c r="AF71" s="267"/>
      <c r="AG71" s="267"/>
    </row>
    <row r="72" spans="1:40" ht="27" customHeight="1" thickBot="1" x14ac:dyDescent="0.3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320"/>
      <c r="N72" s="320"/>
      <c r="O72" s="320"/>
      <c r="P72" s="320"/>
      <c r="Q72" s="321"/>
      <c r="R72" s="321"/>
      <c r="S72" s="320"/>
      <c r="T72" s="419">
        <f>SUM(T4:T70)</f>
        <v>387859.27</v>
      </c>
      <c r="U72" s="420"/>
      <c r="V72" s="419">
        <f>SUM(V4:V71)</f>
        <v>7757185.4000000013</v>
      </c>
      <c r="W72" s="421"/>
      <c r="X72" s="134"/>
      <c r="Y72" s="267"/>
      <c r="Z72" s="134"/>
      <c r="AA72" s="134"/>
      <c r="AB72" s="134"/>
      <c r="AC72" s="267"/>
      <c r="AD72" s="267"/>
      <c r="AE72" s="267"/>
      <c r="AF72" s="267"/>
      <c r="AG72" s="267"/>
    </row>
    <row r="73" spans="1:40" x14ac:dyDescent="0.2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267"/>
      <c r="AD73" s="267"/>
      <c r="AE73" s="267"/>
      <c r="AF73" s="267"/>
      <c r="AG73" s="267"/>
    </row>
    <row r="74" spans="1:40" x14ac:dyDescent="0.25">
      <c r="L74" s="134"/>
      <c r="M74" s="134"/>
      <c r="N74" s="134"/>
      <c r="O74" s="134"/>
      <c r="P74" s="134"/>
      <c r="Q74" s="134"/>
      <c r="R74" s="134"/>
      <c r="S74" s="134"/>
      <c r="X74" s="134"/>
      <c r="Y74" s="134"/>
      <c r="Z74" s="134"/>
      <c r="AA74" s="134"/>
      <c r="AB74" s="134"/>
      <c r="AC74" s="267"/>
      <c r="AD74" s="267"/>
      <c r="AE74" s="267"/>
      <c r="AF74" s="267"/>
      <c r="AG74" s="267"/>
    </row>
    <row r="75" spans="1:40" x14ac:dyDescent="0.25"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267"/>
      <c r="AD75" s="267"/>
      <c r="AE75" s="267"/>
      <c r="AF75" s="267"/>
      <c r="AG75" s="267"/>
    </row>
    <row r="76" spans="1:40" x14ac:dyDescent="0.25"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267"/>
      <c r="AD76" s="267"/>
      <c r="AE76" s="267"/>
      <c r="AF76" s="267"/>
      <c r="AG76" s="267"/>
    </row>
    <row r="77" spans="1:40" x14ac:dyDescent="0.25"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Y77" s="134"/>
      <c r="Z77" s="134"/>
      <c r="AA77" s="134"/>
      <c r="AB77" s="134"/>
      <c r="AC77" s="267"/>
      <c r="AD77" s="267"/>
      <c r="AE77" s="267"/>
      <c r="AF77" s="267"/>
      <c r="AG77" s="267"/>
    </row>
    <row r="78" spans="1:40" x14ac:dyDescent="0.25"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Y78" s="134"/>
      <c r="Z78" s="134"/>
      <c r="AA78" s="134"/>
      <c r="AB78" s="134"/>
      <c r="AC78" s="267"/>
      <c r="AD78" s="267"/>
      <c r="AE78" s="267"/>
      <c r="AF78" s="267"/>
      <c r="AG78" s="267"/>
    </row>
    <row r="79" spans="1:40" x14ac:dyDescent="0.25"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</row>
    <row r="80" spans="1:40" x14ac:dyDescent="0.25"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</sheetData>
  <mergeCells count="367">
    <mergeCell ref="T52:U52"/>
    <mergeCell ref="V52:W52"/>
    <mergeCell ref="O54:P54"/>
    <mergeCell ref="Q22:R22"/>
    <mergeCell ref="O21:P21"/>
    <mergeCell ref="Q21:R21"/>
    <mergeCell ref="T21:U21"/>
    <mergeCell ref="V21:W21"/>
    <mergeCell ref="Y4:AB4"/>
    <mergeCell ref="Y6:AB6"/>
    <mergeCell ref="T20:U20"/>
    <mergeCell ref="V20:W20"/>
    <mergeCell ref="T18:U18"/>
    <mergeCell ref="O26:P26"/>
    <mergeCell ref="Q26:R26"/>
    <mergeCell ref="T26:U26"/>
    <mergeCell ref="V26:W26"/>
    <mergeCell ref="O23:P23"/>
    <mergeCell ref="Q23:R23"/>
    <mergeCell ref="T22:U22"/>
    <mergeCell ref="V22:W22"/>
    <mergeCell ref="O24:P24"/>
    <mergeCell ref="Q24:R24"/>
    <mergeCell ref="T24:U24"/>
    <mergeCell ref="AD4:AG4"/>
    <mergeCell ref="AD6:AG6"/>
    <mergeCell ref="H64:I64"/>
    <mergeCell ref="J64:K64"/>
    <mergeCell ref="Q54:R54"/>
    <mergeCell ref="T54:U54"/>
    <mergeCell ref="V54:W54"/>
    <mergeCell ref="O50:P50"/>
    <mergeCell ref="Q50:R50"/>
    <mergeCell ref="T50:U50"/>
    <mergeCell ref="V50:W50"/>
    <mergeCell ref="O32:P32"/>
    <mergeCell ref="Q32:R32"/>
    <mergeCell ref="T32:U32"/>
    <mergeCell ref="V32:W32"/>
    <mergeCell ref="M52:N54"/>
    <mergeCell ref="O52:P52"/>
    <mergeCell ref="Q52:R52"/>
    <mergeCell ref="O16:P16"/>
    <mergeCell ref="Q16:R16"/>
    <mergeCell ref="T16:U16"/>
    <mergeCell ref="V16:W16"/>
    <mergeCell ref="O18:P18"/>
    <mergeCell ref="Q20:R20"/>
    <mergeCell ref="M36:N38"/>
    <mergeCell ref="O36:P36"/>
    <mergeCell ref="Q36:R36"/>
    <mergeCell ref="T36:U36"/>
    <mergeCell ref="V36:W36"/>
    <mergeCell ref="O38:P38"/>
    <mergeCell ref="M14:N16"/>
    <mergeCell ref="M12:N12"/>
    <mergeCell ref="O12:P12"/>
    <mergeCell ref="Q12:R12"/>
    <mergeCell ref="T12:U12"/>
    <mergeCell ref="V12:W12"/>
    <mergeCell ref="T14:U14"/>
    <mergeCell ref="V14:W14"/>
    <mergeCell ref="O14:P14"/>
    <mergeCell ref="Q14:R14"/>
    <mergeCell ref="O28:P28"/>
    <mergeCell ref="Q28:R28"/>
    <mergeCell ref="T28:U28"/>
    <mergeCell ref="V28:W28"/>
    <mergeCell ref="O30:P30"/>
    <mergeCell ref="Q30:R30"/>
    <mergeCell ref="T30:U30"/>
    <mergeCell ref="Q25:R25"/>
    <mergeCell ref="M44:N46"/>
    <mergeCell ref="O44:P44"/>
    <mergeCell ref="Q44:R44"/>
    <mergeCell ref="T44:U44"/>
    <mergeCell ref="M40:N42"/>
    <mergeCell ref="O40:P40"/>
    <mergeCell ref="Q40:R40"/>
    <mergeCell ref="T40:U40"/>
    <mergeCell ref="V40:W40"/>
    <mergeCell ref="V44:W44"/>
    <mergeCell ref="O46:P46"/>
    <mergeCell ref="Q46:R46"/>
    <mergeCell ref="T46:U46"/>
    <mergeCell ref="V46:W46"/>
    <mergeCell ref="T25:U25"/>
    <mergeCell ref="V25:W25"/>
    <mergeCell ref="T23:U23"/>
    <mergeCell ref="V23:W23"/>
    <mergeCell ref="Q18:R18"/>
    <mergeCell ref="V30:W30"/>
    <mergeCell ref="O22:P22"/>
    <mergeCell ref="O42:P42"/>
    <mergeCell ref="Q42:R42"/>
    <mergeCell ref="T42:U42"/>
    <mergeCell ref="V42:W42"/>
    <mergeCell ref="Q38:R38"/>
    <mergeCell ref="T38:U38"/>
    <mergeCell ref="V38:W38"/>
    <mergeCell ref="V24:W24"/>
    <mergeCell ref="M48:N50"/>
    <mergeCell ref="O48:P48"/>
    <mergeCell ref="Q48:R48"/>
    <mergeCell ref="T48:U48"/>
    <mergeCell ref="V48:W48"/>
    <mergeCell ref="V8:W8"/>
    <mergeCell ref="O10:P10"/>
    <mergeCell ref="Q10:R10"/>
    <mergeCell ref="T10:U10"/>
    <mergeCell ref="V10:W10"/>
    <mergeCell ref="O20:P20"/>
    <mergeCell ref="M26:N28"/>
    <mergeCell ref="O34:P34"/>
    <mergeCell ref="Q34:R34"/>
    <mergeCell ref="T34:U34"/>
    <mergeCell ref="V34:W34"/>
    <mergeCell ref="M30:N34"/>
    <mergeCell ref="M18:N24"/>
    <mergeCell ref="O19:P19"/>
    <mergeCell ref="Q19:R19"/>
    <mergeCell ref="T19:U19"/>
    <mergeCell ref="V19:W19"/>
    <mergeCell ref="V18:W18"/>
    <mergeCell ref="O25:P25"/>
    <mergeCell ref="A2:B2"/>
    <mergeCell ref="C2:D2"/>
    <mergeCell ref="E2:F2"/>
    <mergeCell ref="H2:I2"/>
    <mergeCell ref="J2:K2"/>
    <mergeCell ref="J10:K10"/>
    <mergeCell ref="J8:K8"/>
    <mergeCell ref="A8:B10"/>
    <mergeCell ref="A1:G1"/>
    <mergeCell ref="C4:D4"/>
    <mergeCell ref="E4:F4"/>
    <mergeCell ref="H4:I4"/>
    <mergeCell ref="J4:K4"/>
    <mergeCell ref="C6:D6"/>
    <mergeCell ref="A4:B6"/>
    <mergeCell ref="O4:P4"/>
    <mergeCell ref="Q4:R4"/>
    <mergeCell ref="T4:U4"/>
    <mergeCell ref="V4:W4"/>
    <mergeCell ref="O6:P6"/>
    <mergeCell ref="Q6:R6"/>
    <mergeCell ref="T6:U6"/>
    <mergeCell ref="V6:W6"/>
    <mergeCell ref="O2:P2"/>
    <mergeCell ref="Q2:R2"/>
    <mergeCell ref="T2:U2"/>
    <mergeCell ref="V2:W2"/>
    <mergeCell ref="M2:N2"/>
    <mergeCell ref="M4:N10"/>
    <mergeCell ref="O8:P8"/>
    <mergeCell ref="Q8:R8"/>
    <mergeCell ref="T8:U8"/>
    <mergeCell ref="C52:D52"/>
    <mergeCell ref="E52:F52"/>
    <mergeCell ref="H52:I52"/>
    <mergeCell ref="J52:K52"/>
    <mergeCell ref="C44:D44"/>
    <mergeCell ref="E44:F44"/>
    <mergeCell ref="H44:I44"/>
    <mergeCell ref="J44:K44"/>
    <mergeCell ref="C46:D46"/>
    <mergeCell ref="E46:F46"/>
    <mergeCell ref="H46:I46"/>
    <mergeCell ref="J46:K46"/>
    <mergeCell ref="C23:D23"/>
    <mergeCell ref="E23:F23"/>
    <mergeCell ref="H23:I23"/>
    <mergeCell ref="J23:K23"/>
    <mergeCell ref="J22:K22"/>
    <mergeCell ref="H18:I18"/>
    <mergeCell ref="J18:K18"/>
    <mergeCell ref="C54:D54"/>
    <mergeCell ref="E54:F54"/>
    <mergeCell ref="H54:I54"/>
    <mergeCell ref="J54:K54"/>
    <mergeCell ref="C60:D60"/>
    <mergeCell ref="E60:F60"/>
    <mergeCell ref="H60:I60"/>
    <mergeCell ref="J60:K60"/>
    <mergeCell ref="C57:D57"/>
    <mergeCell ref="C62:D62"/>
    <mergeCell ref="E62:F62"/>
    <mergeCell ref="H62:I62"/>
    <mergeCell ref="J62:K62"/>
    <mergeCell ref="A56:B58"/>
    <mergeCell ref="C56:D56"/>
    <mergeCell ref="E56:F56"/>
    <mergeCell ref="H56:I56"/>
    <mergeCell ref="J56:K56"/>
    <mergeCell ref="C58:D58"/>
    <mergeCell ref="E58:F58"/>
    <mergeCell ref="H58:I58"/>
    <mergeCell ref="J58:K58"/>
    <mergeCell ref="A60:B62"/>
    <mergeCell ref="A48:B50"/>
    <mergeCell ref="C48:D48"/>
    <mergeCell ref="E48:F48"/>
    <mergeCell ref="H48:I48"/>
    <mergeCell ref="J48:K48"/>
    <mergeCell ref="C50:D50"/>
    <mergeCell ref="E50:F50"/>
    <mergeCell ref="H50:I50"/>
    <mergeCell ref="J50:K50"/>
    <mergeCell ref="C49:D49"/>
    <mergeCell ref="H26:I26"/>
    <mergeCell ref="J26:K26"/>
    <mergeCell ref="C28:D28"/>
    <mergeCell ref="E28:F28"/>
    <mergeCell ref="H28:I28"/>
    <mergeCell ref="J28:K28"/>
    <mergeCell ref="H27:I27"/>
    <mergeCell ref="J27:K27"/>
    <mergeCell ref="C32:D32"/>
    <mergeCell ref="A40:B42"/>
    <mergeCell ref="C40:D40"/>
    <mergeCell ref="E40:F40"/>
    <mergeCell ref="H40:I40"/>
    <mergeCell ref="J40:K40"/>
    <mergeCell ref="C42:D42"/>
    <mergeCell ref="E42:F42"/>
    <mergeCell ref="H42:I42"/>
    <mergeCell ref="J42:K42"/>
    <mergeCell ref="C41:D41"/>
    <mergeCell ref="E41:F41"/>
    <mergeCell ref="H41:I41"/>
    <mergeCell ref="J41:K41"/>
    <mergeCell ref="C36:D36"/>
    <mergeCell ref="E36:F36"/>
    <mergeCell ref="H36:I36"/>
    <mergeCell ref="J36:K36"/>
    <mergeCell ref="C38:D38"/>
    <mergeCell ref="E38:F38"/>
    <mergeCell ref="H38:I38"/>
    <mergeCell ref="J38:K38"/>
    <mergeCell ref="E30:F30"/>
    <mergeCell ref="H30:I30"/>
    <mergeCell ref="J30:K30"/>
    <mergeCell ref="C34:D34"/>
    <mergeCell ref="E34:F34"/>
    <mergeCell ref="C33:D33"/>
    <mergeCell ref="E33:F33"/>
    <mergeCell ref="H33:I33"/>
    <mergeCell ref="J33:K33"/>
    <mergeCell ref="H34:I34"/>
    <mergeCell ref="E32:F32"/>
    <mergeCell ref="H32:I32"/>
    <mergeCell ref="J32:K32"/>
    <mergeCell ref="A24:B30"/>
    <mergeCell ref="C25:D25"/>
    <mergeCell ref="E25:F25"/>
    <mergeCell ref="H25:I25"/>
    <mergeCell ref="J25:K25"/>
    <mergeCell ref="C27:D27"/>
    <mergeCell ref="E27:F27"/>
    <mergeCell ref="A32:B34"/>
    <mergeCell ref="C29:D29"/>
    <mergeCell ref="E29:F29"/>
    <mergeCell ref="H29:I29"/>
    <mergeCell ref="J29:K29"/>
    <mergeCell ref="C31:D31"/>
    <mergeCell ref="E31:F31"/>
    <mergeCell ref="H31:I31"/>
    <mergeCell ref="J31:K31"/>
    <mergeCell ref="C30:D30"/>
    <mergeCell ref="J34:K34"/>
    <mergeCell ref="C24:D24"/>
    <mergeCell ref="E24:F24"/>
    <mergeCell ref="H24:I24"/>
    <mergeCell ref="J24:K24"/>
    <mergeCell ref="C26:D26"/>
    <mergeCell ref="E26:F26"/>
    <mergeCell ref="E22:F22"/>
    <mergeCell ref="H22:I22"/>
    <mergeCell ref="J21:K21"/>
    <mergeCell ref="H21:I21"/>
    <mergeCell ref="E21:F21"/>
    <mergeCell ref="Y12:AB12"/>
    <mergeCell ref="A36:B38"/>
    <mergeCell ref="C16:D16"/>
    <mergeCell ref="E16:F16"/>
    <mergeCell ref="H16:I16"/>
    <mergeCell ref="J16:K16"/>
    <mergeCell ref="C18:D18"/>
    <mergeCell ref="E18:F18"/>
    <mergeCell ref="E20:F20"/>
    <mergeCell ref="H20:I20"/>
    <mergeCell ref="J20:K20"/>
    <mergeCell ref="C20:D20"/>
    <mergeCell ref="E17:F17"/>
    <mergeCell ref="H17:I17"/>
    <mergeCell ref="J17:K17"/>
    <mergeCell ref="C19:D19"/>
    <mergeCell ref="E19:F19"/>
    <mergeCell ref="H19:I19"/>
    <mergeCell ref="J19:K19"/>
    <mergeCell ref="A44:B46"/>
    <mergeCell ref="A52:B54"/>
    <mergeCell ref="E6:F6"/>
    <mergeCell ref="H6:I6"/>
    <mergeCell ref="J6:K6"/>
    <mergeCell ref="H10:I10"/>
    <mergeCell ref="C10:D10"/>
    <mergeCell ref="E10:F10"/>
    <mergeCell ref="C8:D8"/>
    <mergeCell ref="E8:F8"/>
    <mergeCell ref="H8:I8"/>
    <mergeCell ref="A12:B14"/>
    <mergeCell ref="C12:D12"/>
    <mergeCell ref="E12:F12"/>
    <mergeCell ref="H12:I12"/>
    <mergeCell ref="J12:K12"/>
    <mergeCell ref="C14:D14"/>
    <mergeCell ref="E14:F14"/>
    <mergeCell ref="H14:I14"/>
    <mergeCell ref="J14:K14"/>
    <mergeCell ref="A16:B22"/>
    <mergeCell ref="C17:D17"/>
    <mergeCell ref="C21:D21"/>
    <mergeCell ref="C22:D22"/>
    <mergeCell ref="O58:P58"/>
    <mergeCell ref="Q58:R58"/>
    <mergeCell ref="T72:U72"/>
    <mergeCell ref="V72:W72"/>
    <mergeCell ref="M60:N62"/>
    <mergeCell ref="O60:P60"/>
    <mergeCell ref="Q60:R60"/>
    <mergeCell ref="T60:U60"/>
    <mergeCell ref="V60:W60"/>
    <mergeCell ref="O62:P62"/>
    <mergeCell ref="Q62:R62"/>
    <mergeCell ref="T62:U62"/>
    <mergeCell ref="V62:W62"/>
    <mergeCell ref="M64:N66"/>
    <mergeCell ref="S64:S66"/>
    <mergeCell ref="T64:U66"/>
    <mergeCell ref="V64:W66"/>
    <mergeCell ref="T58:U58"/>
    <mergeCell ref="V58:W58"/>
    <mergeCell ref="Y10:AB10"/>
    <mergeCell ref="AD10:AG10"/>
    <mergeCell ref="Y8:AB8"/>
    <mergeCell ref="AD8:AG8"/>
    <mergeCell ref="AD12:AG12"/>
    <mergeCell ref="Y14:AB14"/>
    <mergeCell ref="AB20:AE20"/>
    <mergeCell ref="AD14:AG14"/>
    <mergeCell ref="M68:N70"/>
    <mergeCell ref="O68:P68"/>
    <mergeCell ref="Q68:R68"/>
    <mergeCell ref="T68:U68"/>
    <mergeCell ref="V68:W68"/>
    <mergeCell ref="O70:P70"/>
    <mergeCell ref="Q70:R70"/>
    <mergeCell ref="T70:U70"/>
    <mergeCell ref="V70:W70"/>
    <mergeCell ref="O64:P66"/>
    <mergeCell ref="Q64:R66"/>
    <mergeCell ref="M56:N58"/>
    <mergeCell ref="O56:P56"/>
    <mergeCell ref="Q56:R56"/>
    <mergeCell ref="T56:U56"/>
    <mergeCell ref="V56:W5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48" fitToHeight="0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7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94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(3.7*2*B75)-C15*6%</f>
        <v>18.959120000000013</v>
      </c>
      <c r="D76" s="554" t="s">
        <v>313</v>
      </c>
      <c r="E76" s="554"/>
      <c r="F76" s="554"/>
      <c r="G76" s="554"/>
      <c r="H76" s="554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623.38579535833333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5332.7110967162853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1381.8163083256886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6714.5274050419739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13429.05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7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94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5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(3.7*2*B75)-C15*6%</f>
        <v>32.409999999999997</v>
      </c>
      <c r="D76" s="554" t="s">
        <v>313</v>
      </c>
      <c r="E76" s="554"/>
      <c r="F76" s="554"/>
      <c r="G76" s="554"/>
      <c r="H76" s="554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.75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522.32374735833332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3243.6884171717584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+iss!D3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5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5" t="s">
        <v>75</v>
      </c>
      <c r="B95" s="104"/>
      <c r="C95" s="234">
        <f>SUM(C85*B94/C94)</f>
        <v>840.50710280087378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4084.1955199726322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4084.2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15:B15"/>
    <mergeCell ref="A25:C25"/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70" workbookViewId="0">
      <selection activeCell="C75" sqref="C75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550" t="s">
        <v>95</v>
      </c>
      <c r="B2" s="551"/>
      <c r="C2" s="552"/>
    </row>
    <row r="3" spans="1:8" ht="15.75" x14ac:dyDescent="0.25">
      <c r="A3" s="548" t="s">
        <v>1</v>
      </c>
      <c r="B3" s="548"/>
      <c r="C3" s="548"/>
      <c r="D3" s="69"/>
      <c r="E3" s="69"/>
      <c r="F3" s="69"/>
      <c r="G3" s="69"/>
      <c r="H3" s="69"/>
    </row>
    <row r="4" spans="1:8" ht="15.75" x14ac:dyDescent="0.25">
      <c r="A4" s="548" t="s">
        <v>127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70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42.11374005681818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547" t="s">
        <v>19</v>
      </c>
      <c r="B24" s="547"/>
      <c r="C24" s="547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10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70"/>
      <c r="E65" s="69"/>
      <c r="F65" s="69"/>
      <c r="G65" s="69"/>
      <c r="H65" s="69"/>
    </row>
    <row r="66" spans="1:10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70"/>
      <c r="E66" s="69"/>
      <c r="F66" s="69"/>
      <c r="G66" s="69"/>
      <c r="H66" s="69"/>
    </row>
    <row r="67" spans="1:10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10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70"/>
      <c r="E68" s="69"/>
      <c r="F68" s="69"/>
      <c r="G68" s="69"/>
      <c r="H68" s="69"/>
    </row>
    <row r="69" spans="1:10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10" ht="15" customHeight="1" thickBot="1" x14ac:dyDescent="0.3">
      <c r="A70" s="541" t="s">
        <v>57</v>
      </c>
      <c r="B70" s="541"/>
      <c r="C70" s="83">
        <f>C68+C22</f>
        <v>4119.125608111648</v>
      </c>
      <c r="D70" s="70"/>
      <c r="E70" s="69"/>
      <c r="F70" s="69"/>
      <c r="G70" s="69"/>
      <c r="H70" s="69"/>
    </row>
    <row r="71" spans="1:10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10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10" x14ac:dyDescent="0.25">
      <c r="A73" s="79" t="s">
        <v>59</v>
      </c>
      <c r="B73" s="69"/>
      <c r="C73" s="190">
        <f>Uniforme!F28</f>
        <v>107.61381033333335</v>
      </c>
      <c r="D73" s="70"/>
      <c r="E73" s="69"/>
      <c r="F73" s="69"/>
      <c r="G73" s="69"/>
      <c r="H73" s="69"/>
    </row>
    <row r="74" spans="1:10" x14ac:dyDescent="0.25">
      <c r="A74" s="84" t="s">
        <v>60</v>
      </c>
      <c r="B74" s="230">
        <v>15.2188</v>
      </c>
      <c r="C74" s="112">
        <f>base!E6</f>
        <v>304.81692800000002</v>
      </c>
      <c r="D74" s="70"/>
      <c r="E74" s="69"/>
      <c r="F74" s="69"/>
      <c r="G74" s="69"/>
      <c r="H74" s="69"/>
    </row>
    <row r="75" spans="1:10" x14ac:dyDescent="0.25">
      <c r="A75" s="79" t="s">
        <v>61</v>
      </c>
      <c r="B75" s="69"/>
      <c r="C75" s="111">
        <v>0</v>
      </c>
      <c r="D75" s="553" t="s">
        <v>312</v>
      </c>
      <c r="E75" s="553"/>
      <c r="F75" s="553"/>
      <c r="G75" s="553"/>
      <c r="H75" s="553"/>
      <c r="I75" s="553"/>
      <c r="J75" s="553"/>
    </row>
    <row r="76" spans="1:10" x14ac:dyDescent="0.25">
      <c r="A76" s="79" t="s">
        <v>62</v>
      </c>
      <c r="B76" s="69"/>
      <c r="C76" s="190">
        <f>'depreciação de equipamento'!F11</f>
        <v>29.778499024999999</v>
      </c>
      <c r="D76" s="70"/>
      <c r="E76" s="69"/>
      <c r="F76" s="69"/>
      <c r="G76" s="69"/>
      <c r="H76" s="69"/>
    </row>
    <row r="77" spans="1:10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10" x14ac:dyDescent="0.25">
      <c r="A78" s="79" t="s">
        <v>64</v>
      </c>
      <c r="B78" s="69"/>
      <c r="C78" s="190">
        <f>'depreciação de equipamento'!F13</f>
        <v>10.827437999999999</v>
      </c>
      <c r="D78" s="70"/>
      <c r="E78" s="69"/>
      <c r="F78" s="69"/>
      <c r="G78" s="69"/>
      <c r="H78" s="69"/>
    </row>
    <row r="79" spans="1:10" ht="15" customHeight="1" thickBot="1" x14ac:dyDescent="0.3">
      <c r="A79" s="79" t="s">
        <v>217</v>
      </c>
      <c r="B79" s="69"/>
      <c r="C79" s="233">
        <f>base!F22</f>
        <v>151.38999999999999</v>
      </c>
      <c r="D79" s="70"/>
      <c r="E79" s="69"/>
      <c r="F79" s="69"/>
      <c r="G79" s="69"/>
      <c r="H79" s="69"/>
    </row>
    <row r="80" spans="1:10" ht="15.75" thickBot="1" x14ac:dyDescent="0.3">
      <c r="A80" s="100" t="s">
        <v>65</v>
      </c>
      <c r="B80" s="101"/>
      <c r="C80" s="208">
        <f>SUM(C73:C79)</f>
        <v>604.42667535833334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.75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" customHeight="1" thickBot="1" x14ac:dyDescent="0.3">
      <c r="A84" s="541" t="s">
        <v>67</v>
      </c>
      <c r="B84" s="541"/>
      <c r="C84" s="118">
        <f>C80+C68+C22+C82</f>
        <v>4723.5522834699814</v>
      </c>
      <c r="D84" s="70"/>
      <c r="E84" s="69"/>
      <c r="F84" s="69"/>
      <c r="G84" s="69"/>
      <c r="H84" s="69"/>
    </row>
    <row r="85" spans="1:8" ht="15.75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ht="15.75" customHeight="1" x14ac:dyDescent="0.25">
      <c r="A87" s="86" t="s">
        <v>69</v>
      </c>
      <c r="B87" s="69"/>
      <c r="C87" s="87">
        <f>base!$E$13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37">
        <f>base!$E$14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+iss!D18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225" t="s">
        <v>75</v>
      </c>
      <c r="B94" s="82"/>
      <c r="C94" s="234">
        <f>SUM(C84*B93/C93)</f>
        <v>1223.9705958470236</v>
      </c>
      <c r="D94" s="70"/>
      <c r="E94" s="69"/>
      <c r="F94" s="69"/>
      <c r="G94" s="69"/>
      <c r="H94" s="69"/>
    </row>
    <row r="95" spans="1:8" ht="15.75" thickBot="1" x14ac:dyDescent="0.3">
      <c r="A95" s="539"/>
      <c r="B95" s="539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5947.5228793170045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11895.05</v>
      </c>
      <c r="D98" s="70"/>
      <c r="E98" s="69"/>
      <c r="F98" s="69"/>
      <c r="G98" s="69"/>
      <c r="H98" s="69"/>
    </row>
    <row r="99" spans="1:8" x14ac:dyDescent="0.25">
      <c r="A99" s="69"/>
      <c r="B99" s="69"/>
      <c r="C99" s="69"/>
      <c r="D99" s="69"/>
      <c r="E99" s="69"/>
      <c r="F99" s="69"/>
      <c r="G99" s="69"/>
      <c r="H99" s="69"/>
    </row>
  </sheetData>
  <mergeCells count="17">
    <mergeCell ref="D75:J75"/>
    <mergeCell ref="A24:C24"/>
    <mergeCell ref="A84:B84"/>
    <mergeCell ref="A95:B95"/>
    <mergeCell ref="A70:B70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70" workbookViewId="0">
      <selection activeCell="C76" sqref="C76"/>
    </sheetView>
  </sheetViews>
  <sheetFormatPr defaultColWidth="9.140625"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95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122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7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10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10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69"/>
      <c r="G66" s="69"/>
      <c r="H66" s="69"/>
    </row>
    <row r="67" spans="1:10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69"/>
      <c r="G67" s="69"/>
      <c r="H67" s="69"/>
    </row>
    <row r="68" spans="1:10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10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69"/>
      <c r="G69" s="69"/>
      <c r="H69" s="69"/>
    </row>
    <row r="70" spans="1:10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10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69"/>
      <c r="G71" s="69"/>
      <c r="H71" s="69"/>
    </row>
    <row r="72" spans="1:10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10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10" x14ac:dyDescent="0.25">
      <c r="A74" s="79" t="s">
        <v>59</v>
      </c>
      <c r="B74" s="69"/>
      <c r="C74" s="232">
        <f>Uniforme!F28</f>
        <v>107.61381033333335</v>
      </c>
      <c r="D74" s="70"/>
      <c r="E74" s="69"/>
      <c r="F74" s="69"/>
      <c r="G74" s="69"/>
      <c r="H74" s="69"/>
    </row>
    <row r="75" spans="1:10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69"/>
      <c r="G75" s="69"/>
      <c r="H75" s="69"/>
    </row>
    <row r="76" spans="1:10" x14ac:dyDescent="0.25">
      <c r="A76" s="79" t="s">
        <v>61</v>
      </c>
      <c r="B76" s="69"/>
      <c r="C76" s="111">
        <v>0</v>
      </c>
      <c r="D76" s="553" t="s">
        <v>312</v>
      </c>
      <c r="E76" s="553"/>
      <c r="F76" s="553"/>
      <c r="G76" s="553"/>
      <c r="H76" s="553"/>
      <c r="I76" s="553"/>
      <c r="J76" s="553"/>
    </row>
    <row r="77" spans="1:10" x14ac:dyDescent="0.25">
      <c r="A77" s="79" t="s">
        <v>62</v>
      </c>
      <c r="B77" s="69"/>
      <c r="C77" s="232">
        <f>'depreciação de equipamento'!F11</f>
        <v>29.778499024999999</v>
      </c>
      <c r="D77" s="70"/>
      <c r="E77" s="69"/>
      <c r="F77" s="69"/>
      <c r="G77" s="69"/>
      <c r="H77" s="69"/>
    </row>
    <row r="78" spans="1:10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10" x14ac:dyDescent="0.25">
      <c r="A79" s="79" t="s">
        <v>64</v>
      </c>
      <c r="B79" s="69"/>
      <c r="C79" s="232">
        <f>'depreciação de equipamento'!F13</f>
        <v>10.827437999999999</v>
      </c>
      <c r="D79" s="70"/>
      <c r="E79" s="69"/>
      <c r="F79" s="69"/>
      <c r="G79" s="69"/>
      <c r="H79" s="69"/>
    </row>
    <row r="80" spans="1:10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+iss!D18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69"/>
      <c r="F95" s="69"/>
      <c r="G95" s="50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241" t="s">
        <v>76</v>
      </c>
      <c r="B97" s="225"/>
      <c r="C97" s="242">
        <f>C85+C95</f>
        <v>6690.6555829037243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1" t="s">
        <v>121</v>
      </c>
      <c r="B99" s="225"/>
      <c r="C99" s="242">
        <f>ROUND(C97*2,2)</f>
        <v>13381.31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J76"/>
    <mergeCell ref="A25:C25"/>
    <mergeCell ref="A85:B85"/>
    <mergeCell ref="A96:B96"/>
    <mergeCell ref="A71:B71"/>
    <mergeCell ref="A2:C2"/>
    <mergeCell ref="A3:C3"/>
    <mergeCell ref="A4:C4"/>
    <mergeCell ref="A5:C5"/>
    <mergeCell ref="A6:C6"/>
    <mergeCell ref="A14:C14"/>
    <mergeCell ref="A15:B15"/>
    <mergeCell ref="A8:A9"/>
    <mergeCell ref="B8:B9"/>
    <mergeCell ref="C8:C9"/>
    <mergeCell ref="A11:C11"/>
    <mergeCell ref="A12:B12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7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96</v>
      </c>
      <c r="B2" s="551"/>
      <c r="C2" s="552"/>
    </row>
    <row r="3" spans="1:8" ht="15.75" x14ac:dyDescent="0.25">
      <c r="A3" s="548" t="s">
        <v>1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(3.9*2*B74)-C15*6%</f>
        <v>25.046639999999996</v>
      </c>
      <c r="D75" s="554" t="s">
        <v>313</v>
      </c>
      <c r="E75" s="554"/>
      <c r="F75" s="554"/>
      <c r="G75" s="554"/>
      <c r="H75" s="554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629.47331535833337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541" t="s">
        <v>67</v>
      </c>
      <c r="B84" s="541"/>
      <c r="C84" s="118">
        <f>C80+C68+C22+C82</f>
        <v>4748.5989234699809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+iss!D19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1230.4607009723647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5979.0596244423459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11958.12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3" workbookViewId="0">
      <selection activeCell="H81" sqref="H81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107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customHeight="1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(3.9*2*B75)-C15*6%</f>
        <v>25.046639999999996</v>
      </c>
      <c r="D76" s="554"/>
      <c r="E76" s="554"/>
      <c r="F76" s="554"/>
      <c r="G76" s="554"/>
      <c r="H76" s="554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629.47331535833337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5338.7986167162853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ht="15.75" customHeight="1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1383.3937113127806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6722.1923280290657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13444.38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6:C6"/>
    <mergeCell ref="A96:B96"/>
    <mergeCell ref="A2:C2"/>
    <mergeCell ref="A85:B85"/>
    <mergeCell ref="A3:C3"/>
    <mergeCell ref="A8:A9"/>
    <mergeCell ref="B8:B9"/>
    <mergeCell ref="C8:C9"/>
    <mergeCell ref="A11:C11"/>
    <mergeCell ref="A12:B12"/>
    <mergeCell ref="A14:C14"/>
    <mergeCell ref="A15:B15"/>
    <mergeCell ref="A25:C25"/>
    <mergeCell ref="A71:B7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7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69"/>
      <c r="E1" s="69"/>
      <c r="F1" s="69"/>
      <c r="G1" s="69"/>
      <c r="H1" s="69"/>
    </row>
    <row r="2" spans="1:8" ht="15.75" thickBot="1" x14ac:dyDescent="0.3">
      <c r="A2" s="550" t="s">
        <v>96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245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(3.9*2*B75)-C15*6%</f>
        <v>36.209999999999994</v>
      </c>
      <c r="D76" s="554" t="s">
        <v>313</v>
      </c>
      <c r="E76" s="554"/>
      <c r="F76" s="554"/>
      <c r="G76" s="554"/>
      <c r="H76" s="554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526.12374735833328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3247.4884171717586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+iss!D19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245" t="s">
        <v>74</v>
      </c>
      <c r="B93" s="104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245" t="s">
        <v>75</v>
      </c>
      <c r="B95" s="104"/>
      <c r="C95" s="234">
        <f>SUM(C85*B94/C94)</f>
        <v>841.49176180009681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4088.9801789718554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4088.98</v>
      </c>
      <c r="D99" s="131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66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97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133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553" t="s">
        <v>312</v>
      </c>
      <c r="E75" s="553"/>
      <c r="F75" s="553"/>
      <c r="G75" s="553"/>
      <c r="H75" s="553"/>
      <c r="I75" s="553"/>
      <c r="J75" s="553"/>
    </row>
    <row r="76" spans="1:10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+'ASSIS-12X36 DIURNO- 2º A DOM'!C88</f>
        <v>6.6000000000000003E-2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+iss!D20</f>
        <v>0.04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0.21250000000000002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21.250000000000004</v>
      </c>
      <c r="C93" s="240">
        <f>100-B93</f>
        <v>78.75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1274.6093463331697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5998.1616298031513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11996.32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0"/>
  <sheetViews>
    <sheetView topLeftCell="A64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108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553" t="s">
        <v>312</v>
      </c>
      <c r="E76" s="553"/>
      <c r="F76" s="553"/>
      <c r="G76" s="553"/>
      <c r="H76" s="553"/>
      <c r="I76" s="553"/>
      <c r="J76" s="553"/>
    </row>
    <row r="77" spans="1:10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+'IVAIPORA 12X36 NOTURN  2ª A DOM'!C89</f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+iss!D20</f>
        <v>0.04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0.22900000000000004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22.900000000000002</v>
      </c>
      <c r="C94" s="240">
        <f>100-B94</f>
        <v>77.099999999999994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1578.2739334215687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6892.0259101378533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13784.05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7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134</v>
      </c>
      <c r="B2" s="551"/>
      <c r="C2" s="552"/>
    </row>
    <row r="3" spans="1:8" ht="15.75" x14ac:dyDescent="0.25">
      <c r="A3" s="548" t="s">
        <v>1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ht="15.75" customHeight="1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v>0</v>
      </c>
      <c r="D75" s="69" t="s">
        <v>310</v>
      </c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ht="15.75" customHeight="1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ht="15.75" customHeight="1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+iss!D21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19.579502100000003</v>
      </c>
      <c r="C93" s="240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1150.0152855141712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5873.5675689841528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82"/>
      <c r="C98" s="83">
        <f>ROUND(C96*2,2)</f>
        <v>11747.14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</sheetData>
  <mergeCells count="16"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view="pageBreakPreview" topLeftCell="A37" zoomScale="60" zoomScaleNormal="80" workbookViewId="0">
      <selection activeCell="H65" sqref="H65:I65"/>
    </sheetView>
  </sheetViews>
  <sheetFormatPr defaultRowHeight="15" x14ac:dyDescent="0.25"/>
  <cols>
    <col min="1" max="2" width="15.7109375" style="363" customWidth="1"/>
    <col min="3" max="4" width="20.7109375" style="361" customWidth="1"/>
    <col min="5" max="5" width="9.140625" style="68"/>
    <col min="6" max="6" width="7.7109375" style="68" customWidth="1"/>
    <col min="7" max="7" width="11.5703125" style="68" bestFit="1" customWidth="1"/>
    <col min="8" max="8" width="9.140625" style="68"/>
    <col min="9" max="9" width="13.85546875" style="68" bestFit="1" customWidth="1"/>
    <col min="10" max="10" width="9.140625" style="68"/>
    <col min="11" max="11" width="12.7109375" style="68" customWidth="1"/>
    <col min="12" max="12" width="19.85546875" style="285" customWidth="1"/>
    <col min="13" max="13" width="48.140625" style="368" customWidth="1"/>
    <col min="14" max="14" width="9.140625" style="368"/>
    <col min="15" max="17" width="9.140625" style="285"/>
    <col min="18" max="16384" width="9.140625" style="68"/>
  </cols>
  <sheetData>
    <row r="1" spans="1:14" s="368" customFormat="1" ht="29.25" customHeight="1" thickBot="1" x14ac:dyDescent="0.3">
      <c r="A1" s="458"/>
      <c r="B1" s="458"/>
      <c r="C1" s="458"/>
      <c r="D1" s="458"/>
      <c r="E1" s="458"/>
      <c r="F1" s="458"/>
      <c r="G1" s="458"/>
    </row>
    <row r="2" spans="1:14" ht="45.75" customHeight="1" thickBot="1" x14ac:dyDescent="0.3">
      <c r="A2" s="459" t="s">
        <v>0</v>
      </c>
      <c r="B2" s="460"/>
      <c r="C2" s="461" t="s">
        <v>8</v>
      </c>
      <c r="D2" s="460"/>
      <c r="E2" s="462" t="s">
        <v>142</v>
      </c>
      <c r="F2" s="462"/>
      <c r="G2" s="366" t="s">
        <v>143</v>
      </c>
      <c r="H2" s="462" t="s">
        <v>145</v>
      </c>
      <c r="I2" s="462"/>
      <c r="J2" s="462" t="s">
        <v>144</v>
      </c>
      <c r="K2" s="463"/>
    </row>
    <row r="3" spans="1:14" s="285" customFormat="1" ht="27.95" customHeight="1" x14ac:dyDescent="0.25">
      <c r="A3" s="487" t="s">
        <v>80</v>
      </c>
      <c r="B3" s="488"/>
      <c r="C3" s="493" t="s">
        <v>136</v>
      </c>
      <c r="D3" s="493"/>
      <c r="E3" s="485">
        <f>'ASSIS-12X36-NOTURNO- 2º A DOM'!C99</f>
        <v>13577.14</v>
      </c>
      <c r="F3" s="485"/>
      <c r="G3" s="370">
        <v>1</v>
      </c>
      <c r="H3" s="485">
        <f t="shared" ref="H3:H21" si="0">E3*G3</f>
        <v>13577.14</v>
      </c>
      <c r="I3" s="485"/>
      <c r="J3" s="494">
        <f t="shared" ref="J3:J34" si="1">H3*20</f>
        <v>271542.8</v>
      </c>
      <c r="K3" s="495"/>
      <c r="L3" s="285" t="s">
        <v>349</v>
      </c>
      <c r="M3" s="368"/>
      <c r="N3" s="368"/>
    </row>
    <row r="4" spans="1:14" s="285" customFormat="1" ht="27.95" customHeight="1" x14ac:dyDescent="0.25">
      <c r="A4" s="489"/>
      <c r="B4" s="490"/>
      <c r="C4" s="502" t="s">
        <v>136</v>
      </c>
      <c r="D4" s="502"/>
      <c r="E4" s="476">
        <f>'ASSIS-12X36-NOTURNO- 2º A DOM'!C99</f>
        <v>13577.14</v>
      </c>
      <c r="F4" s="476"/>
      <c r="G4" s="367">
        <v>1</v>
      </c>
      <c r="H4" s="476">
        <f t="shared" si="0"/>
        <v>13577.14</v>
      </c>
      <c r="I4" s="476"/>
      <c r="J4" s="503">
        <f t="shared" si="1"/>
        <v>271542.8</v>
      </c>
      <c r="K4" s="504"/>
      <c r="L4" s="285" t="s">
        <v>349</v>
      </c>
      <c r="M4" s="375" t="s">
        <v>352</v>
      </c>
      <c r="N4" s="368"/>
    </row>
    <row r="5" spans="1:14" s="285" customFormat="1" ht="27.95" customHeight="1" thickBot="1" x14ac:dyDescent="0.3">
      <c r="A5" s="491"/>
      <c r="B5" s="492"/>
      <c r="C5" s="464" t="s">
        <v>123</v>
      </c>
      <c r="D5" s="464"/>
      <c r="E5" s="465">
        <f>'ASSIS- SDF 24HORAS'!C99</f>
        <v>4245.16</v>
      </c>
      <c r="F5" s="465"/>
      <c r="G5" s="371">
        <v>1</v>
      </c>
      <c r="H5" s="465">
        <f t="shared" si="0"/>
        <v>4245.16</v>
      </c>
      <c r="I5" s="465"/>
      <c r="J5" s="498">
        <f t="shared" si="1"/>
        <v>84903.2</v>
      </c>
      <c r="K5" s="499"/>
      <c r="L5" s="285" t="s">
        <v>349</v>
      </c>
      <c r="M5" s="368"/>
      <c r="N5" s="368"/>
    </row>
    <row r="6" spans="1:14" s="285" customFormat="1" ht="27.95" customHeight="1" x14ac:dyDescent="0.25">
      <c r="A6" s="467" t="s">
        <v>333</v>
      </c>
      <c r="B6" s="468"/>
      <c r="C6" s="511" t="s">
        <v>137</v>
      </c>
      <c r="D6" s="511"/>
      <c r="E6" s="529">
        <f>'ASTORGA 12X36 DIURNO '!C98</f>
        <v>11648.02</v>
      </c>
      <c r="F6" s="529"/>
      <c r="G6" s="364">
        <v>1</v>
      </c>
      <c r="H6" s="472">
        <f t="shared" si="0"/>
        <v>11648.02</v>
      </c>
      <c r="I6" s="472"/>
      <c r="J6" s="472">
        <f t="shared" si="1"/>
        <v>232960.40000000002</v>
      </c>
      <c r="K6" s="517"/>
      <c r="L6" s="285" t="s">
        <v>350</v>
      </c>
      <c r="M6" s="368"/>
      <c r="N6" s="368"/>
    </row>
    <row r="7" spans="1:14" s="285" customFormat="1" ht="27.95" customHeight="1" thickBot="1" x14ac:dyDescent="0.3">
      <c r="A7" s="469"/>
      <c r="B7" s="470"/>
      <c r="C7" s="523" t="s">
        <v>136</v>
      </c>
      <c r="D7" s="523"/>
      <c r="E7" s="512">
        <f>'ASTORGA 12X36 NOTURNO 2º A (2'!C99</f>
        <v>13381.31</v>
      </c>
      <c r="F7" s="512"/>
      <c r="G7" s="369">
        <v>1</v>
      </c>
      <c r="H7" s="512">
        <f t="shared" si="0"/>
        <v>13381.31</v>
      </c>
      <c r="I7" s="512"/>
      <c r="J7" s="512">
        <f t="shared" si="1"/>
        <v>267626.2</v>
      </c>
      <c r="K7" s="522"/>
      <c r="L7" s="285" t="s">
        <v>350</v>
      </c>
      <c r="M7" s="368"/>
      <c r="N7" s="368"/>
    </row>
    <row r="8" spans="1:14" s="285" customFormat="1" ht="27.95" customHeight="1" x14ac:dyDescent="0.25">
      <c r="A8" s="487" t="s">
        <v>94</v>
      </c>
      <c r="B8" s="488"/>
      <c r="C8" s="484" t="s">
        <v>137</v>
      </c>
      <c r="D8" s="484"/>
      <c r="E8" s="485">
        <f>'CAMPO LAR 12X36 DIURNO 2º A DOM'!C98</f>
        <v>11942.79</v>
      </c>
      <c r="F8" s="485"/>
      <c r="G8" s="370">
        <v>1</v>
      </c>
      <c r="H8" s="485">
        <f t="shared" si="0"/>
        <v>11942.79</v>
      </c>
      <c r="I8" s="485"/>
      <c r="J8" s="485">
        <f t="shared" si="1"/>
        <v>238855.80000000002</v>
      </c>
      <c r="K8" s="486"/>
      <c r="L8" s="285" t="s">
        <v>349</v>
      </c>
      <c r="M8" s="368"/>
      <c r="N8" s="368"/>
    </row>
    <row r="9" spans="1:14" s="285" customFormat="1" ht="27.95" customHeight="1" x14ac:dyDescent="0.25">
      <c r="A9" s="489"/>
      <c r="B9" s="490"/>
      <c r="C9" s="475" t="s">
        <v>136</v>
      </c>
      <c r="D9" s="475"/>
      <c r="E9" s="476">
        <f>'CAMPO LAR 12X36 NOTURN 2º A DOM'!C99</f>
        <v>13429.05</v>
      </c>
      <c r="F9" s="476"/>
      <c r="G9" s="367">
        <v>1</v>
      </c>
      <c r="H9" s="476">
        <f t="shared" si="0"/>
        <v>13429.05</v>
      </c>
      <c r="I9" s="476"/>
      <c r="J9" s="476">
        <f t="shared" si="1"/>
        <v>268581</v>
      </c>
      <c r="K9" s="477"/>
      <c r="L9" s="285" t="s">
        <v>349</v>
      </c>
      <c r="M9" s="368" t="s">
        <v>351</v>
      </c>
      <c r="N9" s="368"/>
    </row>
    <row r="10" spans="1:14" s="285" customFormat="1" ht="27.95" customHeight="1" x14ac:dyDescent="0.25">
      <c r="A10" s="489"/>
      <c r="B10" s="490"/>
      <c r="C10" s="475" t="s">
        <v>136</v>
      </c>
      <c r="D10" s="475"/>
      <c r="E10" s="476">
        <f>'CAMPO LAR 12X36 NOTURN 2º A DOM'!C99</f>
        <v>13429.05</v>
      </c>
      <c r="F10" s="476"/>
      <c r="G10" s="367">
        <v>1</v>
      </c>
      <c r="H10" s="476">
        <f t="shared" si="0"/>
        <v>13429.05</v>
      </c>
      <c r="I10" s="476"/>
      <c r="J10" s="476">
        <f t="shared" si="1"/>
        <v>268581</v>
      </c>
      <c r="K10" s="477"/>
      <c r="L10" s="285" t="s">
        <v>349</v>
      </c>
      <c r="M10" s="368" t="s">
        <v>351</v>
      </c>
      <c r="N10" s="368"/>
    </row>
    <row r="11" spans="1:14" s="285" customFormat="1" ht="27.95" customHeight="1" thickBot="1" x14ac:dyDescent="0.3">
      <c r="A11" s="491"/>
      <c r="B11" s="492"/>
      <c r="C11" s="464" t="s">
        <v>123</v>
      </c>
      <c r="D11" s="464"/>
      <c r="E11" s="465">
        <f>'CAMPO LARGO - SDF 24 24HORAS'!C99</f>
        <v>4084.2</v>
      </c>
      <c r="F11" s="465"/>
      <c r="G11" s="371">
        <v>1</v>
      </c>
      <c r="H11" s="465">
        <f t="shared" si="0"/>
        <v>4084.2</v>
      </c>
      <c r="I11" s="465"/>
      <c r="J11" s="465">
        <f t="shared" si="1"/>
        <v>81684</v>
      </c>
      <c r="K11" s="466"/>
      <c r="L11" s="285" t="s">
        <v>349</v>
      </c>
      <c r="M11" s="368" t="s">
        <v>358</v>
      </c>
      <c r="N11" s="368"/>
    </row>
    <row r="12" spans="1:14" s="285" customFormat="1" ht="27.95" customHeight="1" x14ac:dyDescent="0.25">
      <c r="A12" s="467" t="s">
        <v>95</v>
      </c>
      <c r="B12" s="468"/>
      <c r="C12" s="471" t="s">
        <v>137</v>
      </c>
      <c r="D12" s="471"/>
      <c r="E12" s="472">
        <f>'CAPANEMA 12X36 DIURNO 2º A DOM'!C98</f>
        <v>11895.05</v>
      </c>
      <c r="F12" s="472"/>
      <c r="G12" s="364">
        <v>1</v>
      </c>
      <c r="H12" s="472">
        <f t="shared" si="0"/>
        <v>11895.05</v>
      </c>
      <c r="I12" s="472"/>
      <c r="J12" s="472">
        <f t="shared" si="1"/>
        <v>237901</v>
      </c>
      <c r="K12" s="517"/>
      <c r="L12" s="285" t="s">
        <v>349</v>
      </c>
      <c r="M12" s="368"/>
      <c r="N12" s="368"/>
    </row>
    <row r="13" spans="1:14" s="285" customFormat="1" ht="27.95" customHeight="1" thickBot="1" x14ac:dyDescent="0.3">
      <c r="A13" s="469"/>
      <c r="B13" s="470"/>
      <c r="C13" s="516" t="s">
        <v>136</v>
      </c>
      <c r="D13" s="516"/>
      <c r="E13" s="512">
        <f>'CAPANEMA 12X36 NOTURNO 2º A DOM'!C99</f>
        <v>13381.31</v>
      </c>
      <c r="F13" s="512"/>
      <c r="G13" s="369">
        <v>1</v>
      </c>
      <c r="H13" s="512">
        <f t="shared" si="0"/>
        <v>13381.31</v>
      </c>
      <c r="I13" s="512"/>
      <c r="J13" s="512">
        <f t="shared" si="1"/>
        <v>267626.2</v>
      </c>
      <c r="K13" s="522"/>
      <c r="L13" s="285" t="s">
        <v>349</v>
      </c>
      <c r="M13" s="368"/>
      <c r="N13" s="368"/>
    </row>
    <row r="14" spans="1:14" s="285" customFormat="1" ht="27.95" customHeight="1" x14ac:dyDescent="0.25">
      <c r="A14" s="478" t="s">
        <v>92</v>
      </c>
      <c r="B14" s="479"/>
      <c r="C14" s="484" t="s">
        <v>137</v>
      </c>
      <c r="D14" s="484"/>
      <c r="E14" s="485">
        <f>'CASCAVEL 12X36 DIURNO 2º A DOM'!C98</f>
        <v>12017.22</v>
      </c>
      <c r="F14" s="485"/>
      <c r="G14" s="370">
        <v>1</v>
      </c>
      <c r="H14" s="485">
        <f t="shared" si="0"/>
        <v>12017.22</v>
      </c>
      <c r="I14" s="485"/>
      <c r="J14" s="485">
        <f t="shared" si="1"/>
        <v>240344.4</v>
      </c>
      <c r="K14" s="486"/>
      <c r="L14" s="285" t="s">
        <v>349</v>
      </c>
      <c r="M14" s="368"/>
      <c r="N14" s="368"/>
    </row>
    <row r="15" spans="1:14" s="285" customFormat="1" ht="27.95" customHeight="1" thickBot="1" x14ac:dyDescent="0.3">
      <c r="A15" s="482"/>
      <c r="B15" s="483"/>
      <c r="C15" s="464" t="s">
        <v>136</v>
      </c>
      <c r="D15" s="464"/>
      <c r="E15" s="465">
        <f>'CASCAVEL 12X36 NOTURNO 2º A DOM'!C99</f>
        <v>13973.83</v>
      </c>
      <c r="F15" s="465"/>
      <c r="G15" s="371">
        <v>1</v>
      </c>
      <c r="H15" s="465">
        <f t="shared" si="0"/>
        <v>13973.83</v>
      </c>
      <c r="I15" s="465"/>
      <c r="J15" s="465">
        <f t="shared" si="1"/>
        <v>279476.59999999998</v>
      </c>
      <c r="K15" s="466"/>
      <c r="L15" s="285" t="s">
        <v>349</v>
      </c>
      <c r="M15" s="368"/>
      <c r="N15" s="368"/>
    </row>
    <row r="16" spans="1:14" s="285" customFormat="1" ht="27.95" customHeight="1" x14ac:dyDescent="0.25">
      <c r="A16" s="467" t="s">
        <v>93</v>
      </c>
      <c r="B16" s="468"/>
      <c r="C16" s="511" t="s">
        <v>139</v>
      </c>
      <c r="D16" s="511"/>
      <c r="E16" s="472">
        <f>'BARRACAO 12X36 DIURNO 2º A  (2'!C98</f>
        <v>11799.01</v>
      </c>
      <c r="F16" s="472"/>
      <c r="G16" s="364">
        <v>1</v>
      </c>
      <c r="H16" s="472">
        <f t="shared" si="0"/>
        <v>11799.01</v>
      </c>
      <c r="I16" s="472"/>
      <c r="J16" s="473">
        <f t="shared" si="1"/>
        <v>235980.2</v>
      </c>
      <c r="K16" s="474"/>
      <c r="L16" s="285" t="s">
        <v>355</v>
      </c>
      <c r="M16" s="532" t="s">
        <v>353</v>
      </c>
      <c r="N16" s="532"/>
    </row>
    <row r="17" spans="1:14" s="285" customFormat="1" ht="27.95" customHeight="1" thickBot="1" x14ac:dyDescent="0.3">
      <c r="A17" s="469"/>
      <c r="B17" s="470"/>
      <c r="C17" s="523" t="s">
        <v>136</v>
      </c>
      <c r="D17" s="523"/>
      <c r="E17" s="512">
        <f>'BARRACAO 12X36 NOTURNO 2º A (2'!C99</f>
        <v>13381.31</v>
      </c>
      <c r="F17" s="512"/>
      <c r="G17" s="369">
        <v>1</v>
      </c>
      <c r="H17" s="512">
        <f t="shared" si="0"/>
        <v>13381.31</v>
      </c>
      <c r="I17" s="512"/>
      <c r="J17" s="513">
        <f t="shared" si="1"/>
        <v>267626.2</v>
      </c>
      <c r="K17" s="514"/>
      <c r="L17" s="285" t="s">
        <v>354</v>
      </c>
      <c r="M17" s="368"/>
      <c r="N17" s="368"/>
    </row>
    <row r="18" spans="1:14" s="285" customFormat="1" ht="27.95" customHeight="1" x14ac:dyDescent="0.25">
      <c r="A18" s="478" t="s">
        <v>96</v>
      </c>
      <c r="B18" s="479"/>
      <c r="C18" s="484" t="s">
        <v>137</v>
      </c>
      <c r="D18" s="484"/>
      <c r="E18" s="485">
        <f>'COLOMBO12X36 DIURNO 2º A DOM'!C98</f>
        <v>11958.12</v>
      </c>
      <c r="F18" s="485"/>
      <c r="G18" s="370">
        <v>1</v>
      </c>
      <c r="H18" s="485">
        <f t="shared" si="0"/>
        <v>11958.12</v>
      </c>
      <c r="I18" s="485"/>
      <c r="J18" s="485">
        <f t="shared" si="1"/>
        <v>239162.40000000002</v>
      </c>
      <c r="K18" s="486"/>
      <c r="L18" s="285" t="s">
        <v>349</v>
      </c>
      <c r="M18" s="368"/>
      <c r="N18" s="368"/>
    </row>
    <row r="19" spans="1:14" s="285" customFormat="1" ht="27.95" customHeight="1" x14ac:dyDescent="0.25">
      <c r="A19" s="480"/>
      <c r="B19" s="481"/>
      <c r="C19" s="475" t="s">
        <v>136</v>
      </c>
      <c r="D19" s="475"/>
      <c r="E19" s="476">
        <f>'COLOMBO12X36 NOTURNO 2º A DOM'!C99</f>
        <v>13444.38</v>
      </c>
      <c r="F19" s="476"/>
      <c r="G19" s="367">
        <v>1</v>
      </c>
      <c r="H19" s="476">
        <f t="shared" si="0"/>
        <v>13444.38</v>
      </c>
      <c r="I19" s="476"/>
      <c r="J19" s="476">
        <f t="shared" si="1"/>
        <v>268887.59999999998</v>
      </c>
      <c r="K19" s="477"/>
      <c r="L19" s="285" t="s">
        <v>349</v>
      </c>
      <c r="M19" s="368"/>
      <c r="N19" s="368"/>
    </row>
    <row r="20" spans="1:14" s="285" customFormat="1" ht="27.95" customHeight="1" thickBot="1" x14ac:dyDescent="0.3">
      <c r="A20" s="482"/>
      <c r="B20" s="483"/>
      <c r="C20" s="464" t="s">
        <v>123</v>
      </c>
      <c r="D20" s="464"/>
      <c r="E20" s="465">
        <f>'COLOMBO - SDF 24 24HORAS'!C99</f>
        <v>4088.98</v>
      </c>
      <c r="F20" s="465"/>
      <c r="G20" s="371">
        <v>1</v>
      </c>
      <c r="H20" s="465">
        <f t="shared" si="0"/>
        <v>4088.98</v>
      </c>
      <c r="I20" s="465"/>
      <c r="J20" s="465">
        <f t="shared" si="1"/>
        <v>81779.600000000006</v>
      </c>
      <c r="K20" s="466"/>
      <c r="L20" s="285" t="s">
        <v>349</v>
      </c>
      <c r="M20" s="368"/>
      <c r="N20" s="368"/>
    </row>
    <row r="21" spans="1:14" s="285" customFormat="1" ht="27.95" customHeight="1" thickBot="1" x14ac:dyDescent="0.3">
      <c r="A21" s="500" t="s">
        <v>91</v>
      </c>
      <c r="B21" s="501"/>
      <c r="C21" s="515" t="s">
        <v>136</v>
      </c>
      <c r="D21" s="515"/>
      <c r="E21" s="496">
        <f>'CORONEL 12X36 NOTURNO 2º A DOM'!C99</f>
        <v>13726.99</v>
      </c>
      <c r="F21" s="496"/>
      <c r="G21" s="365">
        <v>1</v>
      </c>
      <c r="H21" s="496">
        <f t="shared" si="0"/>
        <v>13726.99</v>
      </c>
      <c r="I21" s="496"/>
      <c r="J21" s="496">
        <f t="shared" si="1"/>
        <v>274539.8</v>
      </c>
      <c r="K21" s="497"/>
      <c r="L21" s="285" t="s">
        <v>349</v>
      </c>
      <c r="M21" s="368"/>
      <c r="N21" s="368"/>
    </row>
    <row r="22" spans="1:14" s="285" customFormat="1" ht="27.95" customHeight="1" x14ac:dyDescent="0.25">
      <c r="A22" s="478" t="s">
        <v>79</v>
      </c>
      <c r="B22" s="479"/>
      <c r="C22" s="484" t="s">
        <v>136</v>
      </c>
      <c r="D22" s="484"/>
      <c r="E22" s="485">
        <f>'CWB-12X36-NOTURNO- 2º A DOM   '!C99</f>
        <v>13345.04</v>
      </c>
      <c r="F22" s="485"/>
      <c r="G22" s="370">
        <v>3</v>
      </c>
      <c r="H22" s="485">
        <f>E22*3</f>
        <v>40035.120000000003</v>
      </c>
      <c r="I22" s="485"/>
      <c r="J22" s="494">
        <f t="shared" si="1"/>
        <v>800702.4</v>
      </c>
      <c r="K22" s="495"/>
      <c r="L22" s="285" t="s">
        <v>349</v>
      </c>
      <c r="M22" s="368"/>
      <c r="N22" s="368"/>
    </row>
    <row r="23" spans="1:14" s="285" customFormat="1" ht="27.95" customHeight="1" thickBot="1" x14ac:dyDescent="0.3">
      <c r="A23" s="482"/>
      <c r="B23" s="483"/>
      <c r="C23" s="464" t="s">
        <v>123</v>
      </c>
      <c r="D23" s="464"/>
      <c r="E23" s="465">
        <f>'CWB- SDF 24 24HORAS'!C99</f>
        <v>4058.64</v>
      </c>
      <c r="F23" s="465"/>
      <c r="G23" s="371">
        <v>3</v>
      </c>
      <c r="H23" s="465">
        <f>E23*3</f>
        <v>12175.92</v>
      </c>
      <c r="I23" s="465"/>
      <c r="J23" s="498">
        <f t="shared" si="1"/>
        <v>243518.4</v>
      </c>
      <c r="K23" s="499"/>
      <c r="L23" s="285" t="s">
        <v>349</v>
      </c>
      <c r="M23" s="368"/>
      <c r="N23" s="368"/>
    </row>
    <row r="24" spans="1:14" s="285" customFormat="1" ht="27.95" customHeight="1" x14ac:dyDescent="0.25">
      <c r="A24" s="467" t="s">
        <v>359</v>
      </c>
      <c r="B24" s="468"/>
      <c r="C24" s="471" t="s">
        <v>137</v>
      </c>
      <c r="D24" s="471"/>
      <c r="E24" s="472">
        <f>'CWB-12X36-DIURNO- 2º A DOM   '!C98</f>
        <v>11868.07</v>
      </c>
      <c r="F24" s="472"/>
      <c r="G24" s="364">
        <v>1</v>
      </c>
      <c r="H24" s="472">
        <f t="shared" ref="H24:H64" si="2">E24*G24</f>
        <v>11868.07</v>
      </c>
      <c r="I24" s="472"/>
      <c r="J24" s="473">
        <f t="shared" si="1"/>
        <v>237361.4</v>
      </c>
      <c r="K24" s="474"/>
      <c r="L24" s="285" t="s">
        <v>349</v>
      </c>
      <c r="M24" s="368"/>
      <c r="N24" s="368"/>
    </row>
    <row r="25" spans="1:14" s="285" customFormat="1" ht="27.95" customHeight="1" thickBot="1" x14ac:dyDescent="0.3">
      <c r="A25" s="469"/>
      <c r="B25" s="470"/>
      <c r="C25" s="516" t="s">
        <v>136</v>
      </c>
      <c r="D25" s="516"/>
      <c r="E25" s="512">
        <f>'CWB-12X36-NOTURNO- 2º A DOM   '!C99</f>
        <v>13345.04</v>
      </c>
      <c r="F25" s="512"/>
      <c r="G25" s="369">
        <v>1</v>
      </c>
      <c r="H25" s="512">
        <f t="shared" si="2"/>
        <v>13345.04</v>
      </c>
      <c r="I25" s="512"/>
      <c r="J25" s="513">
        <f t="shared" si="1"/>
        <v>266900.80000000005</v>
      </c>
      <c r="K25" s="514"/>
      <c r="L25" s="285" t="s">
        <v>349</v>
      </c>
      <c r="M25" s="368"/>
      <c r="N25" s="368"/>
    </row>
    <row r="26" spans="1:14" s="285" customFormat="1" ht="27.95" customHeight="1" x14ac:dyDescent="0.25">
      <c r="A26" s="478" t="s">
        <v>138</v>
      </c>
      <c r="B26" s="479"/>
      <c r="C26" s="484" t="s">
        <v>137</v>
      </c>
      <c r="D26" s="484"/>
      <c r="E26" s="485">
        <f>'CWB-12X36-DIURNO- 2º A DOM   '!C98</f>
        <v>11868.07</v>
      </c>
      <c r="F26" s="485"/>
      <c r="G26" s="370">
        <v>1</v>
      </c>
      <c r="H26" s="485">
        <f t="shared" si="2"/>
        <v>11868.07</v>
      </c>
      <c r="I26" s="485"/>
      <c r="J26" s="494">
        <f t="shared" si="1"/>
        <v>237361.4</v>
      </c>
      <c r="K26" s="495"/>
      <c r="L26" s="285" t="s">
        <v>349</v>
      </c>
      <c r="M26" s="368"/>
      <c r="N26" s="368"/>
    </row>
    <row r="27" spans="1:14" s="285" customFormat="1" ht="27.95" customHeight="1" thickBot="1" x14ac:dyDescent="0.3">
      <c r="A27" s="482"/>
      <c r="B27" s="483"/>
      <c r="C27" s="464" t="s">
        <v>136</v>
      </c>
      <c r="D27" s="464"/>
      <c r="E27" s="465">
        <f>'CWB-12X36-NOTURNO- 2º A DOM   '!C99</f>
        <v>13345.04</v>
      </c>
      <c r="F27" s="465"/>
      <c r="G27" s="371">
        <v>1</v>
      </c>
      <c r="H27" s="465">
        <f t="shared" si="2"/>
        <v>13345.04</v>
      </c>
      <c r="I27" s="465"/>
      <c r="J27" s="498">
        <f t="shared" si="1"/>
        <v>266900.80000000005</v>
      </c>
      <c r="K27" s="499"/>
      <c r="L27" s="285" t="s">
        <v>349</v>
      </c>
      <c r="M27" s="368"/>
      <c r="N27" s="368"/>
    </row>
    <row r="28" spans="1:14" s="285" customFormat="1" ht="27.95" customHeight="1" x14ac:dyDescent="0.25">
      <c r="A28" s="505" t="s">
        <v>81</v>
      </c>
      <c r="B28" s="506"/>
      <c r="C28" s="511" t="s">
        <v>136</v>
      </c>
      <c r="D28" s="511"/>
      <c r="E28" s="472">
        <f>'FOZ-12X36 -NOTURNO- 2º A DOM'!C99</f>
        <v>13561.49</v>
      </c>
      <c r="F28" s="472"/>
      <c r="G28" s="364">
        <v>1</v>
      </c>
      <c r="H28" s="472">
        <f t="shared" si="2"/>
        <v>13561.49</v>
      </c>
      <c r="I28" s="472"/>
      <c r="J28" s="473">
        <f t="shared" si="1"/>
        <v>271229.8</v>
      </c>
      <c r="K28" s="474"/>
      <c r="L28" s="285" t="s">
        <v>349</v>
      </c>
      <c r="M28" s="368" t="s">
        <v>351</v>
      </c>
      <c r="N28" s="368"/>
    </row>
    <row r="29" spans="1:14" s="285" customFormat="1" ht="27.95" customHeight="1" x14ac:dyDescent="0.25">
      <c r="A29" s="507"/>
      <c r="B29" s="508"/>
      <c r="C29" s="518" t="s">
        <v>137</v>
      </c>
      <c r="D29" s="518"/>
      <c r="E29" s="519">
        <f>'FOZ-12X36-DIURNO - 2º A DOM'!C98</f>
        <v>12056.27</v>
      </c>
      <c r="F29" s="519"/>
      <c r="G29" s="362">
        <v>1</v>
      </c>
      <c r="H29" s="519">
        <f t="shared" si="2"/>
        <v>12056.27</v>
      </c>
      <c r="I29" s="519"/>
      <c r="J29" s="520">
        <f t="shared" si="1"/>
        <v>241125.40000000002</v>
      </c>
      <c r="K29" s="521"/>
      <c r="L29" s="285" t="s">
        <v>349</v>
      </c>
      <c r="M29" s="368"/>
      <c r="N29" s="368"/>
    </row>
    <row r="30" spans="1:14" s="285" customFormat="1" ht="27.95" customHeight="1" x14ac:dyDescent="0.25">
      <c r="A30" s="507"/>
      <c r="B30" s="508"/>
      <c r="C30" s="518" t="s">
        <v>136</v>
      </c>
      <c r="D30" s="518"/>
      <c r="E30" s="519">
        <f>'FOZ-12X36 -NOTURNO- 2º A DOM'!C99</f>
        <v>13561.49</v>
      </c>
      <c r="F30" s="519"/>
      <c r="G30" s="362">
        <v>1</v>
      </c>
      <c r="H30" s="519">
        <f t="shared" si="2"/>
        <v>13561.49</v>
      </c>
      <c r="I30" s="519"/>
      <c r="J30" s="520">
        <f t="shared" si="1"/>
        <v>271229.8</v>
      </c>
      <c r="K30" s="521"/>
      <c r="L30" s="285" t="s">
        <v>349</v>
      </c>
      <c r="M30" s="368" t="s">
        <v>351</v>
      </c>
      <c r="N30" s="368"/>
    </row>
    <row r="31" spans="1:14" s="285" customFormat="1" ht="27.95" customHeight="1" thickBot="1" x14ac:dyDescent="0.3">
      <c r="A31" s="509"/>
      <c r="B31" s="510"/>
      <c r="C31" s="523" t="s">
        <v>123</v>
      </c>
      <c r="D31" s="523"/>
      <c r="E31" s="512">
        <f>'FOZ- SDF 24HORAS'!C99</f>
        <v>4124.16</v>
      </c>
      <c r="F31" s="512"/>
      <c r="G31" s="369">
        <v>1</v>
      </c>
      <c r="H31" s="512">
        <f t="shared" si="2"/>
        <v>4124.16</v>
      </c>
      <c r="I31" s="512"/>
      <c r="J31" s="513">
        <f t="shared" si="1"/>
        <v>82483.199999999997</v>
      </c>
      <c r="K31" s="514"/>
      <c r="L31" s="285" t="s">
        <v>349</v>
      </c>
      <c r="M31" s="368"/>
      <c r="N31" s="368"/>
    </row>
    <row r="32" spans="1:14" s="285" customFormat="1" ht="27.95" customHeight="1" x14ac:dyDescent="0.25">
      <c r="A32" s="478" t="s">
        <v>97</v>
      </c>
      <c r="B32" s="479"/>
      <c r="C32" s="493" t="s">
        <v>137</v>
      </c>
      <c r="D32" s="493"/>
      <c r="E32" s="485">
        <f>+'GOIOERE 12X36 DIURNO 2º A DOM'!C98</f>
        <v>11996.32</v>
      </c>
      <c r="F32" s="485"/>
      <c r="G32" s="370">
        <v>1</v>
      </c>
      <c r="H32" s="485">
        <f t="shared" si="2"/>
        <v>11996.32</v>
      </c>
      <c r="I32" s="485"/>
      <c r="J32" s="485">
        <f t="shared" si="1"/>
        <v>239926.39999999999</v>
      </c>
      <c r="K32" s="486"/>
      <c r="L32" s="285" t="s">
        <v>349</v>
      </c>
      <c r="M32" s="368"/>
      <c r="N32" s="368"/>
    </row>
    <row r="33" spans="1:14" s="285" customFormat="1" ht="27.95" customHeight="1" thickBot="1" x14ac:dyDescent="0.3">
      <c r="A33" s="482"/>
      <c r="B33" s="483"/>
      <c r="C33" s="524" t="s">
        <v>136</v>
      </c>
      <c r="D33" s="524"/>
      <c r="E33" s="465">
        <f>'GOIOERE12X36 NOTURNO 2º A DOM'!C99</f>
        <v>13784.05</v>
      </c>
      <c r="F33" s="465"/>
      <c r="G33" s="371">
        <v>1</v>
      </c>
      <c r="H33" s="465">
        <f t="shared" si="2"/>
        <v>13784.05</v>
      </c>
      <c r="I33" s="465"/>
      <c r="J33" s="465">
        <f t="shared" si="1"/>
        <v>275681</v>
      </c>
      <c r="K33" s="466"/>
      <c r="L33" s="285" t="s">
        <v>349</v>
      </c>
      <c r="M33" s="368"/>
      <c r="N33" s="368"/>
    </row>
    <row r="34" spans="1:14" s="285" customFormat="1" ht="27.95" customHeight="1" x14ac:dyDescent="0.25">
      <c r="A34" s="505" t="s">
        <v>82</v>
      </c>
      <c r="B34" s="506"/>
      <c r="C34" s="471" t="s">
        <v>137</v>
      </c>
      <c r="D34" s="471"/>
      <c r="E34" s="472">
        <f>'IRATI-12X36 DIURNO 2º A DOM '!C98</f>
        <v>11895.05</v>
      </c>
      <c r="F34" s="472"/>
      <c r="G34" s="364">
        <v>1</v>
      </c>
      <c r="H34" s="472">
        <f t="shared" si="2"/>
        <v>11895.05</v>
      </c>
      <c r="I34" s="472"/>
      <c r="J34" s="473">
        <f t="shared" si="1"/>
        <v>237901</v>
      </c>
      <c r="K34" s="474"/>
      <c r="L34" s="285" t="s">
        <v>349</v>
      </c>
      <c r="M34" s="368"/>
      <c r="N34" s="368"/>
    </row>
    <row r="35" spans="1:14" s="285" customFormat="1" ht="27.95" customHeight="1" thickBot="1" x14ac:dyDescent="0.3">
      <c r="A35" s="509"/>
      <c r="B35" s="510"/>
      <c r="C35" s="516" t="s">
        <v>136</v>
      </c>
      <c r="D35" s="516"/>
      <c r="E35" s="512">
        <f>'IRATI -12X36 NOTURNO 2º A DOM'!C99</f>
        <v>13381.31</v>
      </c>
      <c r="F35" s="512"/>
      <c r="G35" s="369">
        <v>1</v>
      </c>
      <c r="H35" s="512">
        <f t="shared" si="2"/>
        <v>13381.31</v>
      </c>
      <c r="I35" s="512"/>
      <c r="J35" s="513">
        <f t="shared" ref="J35:J64" si="3">H35*20</f>
        <v>267626.2</v>
      </c>
      <c r="K35" s="514"/>
      <c r="L35" s="285" t="s">
        <v>349</v>
      </c>
      <c r="M35" s="368"/>
      <c r="N35" s="368"/>
    </row>
    <row r="36" spans="1:14" s="285" customFormat="1" ht="27.95" customHeight="1" x14ac:dyDescent="0.25">
      <c r="A36" s="478" t="s">
        <v>83</v>
      </c>
      <c r="B36" s="479"/>
      <c r="C36" s="484" t="s">
        <v>137</v>
      </c>
      <c r="D36" s="484"/>
      <c r="E36" s="485">
        <f>+'IVAIPORÃ 12X36 DIURNO 2º A DOM'!C98</f>
        <v>11996.32</v>
      </c>
      <c r="F36" s="485"/>
      <c r="G36" s="370">
        <v>1</v>
      </c>
      <c r="H36" s="485">
        <f t="shared" si="2"/>
        <v>11996.32</v>
      </c>
      <c r="I36" s="485"/>
      <c r="J36" s="494">
        <f t="shared" si="3"/>
        <v>239926.39999999999</v>
      </c>
      <c r="K36" s="495"/>
      <c r="L36" s="285" t="s">
        <v>349</v>
      </c>
      <c r="M36" s="368"/>
      <c r="N36" s="368"/>
    </row>
    <row r="37" spans="1:14" s="285" customFormat="1" ht="27.95" customHeight="1" thickBot="1" x14ac:dyDescent="0.3">
      <c r="A37" s="482"/>
      <c r="B37" s="483"/>
      <c r="C37" s="464" t="s">
        <v>136</v>
      </c>
      <c r="D37" s="464"/>
      <c r="E37" s="465">
        <f>'IVAIPORA 12X36 NOTURN  2ª A DOM'!C99</f>
        <v>13784.05</v>
      </c>
      <c r="F37" s="465"/>
      <c r="G37" s="371">
        <v>1</v>
      </c>
      <c r="H37" s="465">
        <f t="shared" si="2"/>
        <v>13784.05</v>
      </c>
      <c r="I37" s="465"/>
      <c r="J37" s="498">
        <f t="shared" si="3"/>
        <v>275681</v>
      </c>
      <c r="K37" s="499"/>
      <c r="L37" s="285" t="s">
        <v>349</v>
      </c>
      <c r="M37" s="368"/>
      <c r="N37" s="368"/>
    </row>
    <row r="38" spans="1:14" s="285" customFormat="1" ht="27.95" customHeight="1" x14ac:dyDescent="0.25">
      <c r="A38" s="505" t="s">
        <v>84</v>
      </c>
      <c r="B38" s="506"/>
      <c r="C38" s="471" t="s">
        <v>137</v>
      </c>
      <c r="D38" s="471"/>
      <c r="E38" s="472">
        <f>+'JACAREZINHO 12X36 DIURNO 2ºADOM'!C98</f>
        <v>12002.42</v>
      </c>
      <c r="F38" s="472"/>
      <c r="G38" s="364">
        <v>1</v>
      </c>
      <c r="H38" s="472">
        <f t="shared" si="2"/>
        <v>12002.42</v>
      </c>
      <c r="I38" s="472"/>
      <c r="J38" s="473">
        <f t="shared" si="3"/>
        <v>240048.4</v>
      </c>
      <c r="K38" s="474"/>
      <c r="L38" s="285" t="s">
        <v>349</v>
      </c>
      <c r="M38" s="368"/>
      <c r="N38" s="368"/>
    </row>
    <row r="39" spans="1:14" s="285" customFormat="1" ht="27.95" customHeight="1" thickBot="1" x14ac:dyDescent="0.3">
      <c r="A39" s="509"/>
      <c r="B39" s="510"/>
      <c r="C39" s="516" t="s">
        <v>136</v>
      </c>
      <c r="D39" s="516"/>
      <c r="E39" s="512">
        <f>'JACAREZINHO 12X36 NOT 2ºADOM'!C99</f>
        <v>13928.76</v>
      </c>
      <c r="F39" s="512"/>
      <c r="G39" s="369">
        <v>1</v>
      </c>
      <c r="H39" s="512">
        <f t="shared" si="2"/>
        <v>13928.76</v>
      </c>
      <c r="I39" s="512"/>
      <c r="J39" s="513">
        <f t="shared" si="3"/>
        <v>278575.2</v>
      </c>
      <c r="K39" s="514"/>
      <c r="L39" s="285" t="s">
        <v>349</v>
      </c>
      <c r="M39" s="368"/>
      <c r="N39" s="368"/>
    </row>
    <row r="40" spans="1:14" s="285" customFormat="1" ht="27.95" customHeight="1" x14ac:dyDescent="0.25">
      <c r="A40" s="478" t="s">
        <v>98</v>
      </c>
      <c r="B40" s="479"/>
      <c r="C40" s="484" t="s">
        <v>137</v>
      </c>
      <c r="D40" s="484"/>
      <c r="E40" s="485">
        <f>'JAGUARIAI 12X36 DIURNO 2º A DOM'!C98</f>
        <v>11747.14</v>
      </c>
      <c r="F40" s="485"/>
      <c r="G40" s="370">
        <v>1</v>
      </c>
      <c r="H40" s="485">
        <f t="shared" si="2"/>
        <v>11747.14</v>
      </c>
      <c r="I40" s="485"/>
      <c r="J40" s="485">
        <f t="shared" si="3"/>
        <v>234942.8</v>
      </c>
      <c r="K40" s="486"/>
      <c r="L40" s="285" t="s">
        <v>349</v>
      </c>
      <c r="M40" s="368"/>
      <c r="N40" s="368"/>
    </row>
    <row r="41" spans="1:14" s="285" customFormat="1" ht="27.95" customHeight="1" thickBot="1" x14ac:dyDescent="0.3">
      <c r="A41" s="482"/>
      <c r="B41" s="483"/>
      <c r="C41" s="464" t="s">
        <v>136</v>
      </c>
      <c r="D41" s="464"/>
      <c r="E41" s="465">
        <f>'JAGUARIAI 12X36 NOTURN 2º A DOM'!C99</f>
        <v>13214.92</v>
      </c>
      <c r="F41" s="465"/>
      <c r="G41" s="371">
        <v>1</v>
      </c>
      <c r="H41" s="465">
        <f t="shared" si="2"/>
        <v>13214.92</v>
      </c>
      <c r="I41" s="465"/>
      <c r="J41" s="465">
        <f t="shared" si="3"/>
        <v>264298.40000000002</v>
      </c>
      <c r="K41" s="466"/>
      <c r="L41" s="285" t="s">
        <v>349</v>
      </c>
      <c r="M41" s="368"/>
      <c r="N41" s="368"/>
    </row>
    <row r="42" spans="1:14" s="285" customFormat="1" ht="27.95" customHeight="1" x14ac:dyDescent="0.25">
      <c r="A42" s="537" t="s">
        <v>85</v>
      </c>
      <c r="B42" s="538"/>
      <c r="C42" s="511" t="s">
        <v>140</v>
      </c>
      <c r="D42" s="511"/>
      <c r="E42" s="472">
        <f>+'Londrina 44H SEMANAIS '!C97</f>
        <v>6010.9</v>
      </c>
      <c r="F42" s="472"/>
      <c r="G42" s="364">
        <v>2</v>
      </c>
      <c r="H42" s="472">
        <f t="shared" si="2"/>
        <v>12021.8</v>
      </c>
      <c r="I42" s="472"/>
      <c r="J42" s="472">
        <f t="shared" si="3"/>
        <v>240436</v>
      </c>
      <c r="K42" s="517"/>
      <c r="L42" s="285" t="s">
        <v>354</v>
      </c>
      <c r="M42" s="368"/>
      <c r="N42" s="368"/>
    </row>
    <row r="43" spans="1:14" s="285" customFormat="1" ht="27.95" customHeight="1" x14ac:dyDescent="0.25">
      <c r="A43" s="537"/>
      <c r="B43" s="538"/>
      <c r="C43" s="518" t="s">
        <v>139</v>
      </c>
      <c r="D43" s="518"/>
      <c r="E43" s="519">
        <f>+'LONDRINA 12X36 DIURNO 2º A DOM'!C98</f>
        <v>11907.86</v>
      </c>
      <c r="F43" s="519"/>
      <c r="G43" s="362">
        <v>1</v>
      </c>
      <c r="H43" s="519">
        <f t="shared" si="2"/>
        <v>11907.86</v>
      </c>
      <c r="I43" s="519"/>
      <c r="J43" s="520">
        <f t="shared" si="3"/>
        <v>238157.2</v>
      </c>
      <c r="K43" s="521"/>
      <c r="L43" s="285" t="s">
        <v>349</v>
      </c>
      <c r="M43" s="368"/>
      <c r="N43" s="368"/>
    </row>
    <row r="44" spans="1:14" s="285" customFormat="1" ht="27.95" customHeight="1" thickBot="1" x14ac:dyDescent="0.3">
      <c r="A44" s="537"/>
      <c r="B44" s="538"/>
      <c r="C44" s="523" t="s">
        <v>136</v>
      </c>
      <c r="D44" s="523"/>
      <c r="E44" s="512">
        <f>+'LONDRINA 12X36 NOTURNO 2º A DOM'!C99</f>
        <v>13421.39</v>
      </c>
      <c r="F44" s="512"/>
      <c r="G44" s="369">
        <v>1</v>
      </c>
      <c r="H44" s="512">
        <f t="shared" si="2"/>
        <v>13421.39</v>
      </c>
      <c r="I44" s="512"/>
      <c r="J44" s="513">
        <f t="shared" si="3"/>
        <v>268427.8</v>
      </c>
      <c r="K44" s="514"/>
      <c r="L44" s="285" t="s">
        <v>349</v>
      </c>
      <c r="M44" s="368"/>
      <c r="N44" s="368"/>
    </row>
    <row r="45" spans="1:14" s="285" customFormat="1" ht="27.95" customHeight="1" x14ac:dyDescent="0.25">
      <c r="A45" s="478" t="s">
        <v>90</v>
      </c>
      <c r="B45" s="479"/>
      <c r="C45" s="484" t="s">
        <v>137</v>
      </c>
      <c r="D45" s="484"/>
      <c r="E45" s="485">
        <f>'PALMAS 12X36 DIURNO 2º A DOM'!C98</f>
        <v>11895.05</v>
      </c>
      <c r="F45" s="485"/>
      <c r="G45" s="370">
        <v>1</v>
      </c>
      <c r="H45" s="485">
        <f t="shared" si="2"/>
        <v>11895.05</v>
      </c>
      <c r="I45" s="485"/>
      <c r="J45" s="485">
        <f t="shared" si="3"/>
        <v>237901</v>
      </c>
      <c r="K45" s="486"/>
      <c r="L45" s="285" t="s">
        <v>349</v>
      </c>
      <c r="M45" s="368"/>
      <c r="N45" s="368"/>
    </row>
    <row r="46" spans="1:14" s="285" customFormat="1" ht="27.95" customHeight="1" x14ac:dyDescent="0.25">
      <c r="A46" s="480"/>
      <c r="B46" s="481"/>
      <c r="C46" s="475" t="s">
        <v>136</v>
      </c>
      <c r="D46" s="475"/>
      <c r="E46" s="476">
        <f>'PALMAS 12X36 NOTURNO 2º A DOM'!C99</f>
        <v>13381.31</v>
      </c>
      <c r="F46" s="476"/>
      <c r="G46" s="367">
        <v>1</v>
      </c>
      <c r="H46" s="476">
        <f t="shared" si="2"/>
        <v>13381.31</v>
      </c>
      <c r="I46" s="476"/>
      <c r="J46" s="476">
        <f t="shared" si="3"/>
        <v>267626.2</v>
      </c>
      <c r="K46" s="477"/>
      <c r="L46" s="285" t="s">
        <v>349</v>
      </c>
      <c r="M46" s="368"/>
      <c r="N46" s="368"/>
    </row>
    <row r="47" spans="1:14" s="285" customFormat="1" ht="27.95" customHeight="1" x14ac:dyDescent="0.25">
      <c r="A47" s="480"/>
      <c r="B47" s="481"/>
      <c r="C47" s="475" t="s">
        <v>141</v>
      </c>
      <c r="D47" s="475"/>
      <c r="E47" s="476">
        <f>'PALMAS 12X36 NOTU 2º A DOM MOTO'!C102</f>
        <v>13775.72</v>
      </c>
      <c r="F47" s="476"/>
      <c r="G47" s="367">
        <v>1</v>
      </c>
      <c r="H47" s="476">
        <f t="shared" si="2"/>
        <v>13775.72</v>
      </c>
      <c r="I47" s="476"/>
      <c r="J47" s="476">
        <f t="shared" si="3"/>
        <v>275514.39999999997</v>
      </c>
      <c r="K47" s="477"/>
      <c r="L47" s="285" t="s">
        <v>349</v>
      </c>
      <c r="M47" s="368"/>
      <c r="N47" s="368"/>
    </row>
    <row r="48" spans="1:14" s="285" customFormat="1" ht="27.95" customHeight="1" thickBot="1" x14ac:dyDescent="0.3">
      <c r="A48" s="482"/>
      <c r="B48" s="483"/>
      <c r="C48" s="464" t="s">
        <v>123</v>
      </c>
      <c r="D48" s="464"/>
      <c r="E48" s="465">
        <f>'PALMAS- SDF 24 24HORAS'!C99</f>
        <v>4067.45</v>
      </c>
      <c r="F48" s="465"/>
      <c r="G48" s="371">
        <v>1</v>
      </c>
      <c r="H48" s="465">
        <f t="shared" si="2"/>
        <v>4067.45</v>
      </c>
      <c r="I48" s="465"/>
      <c r="J48" s="465">
        <f t="shared" si="3"/>
        <v>81349</v>
      </c>
      <c r="K48" s="466"/>
      <c r="L48" s="285" t="s">
        <v>349</v>
      </c>
      <c r="M48" s="368"/>
      <c r="N48" s="368"/>
    </row>
    <row r="49" spans="1:14" s="285" customFormat="1" ht="27.95" customHeight="1" x14ac:dyDescent="0.25">
      <c r="A49" s="467" t="s">
        <v>86</v>
      </c>
      <c r="B49" s="468"/>
      <c r="C49" s="471" t="s">
        <v>139</v>
      </c>
      <c r="D49" s="471"/>
      <c r="E49" s="472">
        <f>+'PARANAGUA 12X36 DIURNO 2º A DOM'!C98</f>
        <v>11966.77</v>
      </c>
      <c r="F49" s="472"/>
      <c r="G49" s="364">
        <v>1</v>
      </c>
      <c r="H49" s="472">
        <f t="shared" si="2"/>
        <v>11966.77</v>
      </c>
      <c r="I49" s="472"/>
      <c r="J49" s="473">
        <f t="shared" si="3"/>
        <v>239335.40000000002</v>
      </c>
      <c r="K49" s="474"/>
      <c r="L49" s="285" t="s">
        <v>349</v>
      </c>
      <c r="M49" s="368"/>
      <c r="N49" s="368"/>
    </row>
    <row r="50" spans="1:14" s="285" customFormat="1" ht="27.95" customHeight="1" thickBot="1" x14ac:dyDescent="0.3">
      <c r="A50" s="469"/>
      <c r="B50" s="470"/>
      <c r="C50" s="516" t="s">
        <v>136</v>
      </c>
      <c r="D50" s="516"/>
      <c r="E50" s="512">
        <f>'PARANAGUA 12X36 NOTURNO 2ºADOM'!C99</f>
        <v>13569.25</v>
      </c>
      <c r="F50" s="512"/>
      <c r="G50" s="369">
        <v>2</v>
      </c>
      <c r="H50" s="512">
        <f t="shared" si="2"/>
        <v>27138.5</v>
      </c>
      <c r="I50" s="512"/>
      <c r="J50" s="513">
        <f t="shared" si="3"/>
        <v>542770</v>
      </c>
      <c r="K50" s="514"/>
      <c r="L50" s="285" t="s">
        <v>349</v>
      </c>
      <c r="M50" s="368"/>
      <c r="N50" s="368"/>
    </row>
    <row r="51" spans="1:14" s="285" customFormat="1" ht="27.95" customHeight="1" x14ac:dyDescent="0.25">
      <c r="A51" s="478" t="s">
        <v>87</v>
      </c>
      <c r="B51" s="479"/>
      <c r="C51" s="484" t="s">
        <v>136</v>
      </c>
      <c r="D51" s="484"/>
      <c r="E51" s="485">
        <f>'PARANAVAÍ 12X36 NOTURN 2º A DOM'!C99</f>
        <v>13577.01</v>
      </c>
      <c r="F51" s="485"/>
      <c r="G51" s="370">
        <v>1</v>
      </c>
      <c r="H51" s="485">
        <f t="shared" si="2"/>
        <v>13577.01</v>
      </c>
      <c r="I51" s="485"/>
      <c r="J51" s="494">
        <f t="shared" si="3"/>
        <v>271540.2</v>
      </c>
      <c r="K51" s="495"/>
      <c r="L51" s="285" t="s">
        <v>349</v>
      </c>
      <c r="M51" s="368"/>
      <c r="N51" s="368"/>
    </row>
    <row r="52" spans="1:14" s="285" customFormat="1" ht="27.95" customHeight="1" thickBot="1" x14ac:dyDescent="0.3">
      <c r="A52" s="482"/>
      <c r="B52" s="483"/>
      <c r="C52" s="464" t="s">
        <v>140</v>
      </c>
      <c r="D52" s="464"/>
      <c r="E52" s="465">
        <f>+'PARANAVAI 44H SEMANAIS '!C97</f>
        <v>6003.91</v>
      </c>
      <c r="F52" s="465"/>
      <c r="G52" s="371">
        <v>1</v>
      </c>
      <c r="H52" s="465">
        <f t="shared" si="2"/>
        <v>6003.91</v>
      </c>
      <c r="I52" s="465"/>
      <c r="J52" s="498">
        <f t="shared" si="3"/>
        <v>120078.2</v>
      </c>
      <c r="K52" s="499"/>
      <c r="L52" s="285" t="s">
        <v>349</v>
      </c>
      <c r="M52" s="368"/>
      <c r="N52" s="368"/>
    </row>
    <row r="53" spans="1:14" s="285" customFormat="1" ht="27.95" customHeight="1" x14ac:dyDescent="0.25">
      <c r="A53" s="467" t="s">
        <v>99</v>
      </c>
      <c r="B53" s="468"/>
      <c r="C53" s="471" t="s">
        <v>137</v>
      </c>
      <c r="D53" s="471"/>
      <c r="E53" s="472">
        <f>'PINHAIS 12X36 DIURNO 2º A DOM'!C98</f>
        <v>11809.42</v>
      </c>
      <c r="F53" s="472"/>
      <c r="G53" s="364">
        <v>1</v>
      </c>
      <c r="H53" s="472">
        <f t="shared" si="2"/>
        <v>11809.42</v>
      </c>
      <c r="I53" s="472"/>
      <c r="J53" s="472">
        <f t="shared" si="3"/>
        <v>236188.4</v>
      </c>
      <c r="K53" s="517"/>
      <c r="L53" s="285" t="s">
        <v>349</v>
      </c>
      <c r="M53" s="368"/>
      <c r="N53" s="368"/>
    </row>
    <row r="54" spans="1:14" s="285" customFormat="1" ht="27.95" customHeight="1" thickBot="1" x14ac:dyDescent="0.3">
      <c r="A54" s="469"/>
      <c r="B54" s="470"/>
      <c r="C54" s="516" t="s">
        <v>136</v>
      </c>
      <c r="D54" s="516"/>
      <c r="E54" s="512">
        <f>'PINHAIS 12X36 NOTURNO 2º A DOM'!C99</f>
        <v>13277.21</v>
      </c>
      <c r="F54" s="512"/>
      <c r="G54" s="369">
        <v>1</v>
      </c>
      <c r="H54" s="512">
        <f t="shared" si="2"/>
        <v>13277.21</v>
      </c>
      <c r="I54" s="512"/>
      <c r="J54" s="512">
        <f t="shared" si="3"/>
        <v>265544.19999999995</v>
      </c>
      <c r="K54" s="522"/>
      <c r="L54" s="285" t="s">
        <v>349</v>
      </c>
      <c r="M54" s="368"/>
      <c r="N54" s="368"/>
    </row>
    <row r="55" spans="1:14" s="285" customFormat="1" ht="27.95" customHeight="1" x14ac:dyDescent="0.25">
      <c r="A55" s="478" t="s">
        <v>100</v>
      </c>
      <c r="B55" s="479"/>
      <c r="C55" s="484" t="s">
        <v>137</v>
      </c>
      <c r="D55" s="484"/>
      <c r="E55" s="485">
        <f>+'PITANGA 12X36 DIURNO 2º A DOM'!C98</f>
        <v>11895.05</v>
      </c>
      <c r="F55" s="485"/>
      <c r="G55" s="370">
        <v>1</v>
      </c>
      <c r="H55" s="485">
        <f t="shared" si="2"/>
        <v>11895.05</v>
      </c>
      <c r="I55" s="485"/>
      <c r="J55" s="485">
        <f t="shared" si="3"/>
        <v>237901</v>
      </c>
      <c r="K55" s="486"/>
      <c r="L55" s="285" t="s">
        <v>349</v>
      </c>
      <c r="M55" s="368"/>
      <c r="N55" s="368"/>
    </row>
    <row r="56" spans="1:14" s="285" customFormat="1" ht="27.95" customHeight="1" thickBot="1" x14ac:dyDescent="0.3">
      <c r="A56" s="482"/>
      <c r="B56" s="483"/>
      <c r="C56" s="464" t="s">
        <v>136</v>
      </c>
      <c r="D56" s="464"/>
      <c r="E56" s="465">
        <f>+'PITANGA 12X36 NOTURNO 2º A DOM'!C99</f>
        <v>13381.31</v>
      </c>
      <c r="F56" s="465"/>
      <c r="G56" s="371">
        <v>1</v>
      </c>
      <c r="H56" s="465">
        <f t="shared" si="2"/>
        <v>13381.31</v>
      </c>
      <c r="I56" s="465"/>
      <c r="J56" s="465">
        <f t="shared" si="3"/>
        <v>267626.2</v>
      </c>
      <c r="K56" s="466"/>
      <c r="L56" s="285" t="s">
        <v>349</v>
      </c>
      <c r="M56" s="368"/>
      <c r="N56" s="368"/>
    </row>
    <row r="57" spans="1:14" s="285" customFormat="1" ht="27.95" customHeight="1" x14ac:dyDescent="0.25">
      <c r="A57" s="467" t="s">
        <v>334</v>
      </c>
      <c r="B57" s="468"/>
      <c r="C57" s="511" t="s">
        <v>123</v>
      </c>
      <c r="D57" s="511"/>
      <c r="E57" s="529">
        <f>'QUEDAS SDF 24 24HORAS (2)'!C99</f>
        <v>4179.8900000000003</v>
      </c>
      <c r="F57" s="529"/>
      <c r="G57" s="364">
        <v>1</v>
      </c>
      <c r="H57" s="472">
        <f t="shared" si="2"/>
        <v>4179.8900000000003</v>
      </c>
      <c r="I57" s="472"/>
      <c r="J57" s="472">
        <f t="shared" si="3"/>
        <v>83597.8</v>
      </c>
      <c r="K57" s="517"/>
      <c r="L57" s="285" t="s">
        <v>350</v>
      </c>
      <c r="M57" s="368"/>
      <c r="N57" s="368"/>
    </row>
    <row r="58" spans="1:14" s="285" customFormat="1" ht="27.95" customHeight="1" thickBot="1" x14ac:dyDescent="0.3">
      <c r="A58" s="469"/>
      <c r="B58" s="470"/>
      <c r="C58" s="523" t="s">
        <v>136</v>
      </c>
      <c r="D58" s="523"/>
      <c r="E58" s="512">
        <f>'QUEDAS 12X36 NOTURNO 2º A (2'!C99</f>
        <v>13941.85</v>
      </c>
      <c r="F58" s="512"/>
      <c r="G58" s="369">
        <v>1</v>
      </c>
      <c r="H58" s="512">
        <f t="shared" si="2"/>
        <v>13941.85</v>
      </c>
      <c r="I58" s="512"/>
      <c r="J58" s="512">
        <f t="shared" si="3"/>
        <v>278837</v>
      </c>
      <c r="K58" s="522"/>
      <c r="L58" s="285" t="s">
        <v>350</v>
      </c>
      <c r="M58" s="368"/>
      <c r="N58" s="368"/>
    </row>
    <row r="59" spans="1:14" s="285" customFormat="1" ht="27.95" customHeight="1" x14ac:dyDescent="0.25">
      <c r="A59" s="478" t="s">
        <v>88</v>
      </c>
      <c r="B59" s="479"/>
      <c r="C59" s="493" t="s">
        <v>137</v>
      </c>
      <c r="D59" s="493"/>
      <c r="E59" s="485">
        <f>'TELEMACO 12X36 DIURNO 2º A DOM'!C98</f>
        <v>11970.41</v>
      </c>
      <c r="F59" s="485"/>
      <c r="G59" s="370">
        <v>1</v>
      </c>
      <c r="H59" s="485">
        <f t="shared" si="2"/>
        <v>11970.41</v>
      </c>
      <c r="I59" s="485"/>
      <c r="J59" s="494">
        <f t="shared" si="3"/>
        <v>239408.2</v>
      </c>
      <c r="K59" s="495"/>
      <c r="L59" s="285" t="s">
        <v>349</v>
      </c>
      <c r="M59" s="368"/>
      <c r="N59" s="368"/>
    </row>
    <row r="60" spans="1:14" s="285" customFormat="1" ht="27.95" customHeight="1" thickBot="1" x14ac:dyDescent="0.3">
      <c r="A60" s="482"/>
      <c r="B60" s="483"/>
      <c r="C60" s="524" t="s">
        <v>136</v>
      </c>
      <c r="D60" s="524"/>
      <c r="E60" s="465">
        <f>'TELEMACO 12X36 NOTURNO 2º A DOM'!C99</f>
        <v>13466.09</v>
      </c>
      <c r="F60" s="465"/>
      <c r="G60" s="371">
        <v>1</v>
      </c>
      <c r="H60" s="465">
        <f t="shared" si="2"/>
        <v>13466.09</v>
      </c>
      <c r="I60" s="465"/>
      <c r="J60" s="498">
        <f t="shared" si="3"/>
        <v>269321.8</v>
      </c>
      <c r="K60" s="499"/>
      <c r="L60" s="285" t="s">
        <v>349</v>
      </c>
      <c r="M60" s="368"/>
      <c r="N60" s="368"/>
    </row>
    <row r="61" spans="1:14" s="285" customFormat="1" ht="27.95" customHeight="1" x14ac:dyDescent="0.25">
      <c r="A61" s="467" t="s">
        <v>89</v>
      </c>
      <c r="B61" s="468"/>
      <c r="C61" s="511" t="s">
        <v>137</v>
      </c>
      <c r="D61" s="511"/>
      <c r="E61" s="472">
        <f>+'UMUARAMA 12X36 DIURNO 2º A DOM'!C98</f>
        <v>12004.19</v>
      </c>
      <c r="F61" s="472"/>
      <c r="G61" s="364">
        <v>1</v>
      </c>
      <c r="H61" s="472">
        <f t="shared" si="2"/>
        <v>12004.19</v>
      </c>
      <c r="I61" s="472"/>
      <c r="J61" s="473">
        <f t="shared" si="3"/>
        <v>240083.80000000002</v>
      </c>
      <c r="K61" s="474"/>
      <c r="L61" s="285" t="s">
        <v>349</v>
      </c>
      <c r="M61" s="368"/>
      <c r="N61" s="368"/>
    </row>
    <row r="62" spans="1:14" s="285" customFormat="1" ht="27.95" customHeight="1" thickBot="1" x14ac:dyDescent="0.3">
      <c r="A62" s="469"/>
      <c r="B62" s="470"/>
      <c r="C62" s="523" t="s">
        <v>136</v>
      </c>
      <c r="D62" s="523"/>
      <c r="E62" s="512">
        <f>'UMUARAMA 12X36 NOTURNO 2º A DOM'!C99</f>
        <v>13930.59</v>
      </c>
      <c r="F62" s="512"/>
      <c r="G62" s="369">
        <v>1</v>
      </c>
      <c r="H62" s="512">
        <f t="shared" si="2"/>
        <v>13930.59</v>
      </c>
      <c r="I62" s="512"/>
      <c r="J62" s="513">
        <f t="shared" si="3"/>
        <v>278611.8</v>
      </c>
      <c r="K62" s="514"/>
      <c r="L62" s="285" t="s">
        <v>349</v>
      </c>
      <c r="M62" s="368"/>
      <c r="N62" s="368"/>
    </row>
    <row r="63" spans="1:14" s="285" customFormat="1" ht="27.95" customHeight="1" x14ac:dyDescent="0.25">
      <c r="A63" s="478" t="s">
        <v>101</v>
      </c>
      <c r="B63" s="479"/>
      <c r="C63" s="484" t="s">
        <v>139</v>
      </c>
      <c r="D63" s="484"/>
      <c r="E63" s="530">
        <f>+'UNIAO 12X36 DIURNO 2º A DOM'!C98</f>
        <v>11944.98</v>
      </c>
      <c r="F63" s="530"/>
      <c r="G63" s="370">
        <v>1</v>
      </c>
      <c r="H63" s="485">
        <f t="shared" si="2"/>
        <v>11944.98</v>
      </c>
      <c r="I63" s="485"/>
      <c r="J63" s="485">
        <f t="shared" si="3"/>
        <v>238899.59999999998</v>
      </c>
      <c r="K63" s="486"/>
      <c r="M63" s="368"/>
      <c r="N63" s="368"/>
    </row>
    <row r="64" spans="1:14" s="285" customFormat="1" ht="27.95" customHeight="1" thickBot="1" x14ac:dyDescent="0.3">
      <c r="A64" s="525"/>
      <c r="B64" s="526"/>
      <c r="C64" s="531" t="s">
        <v>136</v>
      </c>
      <c r="D64" s="531"/>
      <c r="E64" s="527">
        <f>+'UNIAO 12X36 NOTURNO 2º A DOM'!C99</f>
        <v>13965.18</v>
      </c>
      <c r="F64" s="527"/>
      <c r="G64" s="373">
        <v>1</v>
      </c>
      <c r="H64" s="527">
        <f t="shared" si="2"/>
        <v>13965.18</v>
      </c>
      <c r="I64" s="527"/>
      <c r="J64" s="527">
        <f t="shared" si="3"/>
        <v>279303.59999999998</v>
      </c>
      <c r="K64" s="528"/>
      <c r="L64" s="285" t="s">
        <v>349</v>
      </c>
      <c r="M64" s="368"/>
      <c r="N64" s="368"/>
    </row>
    <row r="65" spans="1:11" ht="27.95" customHeight="1" thickBot="1" x14ac:dyDescent="0.3">
      <c r="A65" s="533" t="s">
        <v>77</v>
      </c>
      <c r="B65" s="534"/>
      <c r="C65" s="534"/>
      <c r="D65" s="534"/>
      <c r="E65" s="534"/>
      <c r="F65" s="534"/>
      <c r="G65" s="378">
        <f>SUM(G3:G64)</f>
        <v>68</v>
      </c>
      <c r="H65" s="535">
        <f>SUM(H3:I64)</f>
        <v>777574.01</v>
      </c>
      <c r="I65" s="535"/>
      <c r="J65" s="535">
        <f>SUM(J3:K64)</f>
        <v>15551480.200000003</v>
      </c>
      <c r="K65" s="536"/>
    </row>
    <row r="66" spans="1:11" ht="27.95" customHeight="1" x14ac:dyDescent="0.25">
      <c r="H66" s="377"/>
      <c r="I66" s="377"/>
      <c r="J66" s="377"/>
      <c r="K66" s="377"/>
    </row>
    <row r="67" spans="1:11" ht="20.100000000000001" customHeight="1" x14ac:dyDescent="0.25">
      <c r="C67" s="361" t="s">
        <v>346</v>
      </c>
      <c r="D67" s="361" t="s">
        <v>203</v>
      </c>
      <c r="K67" s="376">
        <f>J11/J65</f>
        <v>5.2524903706593785E-3</v>
      </c>
    </row>
    <row r="68" spans="1:11" ht="20.100000000000001" customHeight="1" x14ac:dyDescent="0.25">
      <c r="A68" s="363" t="s">
        <v>345</v>
      </c>
      <c r="C68" s="372">
        <v>593165.61</v>
      </c>
      <c r="D68" s="372">
        <f>C68*20</f>
        <v>11863312.199999999</v>
      </c>
      <c r="E68" s="68" t="s">
        <v>347</v>
      </c>
      <c r="G68" s="379">
        <v>42036</v>
      </c>
    </row>
    <row r="69" spans="1:11" ht="20.100000000000001" customHeight="1" x14ac:dyDescent="0.25">
      <c r="A69" s="372" t="s">
        <v>360</v>
      </c>
      <c r="C69" s="372"/>
      <c r="D69" s="372"/>
      <c r="G69" s="379">
        <v>42296</v>
      </c>
    </row>
    <row r="70" spans="1:11" ht="20.100000000000001" customHeight="1" x14ac:dyDescent="0.25">
      <c r="A70" s="372" t="s">
        <v>348</v>
      </c>
      <c r="B70" s="372"/>
      <c r="C70" s="374">
        <v>670777.91</v>
      </c>
      <c r="D70" s="374">
        <f>C70*20</f>
        <v>13415558.200000001</v>
      </c>
      <c r="G70" s="379">
        <v>42356</v>
      </c>
      <c r="I70" s="268">
        <f>C70*9</f>
        <v>6037001.1900000004</v>
      </c>
    </row>
    <row r="71" spans="1:11" ht="20.100000000000001" customHeight="1" x14ac:dyDescent="0.25">
      <c r="A71" s="372" t="s">
        <v>356</v>
      </c>
      <c r="B71" s="372"/>
      <c r="C71" s="374">
        <v>699039.72</v>
      </c>
      <c r="D71" s="374">
        <f>C71*20</f>
        <v>13980794.399999999</v>
      </c>
      <c r="G71" s="379">
        <v>42593</v>
      </c>
      <c r="I71" s="268">
        <f>C72*9</f>
        <v>6998166.0899999999</v>
      </c>
    </row>
    <row r="72" spans="1:11" ht="20.100000000000001" customHeight="1" x14ac:dyDescent="0.25">
      <c r="A72" s="372" t="s">
        <v>357</v>
      </c>
      <c r="B72" s="372"/>
      <c r="C72" s="374">
        <v>777574.01</v>
      </c>
      <c r="D72" s="374">
        <f>C72*20</f>
        <v>15551480.199999999</v>
      </c>
      <c r="I72" s="268">
        <f>I71-I70</f>
        <v>961164.89999999944</v>
      </c>
    </row>
    <row r="73" spans="1:11" ht="20.100000000000001" customHeight="1" x14ac:dyDescent="0.25">
      <c r="A73" s="372"/>
      <c r="B73" s="372"/>
      <c r="C73" s="374"/>
      <c r="D73" s="374"/>
    </row>
    <row r="74" spans="1:11" ht="20.100000000000001" customHeight="1" x14ac:dyDescent="0.25">
      <c r="A74" s="372"/>
      <c r="B74" s="372"/>
      <c r="C74" s="374"/>
      <c r="D74" s="374">
        <v>2332722.0299999998</v>
      </c>
      <c r="I74" s="268">
        <f>C72-C71</f>
        <v>78534.290000000037</v>
      </c>
    </row>
    <row r="75" spans="1:11" ht="20.100000000000001" customHeight="1" x14ac:dyDescent="0.25">
      <c r="A75" s="372"/>
      <c r="B75" s="372"/>
      <c r="D75" s="361">
        <f>D74/H65</f>
        <v>2.9999999999999996</v>
      </c>
    </row>
    <row r="76" spans="1:11" ht="20.100000000000001" customHeight="1" x14ac:dyDescent="0.25">
      <c r="A76" s="372"/>
      <c r="B76" s="372"/>
      <c r="D76" s="380">
        <f>J65-D74</f>
        <v>13218758.170000004</v>
      </c>
    </row>
    <row r="77" spans="1:11" ht="20.100000000000001" customHeight="1" x14ac:dyDescent="0.25">
      <c r="A77" s="372"/>
      <c r="B77" s="372"/>
    </row>
    <row r="78" spans="1:11" ht="20.100000000000001" customHeight="1" x14ac:dyDescent="0.25">
      <c r="A78" s="372"/>
      <c r="B78" s="372"/>
    </row>
    <row r="79" spans="1:11" ht="20.100000000000001" customHeight="1" x14ac:dyDescent="0.25"/>
    <row r="80" spans="1:11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</sheetData>
  <autoFilter ref="A2:Q65">
    <filterColumn colId="0" showButton="0"/>
    <filterColumn colId="2" showButton="0"/>
    <filterColumn colId="4" showButton="0"/>
    <filterColumn colId="7" showButton="0"/>
    <filterColumn colId="9" showButton="0"/>
  </autoFilter>
  <mergeCells count="285">
    <mergeCell ref="M16:N16"/>
    <mergeCell ref="A65:F65"/>
    <mergeCell ref="J17:K17"/>
    <mergeCell ref="C53:D53"/>
    <mergeCell ref="J65:K65"/>
    <mergeCell ref="A42:B44"/>
    <mergeCell ref="H65:I65"/>
    <mergeCell ref="H42:I42"/>
    <mergeCell ref="J42:K42"/>
    <mergeCell ref="A16:B17"/>
    <mergeCell ref="C16:D16"/>
    <mergeCell ref="E16:F16"/>
    <mergeCell ref="H16:I16"/>
    <mergeCell ref="J16:K16"/>
    <mergeCell ref="C17:D17"/>
    <mergeCell ref="E17:F17"/>
    <mergeCell ref="H17:I17"/>
    <mergeCell ref="C42:D42"/>
    <mergeCell ref="E42:F42"/>
    <mergeCell ref="J57:K57"/>
    <mergeCell ref="C62:D62"/>
    <mergeCell ref="E62:F62"/>
    <mergeCell ref="H62:I62"/>
    <mergeCell ref="J62:K62"/>
    <mergeCell ref="H58:I58"/>
    <mergeCell ref="J58:K58"/>
    <mergeCell ref="J7:K7"/>
    <mergeCell ref="A61:B62"/>
    <mergeCell ref="C61:D61"/>
    <mergeCell ref="E61:F61"/>
    <mergeCell ref="H61:I61"/>
    <mergeCell ref="J61:K61"/>
    <mergeCell ref="A57:B58"/>
    <mergeCell ref="C57:D57"/>
    <mergeCell ref="E57:F57"/>
    <mergeCell ref="H57:I57"/>
    <mergeCell ref="A53:B54"/>
    <mergeCell ref="C39:D39"/>
    <mergeCell ref="E39:F39"/>
    <mergeCell ref="H39:I39"/>
    <mergeCell ref="J39:K39"/>
    <mergeCell ref="C41:D41"/>
    <mergeCell ref="J33:K33"/>
    <mergeCell ref="A38:B39"/>
    <mergeCell ref="C38:D38"/>
    <mergeCell ref="E38:F38"/>
    <mergeCell ref="C60:D60"/>
    <mergeCell ref="E60:F60"/>
    <mergeCell ref="H60:I60"/>
    <mergeCell ref="J60:K60"/>
    <mergeCell ref="C7:D7"/>
    <mergeCell ref="E7:F7"/>
    <mergeCell ref="H7:I7"/>
    <mergeCell ref="J51:K51"/>
    <mergeCell ref="C44:D44"/>
    <mergeCell ref="E44:F44"/>
    <mergeCell ref="H44:I44"/>
    <mergeCell ref="J44:K44"/>
    <mergeCell ref="E54:F54"/>
    <mergeCell ref="H54:I54"/>
    <mergeCell ref="E41:F41"/>
    <mergeCell ref="H41:I41"/>
    <mergeCell ref="J41:K41"/>
    <mergeCell ref="C43:D43"/>
    <mergeCell ref="E43:F43"/>
    <mergeCell ref="H43:I43"/>
    <mergeCell ref="J43:K43"/>
    <mergeCell ref="J40:K40"/>
    <mergeCell ref="C58:D58"/>
    <mergeCell ref="E58:F58"/>
    <mergeCell ref="H64:I64"/>
    <mergeCell ref="J64:K64"/>
    <mergeCell ref="A59:B60"/>
    <mergeCell ref="C59:D59"/>
    <mergeCell ref="E59:F59"/>
    <mergeCell ref="H59:I59"/>
    <mergeCell ref="J59:K59"/>
    <mergeCell ref="A6:B7"/>
    <mergeCell ref="C6:D6"/>
    <mergeCell ref="E6:F6"/>
    <mergeCell ref="C63:D63"/>
    <mergeCell ref="E63:F63"/>
    <mergeCell ref="H63:I63"/>
    <mergeCell ref="J63:K63"/>
    <mergeCell ref="C52:D52"/>
    <mergeCell ref="E52:F52"/>
    <mergeCell ref="H52:I52"/>
    <mergeCell ref="J52:K52"/>
    <mergeCell ref="C64:D64"/>
    <mergeCell ref="E64:F64"/>
    <mergeCell ref="A51:B52"/>
    <mergeCell ref="C51:D51"/>
    <mergeCell ref="E51:F51"/>
    <mergeCell ref="H51:I51"/>
    <mergeCell ref="A63:B64"/>
    <mergeCell ref="J55:K55"/>
    <mergeCell ref="C50:D50"/>
    <mergeCell ref="E50:F50"/>
    <mergeCell ref="H50:I50"/>
    <mergeCell ref="J50:K50"/>
    <mergeCell ref="C56:D56"/>
    <mergeCell ref="E56:F56"/>
    <mergeCell ref="H56:I56"/>
    <mergeCell ref="J56:K56"/>
    <mergeCell ref="J54:K54"/>
    <mergeCell ref="A49:B50"/>
    <mergeCell ref="C49:D49"/>
    <mergeCell ref="E49:F49"/>
    <mergeCell ref="H49:I49"/>
    <mergeCell ref="J49:K49"/>
    <mergeCell ref="A55:B56"/>
    <mergeCell ref="C55:D55"/>
    <mergeCell ref="E55:F55"/>
    <mergeCell ref="H55:I55"/>
    <mergeCell ref="E53:F53"/>
    <mergeCell ref="H53:I53"/>
    <mergeCell ref="J53:K53"/>
    <mergeCell ref="C54:D54"/>
    <mergeCell ref="A40:B41"/>
    <mergeCell ref="C40:D40"/>
    <mergeCell ref="E40:F40"/>
    <mergeCell ref="H40:I40"/>
    <mergeCell ref="E32:F32"/>
    <mergeCell ref="H32:I32"/>
    <mergeCell ref="J32:K32"/>
    <mergeCell ref="C37:D37"/>
    <mergeCell ref="E37:F37"/>
    <mergeCell ref="H37:I37"/>
    <mergeCell ref="J37:K37"/>
    <mergeCell ref="C33:D33"/>
    <mergeCell ref="E33:F33"/>
    <mergeCell ref="H33:I33"/>
    <mergeCell ref="A36:B37"/>
    <mergeCell ref="C36:D36"/>
    <mergeCell ref="E36:F36"/>
    <mergeCell ref="H36:I36"/>
    <mergeCell ref="J36:K36"/>
    <mergeCell ref="A32:B33"/>
    <mergeCell ref="C32:D32"/>
    <mergeCell ref="H38:I38"/>
    <mergeCell ref="J38:K38"/>
    <mergeCell ref="A34:B35"/>
    <mergeCell ref="C34:D34"/>
    <mergeCell ref="E34:F34"/>
    <mergeCell ref="H34:I34"/>
    <mergeCell ref="J34:K34"/>
    <mergeCell ref="C19:D19"/>
    <mergeCell ref="C35:D35"/>
    <mergeCell ref="E35:F35"/>
    <mergeCell ref="H35:I35"/>
    <mergeCell ref="J35:K35"/>
    <mergeCell ref="E20:F20"/>
    <mergeCell ref="H20:I20"/>
    <mergeCell ref="J20:K20"/>
    <mergeCell ref="C31:D31"/>
    <mergeCell ref="E31:F31"/>
    <mergeCell ref="H31:I31"/>
    <mergeCell ref="J31:K31"/>
    <mergeCell ref="C30:D30"/>
    <mergeCell ref="E30:F30"/>
    <mergeCell ref="H30:I30"/>
    <mergeCell ref="J30:K30"/>
    <mergeCell ref="A18:B20"/>
    <mergeCell ref="C18:D18"/>
    <mergeCell ref="C20:D20"/>
    <mergeCell ref="A22:B23"/>
    <mergeCell ref="E19:F19"/>
    <mergeCell ref="H19:I19"/>
    <mergeCell ref="J19:K19"/>
    <mergeCell ref="C13:D13"/>
    <mergeCell ref="E13:F13"/>
    <mergeCell ref="H13:I13"/>
    <mergeCell ref="J13:K13"/>
    <mergeCell ref="A12:B13"/>
    <mergeCell ref="E12:F12"/>
    <mergeCell ref="H12:I12"/>
    <mergeCell ref="J12:K12"/>
    <mergeCell ref="C29:D29"/>
    <mergeCell ref="E29:F29"/>
    <mergeCell ref="H29:I29"/>
    <mergeCell ref="J29:K29"/>
    <mergeCell ref="C23:D23"/>
    <mergeCell ref="E23:F23"/>
    <mergeCell ref="H23:I23"/>
    <mergeCell ref="J23:K23"/>
    <mergeCell ref="C22:D22"/>
    <mergeCell ref="E22:F22"/>
    <mergeCell ref="H22:I22"/>
    <mergeCell ref="J22:K22"/>
    <mergeCell ref="E18:F18"/>
    <mergeCell ref="H18:I18"/>
    <mergeCell ref="J18:K18"/>
    <mergeCell ref="C12:D12"/>
    <mergeCell ref="J11:K11"/>
    <mergeCell ref="A28:B31"/>
    <mergeCell ref="C28:D28"/>
    <mergeCell ref="E28:F28"/>
    <mergeCell ref="H28:I28"/>
    <mergeCell ref="J28:K28"/>
    <mergeCell ref="C11:D11"/>
    <mergeCell ref="E11:F11"/>
    <mergeCell ref="H11:I11"/>
    <mergeCell ref="A8:B11"/>
    <mergeCell ref="E15:F15"/>
    <mergeCell ref="H15:I15"/>
    <mergeCell ref="J15:K15"/>
    <mergeCell ref="H14:I14"/>
    <mergeCell ref="J14:K14"/>
    <mergeCell ref="E25:F25"/>
    <mergeCell ref="H25:I25"/>
    <mergeCell ref="J25:K25"/>
    <mergeCell ref="C21:D21"/>
    <mergeCell ref="E21:F21"/>
    <mergeCell ref="H21:I21"/>
    <mergeCell ref="C25:D25"/>
    <mergeCell ref="C10:D10"/>
    <mergeCell ref="E10:F10"/>
    <mergeCell ref="H10:I10"/>
    <mergeCell ref="J10:K10"/>
    <mergeCell ref="C4:D4"/>
    <mergeCell ref="E4:F4"/>
    <mergeCell ref="H4:I4"/>
    <mergeCell ref="J4:K4"/>
    <mergeCell ref="C9:D9"/>
    <mergeCell ref="E9:F9"/>
    <mergeCell ref="H9:I9"/>
    <mergeCell ref="J9:K9"/>
    <mergeCell ref="E8:F8"/>
    <mergeCell ref="H8:I8"/>
    <mergeCell ref="J8:K8"/>
    <mergeCell ref="C8:D8"/>
    <mergeCell ref="C5:D5"/>
    <mergeCell ref="E5:F5"/>
    <mergeCell ref="H5:I5"/>
    <mergeCell ref="J5:K5"/>
    <mergeCell ref="H6:I6"/>
    <mergeCell ref="J6:K6"/>
    <mergeCell ref="C45:D45"/>
    <mergeCell ref="E45:F45"/>
    <mergeCell ref="H45:I45"/>
    <mergeCell ref="J45:K45"/>
    <mergeCell ref="A3:B5"/>
    <mergeCell ref="C3:D3"/>
    <mergeCell ref="E3:F3"/>
    <mergeCell ref="H3:I3"/>
    <mergeCell ref="J3:K3"/>
    <mergeCell ref="C15:D15"/>
    <mergeCell ref="J21:K21"/>
    <mergeCell ref="C27:D27"/>
    <mergeCell ref="E27:F27"/>
    <mergeCell ref="H27:I27"/>
    <mergeCell ref="J27:K27"/>
    <mergeCell ref="A14:B15"/>
    <mergeCell ref="C14:D14"/>
    <mergeCell ref="E14:F14"/>
    <mergeCell ref="A26:B27"/>
    <mergeCell ref="C26:D26"/>
    <mergeCell ref="E26:F26"/>
    <mergeCell ref="H26:I26"/>
    <mergeCell ref="J26:K26"/>
    <mergeCell ref="A21:B21"/>
    <mergeCell ref="A1:G1"/>
    <mergeCell ref="A2:B2"/>
    <mergeCell ref="C2:D2"/>
    <mergeCell ref="E2:F2"/>
    <mergeCell ref="H2:I2"/>
    <mergeCell ref="J2:K2"/>
    <mergeCell ref="C48:D48"/>
    <mergeCell ref="E48:F48"/>
    <mergeCell ref="H48:I48"/>
    <mergeCell ref="J48:K48"/>
    <mergeCell ref="A24:B25"/>
    <mergeCell ref="C24:D24"/>
    <mergeCell ref="E24:F24"/>
    <mergeCell ref="H24:I24"/>
    <mergeCell ref="J24:K24"/>
    <mergeCell ref="C47:D47"/>
    <mergeCell ref="E47:F47"/>
    <mergeCell ref="H47:I47"/>
    <mergeCell ref="J47:K47"/>
    <mergeCell ref="C46:D46"/>
    <mergeCell ref="E46:F46"/>
    <mergeCell ref="H46:I46"/>
    <mergeCell ref="J46:K46"/>
    <mergeCell ref="A45:B4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8" fitToHeight="0" orientation="portrait" r:id="rId1"/>
  <rowBreaks count="1" manualBreakCount="1">
    <brk id="41" max="10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3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98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v>0</v>
      </c>
      <c r="D76" s="69" t="s">
        <v>310</v>
      </c>
      <c r="E76" s="1"/>
      <c r="F76" s="1"/>
      <c r="G76" s="1"/>
      <c r="H76" s="1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+iss!D21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19.579502100000003</v>
      </c>
      <c r="C94" s="240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1293.7077076588912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6607.459684375176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13214.92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9"/>
  <sheetViews>
    <sheetView topLeftCell="A69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ht="15.75" thickBot="1" x14ac:dyDescent="0.3">
      <c r="A2" s="550" t="s">
        <v>99</v>
      </c>
      <c r="B2" s="551"/>
      <c r="C2" s="552"/>
      <c r="D2" s="1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>
        <f>(3.9*2*B74)-C15*6%</f>
        <v>25.046639999999996</v>
      </c>
      <c r="D75" s="554" t="s">
        <v>313</v>
      </c>
      <c r="E75" s="554"/>
      <c r="F75" s="554"/>
      <c r="G75" s="554"/>
      <c r="H75" s="554"/>
    </row>
    <row r="76" spans="1:8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629.47331535833337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4748.5989234699809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+iss!D22</f>
        <v>0.02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0.19579502100000001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19.579502100000003</v>
      </c>
      <c r="C93" s="240">
        <f>100-B93</f>
        <v>80.420497900000001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1156.113242543581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5904.7121660135617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11809.42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H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7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99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>
        <f>(3.9*2*B75)-C15*6%</f>
        <v>25.046639999999996</v>
      </c>
      <c r="D76" s="554" t="s">
        <v>313</v>
      </c>
      <c r="E76" s="554"/>
      <c r="F76" s="554"/>
      <c r="G76" s="554"/>
      <c r="H76" s="554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629.47331535833337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5338.7986167162853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+iss!D22</f>
        <v>0.02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0.19579502100000001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19.579502100000003</v>
      </c>
      <c r="C94" s="240">
        <f>100-B94</f>
        <v>80.420497900000001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1299.805664688301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6638.6042814045868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13277.21</v>
      </c>
      <c r="D99" s="70"/>
      <c r="E99" s="131"/>
      <c r="F99" s="131"/>
      <c r="G99" s="131"/>
      <c r="H99" s="131"/>
    </row>
    <row r="100" spans="1:8" ht="15.75" x14ac:dyDescent="0.25">
      <c r="A100" s="1"/>
      <c r="B100" s="1"/>
      <c r="C100" s="1"/>
      <c r="D100" s="131"/>
      <c r="E100" s="131"/>
      <c r="F100" s="131"/>
      <c r="G100" s="131"/>
      <c r="H100" s="131"/>
    </row>
  </sheetData>
  <mergeCells count="17">
    <mergeCell ref="D76:H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opLeftCell="A73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100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10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10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10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10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10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10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10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10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10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10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10" x14ac:dyDescent="0.25">
      <c r="A75" s="79" t="s">
        <v>61</v>
      </c>
      <c r="B75" s="69"/>
      <c r="C75" s="111">
        <v>0</v>
      </c>
      <c r="D75" s="553" t="s">
        <v>312</v>
      </c>
      <c r="E75" s="553"/>
      <c r="F75" s="553"/>
      <c r="G75" s="553"/>
      <c r="H75" s="553"/>
      <c r="I75" s="553"/>
      <c r="J75" s="553"/>
    </row>
    <row r="76" spans="1:10" x14ac:dyDescent="0.25">
      <c r="A76" s="79" t="s">
        <v>62</v>
      </c>
      <c r="B76" s="69"/>
      <c r="C76" s="190">
        <f>'depreciação de equipamento'!F11</f>
        <v>29.778499024999999</v>
      </c>
      <c r="D76" s="2"/>
      <c r="E76" s="1"/>
      <c r="F76" s="1"/>
      <c r="G76" s="1"/>
      <c r="H76" s="1"/>
    </row>
    <row r="77" spans="1:10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10" x14ac:dyDescent="0.25">
      <c r="A78" s="79" t="s">
        <v>64</v>
      </c>
      <c r="B78" s="69"/>
      <c r="C78" s="190">
        <f>'depreciação de equipamento'!F13</f>
        <v>10.827437999999999</v>
      </c>
      <c r="D78" s="2"/>
      <c r="E78" s="1"/>
      <c r="F78" s="1"/>
      <c r="G78" s="1"/>
      <c r="H78" s="1"/>
    </row>
    <row r="79" spans="1:10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10" ht="15.75" thickBot="1" x14ac:dyDescent="0.3">
      <c r="A80" s="100" t="s">
        <v>65</v>
      </c>
      <c r="B80" s="101"/>
      <c r="C80" s="208">
        <f>SUM(C73:C79)</f>
        <v>604.42667535833334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4723.5522834699814</v>
      </c>
      <c r="D84" s="2"/>
      <c r="E84" s="1"/>
      <c r="F84" s="1"/>
      <c r="G84" s="1"/>
      <c r="H84" s="1"/>
    </row>
    <row r="85" spans="1:8" ht="15.75" customHeight="1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+iss!D23</f>
        <v>0.03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0.20579502100000002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1223.9705958470236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5947.5228793170045</v>
      </c>
      <c r="D96" s="2"/>
      <c r="E96" s="1"/>
      <c r="F96" s="1"/>
      <c r="G96" s="1"/>
      <c r="H96" s="1"/>
    </row>
    <row r="97" spans="1:8" ht="15.75" thickBot="1" x14ac:dyDescent="0.3">
      <c r="A97" s="109"/>
      <c r="B97" s="109"/>
      <c r="C97" s="110"/>
      <c r="D97" s="1"/>
      <c r="E97" s="1"/>
      <c r="F97" s="1"/>
      <c r="G97" s="1"/>
      <c r="H97" s="1"/>
    </row>
    <row r="98" spans="1:8" ht="16.5" thickBot="1" x14ac:dyDescent="0.3">
      <c r="A98" s="82" t="s">
        <v>121</v>
      </c>
      <c r="B98" s="82"/>
      <c r="C98" s="83">
        <f>ROUND(C96*2,2)</f>
        <v>11895.05</v>
      </c>
      <c r="D98" s="131"/>
      <c r="E98" s="131"/>
      <c r="F98" s="131"/>
      <c r="G98" s="131"/>
      <c r="H98" s="131"/>
    </row>
    <row r="99" spans="1:8" ht="15.75" x14ac:dyDescent="0.25">
      <c r="A99" s="1"/>
      <c r="B99" s="1"/>
      <c r="C99" s="1"/>
      <c r="D99" s="131"/>
      <c r="E99" s="131"/>
      <c r="F99" s="131"/>
      <c r="G99" s="131"/>
      <c r="H99" s="131"/>
    </row>
  </sheetData>
  <mergeCells count="17">
    <mergeCell ref="D75:J75"/>
    <mergeCell ref="A95:B9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opLeftCell="A70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100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10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10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10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10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10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10" x14ac:dyDescent="0.25">
      <c r="A76" s="79" t="s">
        <v>61</v>
      </c>
      <c r="B76" s="69"/>
      <c r="C76" s="111">
        <v>0</v>
      </c>
      <c r="D76" s="553" t="s">
        <v>312</v>
      </c>
      <c r="E76" s="553"/>
      <c r="F76" s="553"/>
      <c r="G76" s="553"/>
      <c r="H76" s="553"/>
      <c r="I76" s="553"/>
      <c r="J76" s="553"/>
    </row>
    <row r="77" spans="1:10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10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10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+iss!D23</f>
        <v>0.03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0.20579502100000002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6690.6555829037243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13381.31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26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7">
    <mergeCell ref="D76:J76"/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75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101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118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127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119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120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54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56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"/>
      <c r="E21" s="1"/>
      <c r="F21" s="1"/>
      <c r="G21" s="1"/>
      <c r="H21" s="1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2"/>
      <c r="E22" s="1"/>
      <c r="F22" s="1"/>
      <c r="G22" s="1"/>
      <c r="H22" s="1"/>
    </row>
    <row r="23" spans="1:8" ht="15.75" thickBot="1" x14ac:dyDescent="0.3">
      <c r="A23" s="70"/>
      <c r="B23" s="70"/>
      <c r="C23" s="69"/>
      <c r="D23" s="2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"/>
      <c r="E24" s="1"/>
      <c r="F24" s="1"/>
      <c r="G24" s="1"/>
      <c r="H24" s="1"/>
    </row>
    <row r="25" spans="1:8" x14ac:dyDescent="0.25">
      <c r="A25" s="71" t="s">
        <v>20</v>
      </c>
      <c r="B25" s="70"/>
      <c r="C25" s="111"/>
      <c r="D25" s="2"/>
      <c r="E25" s="1"/>
      <c r="F25" s="1"/>
      <c r="G25" s="1"/>
      <c r="H25" s="1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2"/>
      <c r="E26" s="1"/>
      <c r="F26" s="1"/>
      <c r="G26" s="1"/>
      <c r="H26" s="1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2"/>
      <c r="E27" s="1"/>
      <c r="F27" s="1"/>
      <c r="G27" s="1"/>
      <c r="H27" s="1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2"/>
      <c r="E28" s="1"/>
      <c r="F28" s="1"/>
      <c r="G28" s="1"/>
      <c r="H28" s="1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2"/>
      <c r="E29" s="1"/>
      <c r="F29" s="1"/>
      <c r="G29" s="1"/>
      <c r="H29" s="1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2"/>
      <c r="E30" s="1"/>
      <c r="F30" s="1"/>
      <c r="G30" s="1"/>
      <c r="H30" s="1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2"/>
      <c r="E31" s="1"/>
      <c r="F31" s="1"/>
      <c r="G31" s="1"/>
      <c r="H31" s="1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2"/>
      <c r="E32" s="1"/>
      <c r="F32" s="1"/>
      <c r="G32" s="1"/>
      <c r="H32" s="1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2"/>
      <c r="E33" s="1"/>
      <c r="F33" s="1"/>
      <c r="G33" s="1"/>
      <c r="H33" s="1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2"/>
      <c r="E34" s="1"/>
      <c r="F34" s="1"/>
      <c r="G34" s="1"/>
      <c r="H34" s="1"/>
    </row>
    <row r="35" spans="1:8" x14ac:dyDescent="0.25">
      <c r="A35" s="70"/>
      <c r="B35" s="70"/>
      <c r="C35" s="69"/>
      <c r="D35" s="2"/>
      <c r="E35" s="1"/>
      <c r="F35" s="1"/>
      <c r="G35" s="1"/>
      <c r="H35" s="1"/>
    </row>
    <row r="36" spans="1:8" x14ac:dyDescent="0.25">
      <c r="A36" s="88" t="s">
        <v>30</v>
      </c>
      <c r="B36" s="88"/>
      <c r="C36" s="90"/>
      <c r="D36" s="2"/>
      <c r="E36" s="1"/>
      <c r="F36" s="1"/>
      <c r="G36" s="1"/>
      <c r="H36" s="1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2"/>
      <c r="E37" s="1"/>
      <c r="F37" s="1"/>
      <c r="G37" s="1"/>
      <c r="H37" s="1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2"/>
      <c r="E38" s="1"/>
      <c r="F38" s="1"/>
      <c r="G38" s="1"/>
      <c r="H38" s="1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2"/>
      <c r="E39" s="1"/>
      <c r="F39" s="1"/>
      <c r="G39" s="1"/>
      <c r="H39" s="1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2"/>
      <c r="E40" s="1"/>
      <c r="F40" s="1"/>
      <c r="G40" s="1"/>
      <c r="H40" s="1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2"/>
      <c r="E41" s="1"/>
      <c r="F41" s="1"/>
      <c r="G41" s="1"/>
      <c r="H41" s="1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2"/>
      <c r="E42" s="1"/>
      <c r="F42" s="1"/>
      <c r="G42" s="1"/>
      <c r="H42" s="1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2"/>
      <c r="E43" s="1"/>
      <c r="F43" s="1"/>
      <c r="G43" s="1"/>
      <c r="H43" s="1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2"/>
      <c r="E44" s="1"/>
      <c r="F44" s="1"/>
      <c r="G44" s="1"/>
      <c r="H44" s="1"/>
    </row>
    <row r="45" spans="1:8" x14ac:dyDescent="0.25">
      <c r="A45" s="70" t="s">
        <v>17</v>
      </c>
      <c r="B45" s="70"/>
      <c r="C45" s="69"/>
      <c r="D45" s="2"/>
      <c r="E45" s="1"/>
      <c r="F45" s="1"/>
      <c r="G45" s="1"/>
      <c r="H45" s="1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2"/>
      <c r="E46" s="1"/>
      <c r="F46" s="1"/>
      <c r="G46" s="1"/>
      <c r="H46" s="1"/>
    </row>
    <row r="47" spans="1:8" x14ac:dyDescent="0.25">
      <c r="A47" s="70"/>
      <c r="B47" s="70"/>
      <c r="C47" s="69"/>
      <c r="D47" s="2"/>
      <c r="E47" s="1"/>
      <c r="F47" s="1"/>
      <c r="G47" s="1"/>
      <c r="H47" s="1"/>
    </row>
    <row r="48" spans="1:8" x14ac:dyDescent="0.25">
      <c r="A48" s="88" t="s">
        <v>40</v>
      </c>
      <c r="B48" s="88"/>
      <c r="C48" s="90"/>
      <c r="D48" s="2"/>
      <c r="E48" s="1"/>
      <c r="F48" s="1"/>
      <c r="G48" s="1"/>
      <c r="H48" s="1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2"/>
      <c r="E49" s="1"/>
      <c r="F49" s="1"/>
      <c r="G49" s="1"/>
      <c r="H49" s="1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2"/>
      <c r="E50" s="1"/>
      <c r="F50" s="1"/>
      <c r="G50" s="1"/>
      <c r="H50" s="1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2"/>
      <c r="E51" s="1"/>
      <c r="F51" s="1"/>
      <c r="G51" s="1"/>
      <c r="H51" s="1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2"/>
      <c r="E52" s="1"/>
      <c r="F52" s="1"/>
      <c r="G52" s="1"/>
      <c r="H52" s="1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2"/>
      <c r="E53" s="1"/>
      <c r="F53" s="1"/>
      <c r="G53" s="1"/>
      <c r="H53" s="1"/>
    </row>
    <row r="54" spans="1:8" x14ac:dyDescent="0.25">
      <c r="A54" s="70"/>
      <c r="B54" s="70"/>
      <c r="C54" s="69"/>
      <c r="D54" s="2"/>
      <c r="E54" s="1"/>
      <c r="F54" s="1"/>
      <c r="G54" s="1"/>
      <c r="H54" s="1"/>
    </row>
    <row r="55" spans="1:8" x14ac:dyDescent="0.25">
      <c r="A55" s="88" t="s">
        <v>46</v>
      </c>
      <c r="B55" s="88"/>
      <c r="C55" s="90"/>
      <c r="D55" s="2"/>
      <c r="E55" s="1"/>
      <c r="F55" s="1"/>
      <c r="G55" s="1"/>
      <c r="H55" s="1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2"/>
      <c r="E56" s="1"/>
      <c r="F56" s="1"/>
      <c r="G56" s="1"/>
      <c r="H56" s="1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2"/>
      <c r="E57" s="1"/>
      <c r="F57" s="1"/>
      <c r="G57" s="1"/>
      <c r="H57" s="1"/>
    </row>
    <row r="58" spans="1:8" x14ac:dyDescent="0.25">
      <c r="A58" s="70"/>
      <c r="B58" s="70"/>
      <c r="C58" s="69"/>
      <c r="D58" s="2"/>
      <c r="E58" s="1"/>
      <c r="F58" s="1"/>
      <c r="G58" s="1"/>
      <c r="H58" s="1"/>
    </row>
    <row r="59" spans="1:8" x14ac:dyDescent="0.25">
      <c r="A59" s="88" t="s">
        <v>49</v>
      </c>
      <c r="B59" s="88"/>
      <c r="C59" s="77"/>
      <c r="D59" s="2"/>
      <c r="E59" s="1"/>
      <c r="F59" s="1"/>
      <c r="G59" s="1"/>
      <c r="H59" s="1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2"/>
      <c r="E60" s="1"/>
      <c r="F60" s="1"/>
      <c r="G60" s="1"/>
      <c r="H60" s="1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2"/>
      <c r="E61" s="1"/>
      <c r="F61" s="1"/>
      <c r="G61" s="1"/>
      <c r="H61" s="1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2"/>
      <c r="E62" s="1"/>
      <c r="F62" s="1"/>
      <c r="G62" s="1"/>
      <c r="H62" s="1"/>
    </row>
    <row r="63" spans="1:8" x14ac:dyDescent="0.25">
      <c r="A63" s="70"/>
      <c r="B63" s="70"/>
      <c r="C63" s="69"/>
      <c r="D63" s="2"/>
      <c r="E63" s="1"/>
      <c r="F63" s="1"/>
      <c r="G63" s="1"/>
      <c r="H63" s="1"/>
    </row>
    <row r="64" spans="1:8" x14ac:dyDescent="0.25">
      <c r="A64" s="88" t="s">
        <v>53</v>
      </c>
      <c r="B64" s="88"/>
      <c r="C64" s="90"/>
      <c r="D64" s="2"/>
      <c r="E64" s="1"/>
      <c r="F64" s="1"/>
      <c r="G64" s="1"/>
      <c r="H64" s="1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2"/>
      <c r="E65" s="1"/>
      <c r="F65" s="1"/>
      <c r="G65" s="1"/>
      <c r="H65" s="1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2"/>
      <c r="E66" s="1"/>
      <c r="F66" s="1"/>
      <c r="G66" s="1"/>
      <c r="H66" s="1"/>
    </row>
    <row r="67" spans="1:8" ht="15.75" thickBot="1" x14ac:dyDescent="0.3">
      <c r="A67" s="70"/>
      <c r="B67" s="69"/>
      <c r="C67" s="95"/>
      <c r="D67" s="2"/>
      <c r="E67" s="1"/>
      <c r="F67" s="1"/>
      <c r="G67" s="1"/>
      <c r="H67" s="1"/>
    </row>
    <row r="68" spans="1:8" ht="15.75" thickBot="1" x14ac:dyDescent="0.3">
      <c r="A68" s="225" t="s">
        <v>56</v>
      </c>
      <c r="B68" s="97">
        <f>B66+B62+B57+B53+B46+B34</f>
        <v>0.7530985803200223</v>
      </c>
      <c r="C68" s="83">
        <f>C66+C62+C57+C53+C46+C34</f>
        <v>1769.4998344374058</v>
      </c>
      <c r="D68" s="2"/>
      <c r="E68" s="1"/>
      <c r="F68" s="1"/>
      <c r="G68" s="1"/>
      <c r="H68" s="1"/>
    </row>
    <row r="69" spans="1:8" ht="15.75" thickBot="1" x14ac:dyDescent="0.3">
      <c r="A69" s="70"/>
      <c r="B69" s="70"/>
      <c r="C69" s="98"/>
      <c r="D69" s="2"/>
      <c r="E69" s="1"/>
      <c r="F69" s="1"/>
      <c r="G69" s="1"/>
      <c r="H69" s="1"/>
    </row>
    <row r="70" spans="1:8" ht="15.75" customHeight="1" thickBot="1" x14ac:dyDescent="0.3">
      <c r="A70" s="541" t="s">
        <v>57</v>
      </c>
      <c r="B70" s="541"/>
      <c r="C70" s="83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70"/>
      <c r="B71" s="70"/>
      <c r="C71" s="95"/>
      <c r="D71" s="2"/>
      <c r="E71" s="1"/>
      <c r="F71" s="1"/>
      <c r="G71" s="1"/>
      <c r="H71" s="1"/>
    </row>
    <row r="72" spans="1:8" x14ac:dyDescent="0.25">
      <c r="A72" s="99" t="s">
        <v>58</v>
      </c>
      <c r="B72" s="99"/>
      <c r="C72" s="90"/>
      <c r="D72" s="2"/>
      <c r="E72" s="1"/>
      <c r="F72" s="1"/>
      <c r="G72" s="1"/>
      <c r="H72" s="1"/>
    </row>
    <row r="73" spans="1:8" x14ac:dyDescent="0.25">
      <c r="A73" s="79" t="s">
        <v>59</v>
      </c>
      <c r="B73" s="69"/>
      <c r="C73" s="190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2"/>
      <c r="E74" s="1"/>
      <c r="F74" s="1"/>
      <c r="G74" s="1"/>
      <c r="H74" s="1"/>
    </row>
    <row r="75" spans="1:8" x14ac:dyDescent="0.25">
      <c r="A75" s="79" t="s">
        <v>61</v>
      </c>
      <c r="B75" s="69"/>
      <c r="C75" s="111"/>
      <c r="D75" s="2"/>
      <c r="E75" s="1"/>
      <c r="F75" s="1"/>
      <c r="G75" s="1"/>
      <c r="H75" s="1"/>
    </row>
    <row r="76" spans="1:8" x14ac:dyDescent="0.25">
      <c r="A76" s="79" t="s">
        <v>62</v>
      </c>
      <c r="B76" s="69"/>
      <c r="C76" s="190">
        <f>+'depreciação de equipamento'!E11</f>
        <v>2.4716007500000003</v>
      </c>
      <c r="D76" s="2"/>
      <c r="E76" s="1"/>
      <c r="F76" s="1"/>
      <c r="G76" s="1"/>
      <c r="H76" s="1"/>
    </row>
    <row r="77" spans="1:8" x14ac:dyDescent="0.25">
      <c r="A77" s="84" t="s">
        <v>63</v>
      </c>
      <c r="B77" s="84"/>
      <c r="C77" s="77"/>
      <c r="D77" s="2"/>
      <c r="E77" s="1"/>
      <c r="F77" s="1"/>
      <c r="G77" s="1"/>
      <c r="H77" s="1"/>
    </row>
    <row r="78" spans="1:8" x14ac:dyDescent="0.25">
      <c r="A78" s="79" t="s">
        <v>64</v>
      </c>
      <c r="B78" s="69"/>
      <c r="C78" s="190">
        <v>0</v>
      </c>
      <c r="D78" s="2"/>
      <c r="E78" s="1"/>
      <c r="F78" s="1"/>
      <c r="G78" s="1"/>
      <c r="H78" s="1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100" t="s">
        <v>65</v>
      </c>
      <c r="B80" s="101"/>
      <c r="C80" s="208">
        <f>SUM(C73:C79)</f>
        <v>566.29233908333333</v>
      </c>
      <c r="D80" s="2"/>
      <c r="E80" s="1"/>
      <c r="F80" s="1"/>
      <c r="G80" s="1"/>
      <c r="H80" s="1"/>
    </row>
    <row r="81" spans="1:8" ht="15.75" thickBot="1" x14ac:dyDescent="0.3">
      <c r="A81" s="79"/>
      <c r="B81" s="69"/>
      <c r="C81" s="81"/>
      <c r="D81" s="2"/>
      <c r="E81" s="1"/>
      <c r="F81" s="1"/>
      <c r="G81" s="1"/>
      <c r="H81" s="1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2"/>
      <c r="E82" s="1"/>
      <c r="F82" s="1"/>
      <c r="G82" s="1"/>
      <c r="H82" s="1"/>
    </row>
    <row r="83" spans="1:8" ht="15.75" customHeight="1" thickBot="1" x14ac:dyDescent="0.3">
      <c r="A83" s="79"/>
      <c r="B83" s="69"/>
      <c r="C83" s="81"/>
      <c r="D83" s="2"/>
      <c r="E83" s="1"/>
      <c r="F83" s="1"/>
      <c r="G83" s="1"/>
      <c r="H83" s="1"/>
    </row>
    <row r="84" spans="1:8" ht="15.75" customHeight="1" thickBot="1" x14ac:dyDescent="0.3">
      <c r="A84" s="541" t="s">
        <v>67</v>
      </c>
      <c r="B84" s="541"/>
      <c r="C84" s="118">
        <f>C80+C68+C22+C82</f>
        <v>4685.417947194981</v>
      </c>
      <c r="D84" s="2"/>
      <c r="E84" s="1"/>
      <c r="F84" s="1"/>
      <c r="G84" s="1"/>
      <c r="H84" s="1"/>
    </row>
    <row r="85" spans="1:8" ht="15.75" thickBot="1" x14ac:dyDescent="0.3">
      <c r="A85" s="70"/>
      <c r="B85" s="70"/>
      <c r="C85" s="95"/>
      <c r="D85" s="2"/>
      <c r="E85" s="1"/>
      <c r="F85" s="1"/>
      <c r="G85" s="1"/>
      <c r="H85" s="1"/>
    </row>
    <row r="86" spans="1:8" x14ac:dyDescent="0.25">
      <c r="A86" s="99" t="s">
        <v>68</v>
      </c>
      <c r="B86" s="105"/>
      <c r="C86" s="90"/>
      <c r="D86" s="2"/>
      <c r="E86" s="1"/>
      <c r="F86" s="1"/>
      <c r="G86" s="1"/>
      <c r="H86" s="1"/>
    </row>
    <row r="87" spans="1:8" x14ac:dyDescent="0.25">
      <c r="A87" s="86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84" t="s">
        <v>70</v>
      </c>
      <c r="B88" s="78"/>
      <c r="C88" s="237">
        <v>5.8999999999999997E-2</v>
      </c>
      <c r="D88" s="2"/>
      <c r="E88" s="1"/>
      <c r="F88" s="1"/>
      <c r="G88" s="1"/>
      <c r="H88" s="1"/>
    </row>
    <row r="89" spans="1:8" x14ac:dyDescent="0.25">
      <c r="A89" s="86" t="s">
        <v>71</v>
      </c>
      <c r="B89" s="70"/>
      <c r="C89" s="106">
        <f>+iss!D27</f>
        <v>0.05</v>
      </c>
      <c r="D89" s="2"/>
      <c r="E89" s="1"/>
      <c r="F89" s="1"/>
      <c r="G89" s="1"/>
      <c r="H89" s="1"/>
    </row>
    <row r="90" spans="1:8" x14ac:dyDescent="0.25">
      <c r="A90" s="84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86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225" t="s">
        <v>74</v>
      </c>
      <c r="B92" s="104"/>
      <c r="C92" s="97">
        <f>SUM(C87:C91)</f>
        <v>0.2155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21.55</v>
      </c>
      <c r="C93" s="240">
        <f>100-B93</f>
        <v>78.45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1287.0714692422159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95"/>
      <c r="D95" s="2"/>
      <c r="E95" s="1"/>
      <c r="F95" s="1"/>
      <c r="G95" s="1"/>
      <c r="H95" s="1"/>
    </row>
    <row r="96" spans="1:8" ht="15.75" thickBot="1" x14ac:dyDescent="0.3">
      <c r="A96" s="82" t="s">
        <v>76</v>
      </c>
      <c r="B96" s="82"/>
      <c r="C96" s="83">
        <f>C84+C94</f>
        <v>5972.4894164371972</v>
      </c>
      <c r="D96" s="1"/>
      <c r="E96" s="1"/>
      <c r="F96" s="1"/>
      <c r="G96" s="1"/>
      <c r="H96" s="1"/>
    </row>
    <row r="97" spans="1:8" ht="16.5" thickBot="1" x14ac:dyDescent="0.3">
      <c r="A97" s="109"/>
      <c r="B97" s="109"/>
      <c r="C97" s="110"/>
      <c r="D97" s="131"/>
      <c r="E97" s="131"/>
      <c r="F97" s="131"/>
      <c r="G97" s="131"/>
      <c r="H97" s="131"/>
    </row>
    <row r="98" spans="1:8" ht="16.5" thickBot="1" x14ac:dyDescent="0.3">
      <c r="A98" s="82" t="s">
        <v>121</v>
      </c>
      <c r="B98" s="82"/>
      <c r="C98" s="83">
        <f>ROUND(C96*2,2)</f>
        <v>11944.98</v>
      </c>
      <c r="D98" s="131"/>
      <c r="E98" s="131"/>
      <c r="F98" s="131"/>
      <c r="G98" s="131"/>
      <c r="H98" s="131"/>
    </row>
  </sheetData>
  <mergeCells count="16">
    <mergeCell ref="A95:B95"/>
    <mergeCell ref="A2:C2"/>
    <mergeCell ref="A15:B15"/>
    <mergeCell ref="A24:C24"/>
    <mergeCell ref="A70:B70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1"/>
  <sheetViews>
    <sheetView topLeftCell="A73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  <c r="B1" s="68"/>
      <c r="C1" s="68"/>
      <c r="D1" s="1"/>
      <c r="E1" s="1"/>
      <c r="F1" s="1"/>
      <c r="G1" s="1"/>
      <c r="H1" s="1"/>
    </row>
    <row r="2" spans="1:8" ht="15.75" thickBot="1" x14ac:dyDescent="0.3">
      <c r="A2" s="550" t="s">
        <v>101</v>
      </c>
      <c r="B2" s="551"/>
      <c r="C2" s="552"/>
      <c r="D2" s="2"/>
      <c r="E2" s="1"/>
      <c r="F2" s="1"/>
      <c r="G2" s="1"/>
      <c r="H2" s="1"/>
    </row>
    <row r="3" spans="1:8" ht="15.75" x14ac:dyDescent="0.25">
      <c r="A3" s="548" t="s">
        <v>1</v>
      </c>
      <c r="B3" s="548"/>
      <c r="C3" s="548"/>
      <c r="D3" s="2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70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70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1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1"/>
      <c r="F21" s="1"/>
      <c r="G21" s="1"/>
      <c r="H21" s="1"/>
    </row>
    <row r="22" spans="1:8" x14ac:dyDescent="0.25">
      <c r="A22" s="79"/>
      <c r="B22" s="80"/>
      <c r="C22" s="81"/>
      <c r="D22" s="70"/>
      <c r="E22" s="1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1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1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1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1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1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1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1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1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1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1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1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1"/>
      <c r="F35" s="1"/>
      <c r="G35" s="1"/>
      <c r="H35" s="1"/>
    </row>
    <row r="36" spans="1:8" x14ac:dyDescent="0.25">
      <c r="A36" s="70"/>
      <c r="B36" s="70"/>
      <c r="C36" s="69"/>
      <c r="D36" s="70"/>
      <c r="E36" s="1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1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1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70"/>
      <c r="B48" s="70"/>
      <c r="C48" s="69"/>
      <c r="D48" s="70"/>
      <c r="E48" s="1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1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1"/>
      <c r="F54" s="1"/>
      <c r="G54" s="1"/>
      <c r="H54" s="1"/>
    </row>
    <row r="55" spans="1:8" x14ac:dyDescent="0.25">
      <c r="A55" s="70"/>
      <c r="B55" s="70"/>
      <c r="C55" s="69"/>
      <c r="D55" s="70"/>
      <c r="E55" s="1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1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1"/>
      <c r="F58" s="1"/>
      <c r="G58" s="1"/>
      <c r="H58" s="1"/>
    </row>
    <row r="59" spans="1:8" x14ac:dyDescent="0.25">
      <c r="A59" s="70"/>
      <c r="B59" s="70"/>
      <c r="C59" s="69"/>
      <c r="D59" s="70"/>
      <c r="E59" s="1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1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70"/>
      <c r="B64" s="70"/>
      <c r="C64" s="69"/>
      <c r="D64" s="70"/>
      <c r="E64" s="1"/>
      <c r="F64" s="1"/>
      <c r="G64" s="1"/>
      <c r="H64" s="1"/>
    </row>
    <row r="65" spans="1:8" x14ac:dyDescent="0.25">
      <c r="A65" s="88" t="s">
        <v>53</v>
      </c>
      <c r="B65" s="88"/>
      <c r="C65" s="90"/>
      <c r="D65" s="70"/>
      <c r="E65" s="1"/>
      <c r="F65" s="1"/>
      <c r="G65" s="1"/>
      <c r="H65" s="1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1"/>
      <c r="F67" s="1"/>
      <c r="G67" s="1"/>
      <c r="H67" s="1"/>
    </row>
    <row r="68" spans="1:8" ht="15.75" thickBot="1" x14ac:dyDescent="0.3">
      <c r="A68" s="70"/>
      <c r="B68" s="69"/>
      <c r="C68" s="95"/>
      <c r="D68" s="70"/>
      <c r="E68" s="1"/>
      <c r="F68" s="1"/>
      <c r="G68" s="1"/>
      <c r="H68" s="1"/>
    </row>
    <row r="69" spans="1:8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1"/>
      <c r="F69" s="1"/>
      <c r="G69" s="1"/>
      <c r="H69" s="1"/>
    </row>
    <row r="70" spans="1:8" ht="15.75" thickBot="1" x14ac:dyDescent="0.3">
      <c r="A70" s="70"/>
      <c r="B70" s="70"/>
      <c r="C70" s="98"/>
      <c r="D70" s="70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1"/>
      <c r="F71" s="1"/>
      <c r="G71" s="1"/>
      <c r="H71" s="1"/>
    </row>
    <row r="72" spans="1:8" ht="15.75" thickBot="1" x14ac:dyDescent="0.3">
      <c r="A72" s="70"/>
      <c r="B72" s="70"/>
      <c r="C72" s="95"/>
      <c r="D72" s="70"/>
      <c r="E72" s="1"/>
      <c r="F72" s="1"/>
      <c r="G72" s="1"/>
      <c r="H72" s="1"/>
    </row>
    <row r="73" spans="1:8" x14ac:dyDescent="0.25">
      <c r="A73" s="99" t="s">
        <v>58</v>
      </c>
      <c r="B73" s="99"/>
      <c r="C73" s="90"/>
      <c r="D73" s="70"/>
      <c r="E73" s="1"/>
      <c r="F73" s="1"/>
      <c r="G73" s="1"/>
      <c r="H73" s="1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1"/>
      <c r="F74" s="1"/>
      <c r="G74" s="1"/>
      <c r="H74" s="1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1"/>
      <c r="F75" s="1"/>
      <c r="G75" s="1"/>
      <c r="H75" s="1"/>
    </row>
    <row r="76" spans="1:8" x14ac:dyDescent="0.25">
      <c r="A76" s="79" t="s">
        <v>61</v>
      </c>
      <c r="B76" s="69"/>
      <c r="C76" s="111"/>
      <c r="D76" s="70"/>
      <c r="E76" s="187"/>
      <c r="F76" s="187"/>
      <c r="G76" s="187"/>
      <c r="H76" s="187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1"/>
      <c r="F77" s="187"/>
      <c r="G77" s="1"/>
      <c r="H77" s="1"/>
    </row>
    <row r="78" spans="1:8" x14ac:dyDescent="0.25">
      <c r="A78" s="84" t="s">
        <v>63</v>
      </c>
      <c r="B78" s="84"/>
      <c r="C78" s="112"/>
      <c r="D78" s="70"/>
      <c r="E78" s="1"/>
      <c r="F78" s="1"/>
      <c r="G78" s="1"/>
      <c r="H78" s="1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1"/>
      <c r="F79" s="1"/>
      <c r="G79" s="1"/>
      <c r="H79" s="1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1"/>
      <c r="F80" s="1"/>
      <c r="G80" s="1"/>
      <c r="H80" s="1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6"/>
      <c r="F81" s="1"/>
      <c r="G81" s="1"/>
      <c r="H81" s="1"/>
    </row>
    <row r="82" spans="1:8" ht="15.75" thickBot="1" x14ac:dyDescent="0.3">
      <c r="A82" s="69"/>
      <c r="B82" s="102"/>
      <c r="C82" s="103"/>
      <c r="D82" s="70"/>
      <c r="E82" s="1"/>
      <c r="F82" s="1"/>
      <c r="G82" s="1"/>
      <c r="H82" s="1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1"/>
      <c r="F83" s="1"/>
      <c r="G83" s="1"/>
      <c r="H83" s="1"/>
    </row>
    <row r="84" spans="1:8" ht="15.75" thickBot="1" x14ac:dyDescent="0.3">
      <c r="A84" s="69"/>
      <c r="B84" s="102"/>
      <c r="C84" s="103"/>
      <c r="D84" s="70"/>
      <c r="E84" s="1"/>
      <c r="F84" s="1"/>
      <c r="G84" s="1"/>
      <c r="H84" s="1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1"/>
      <c r="F85" s="1"/>
      <c r="G85" s="1"/>
      <c r="H85" s="1"/>
    </row>
    <row r="86" spans="1:8" ht="15.75" customHeight="1" thickBot="1" x14ac:dyDescent="0.3">
      <c r="A86" s="70"/>
      <c r="B86" s="70"/>
      <c r="C86" s="95"/>
      <c r="D86" s="70"/>
      <c r="E86" s="1"/>
      <c r="F86" s="1"/>
      <c r="G86" s="1"/>
      <c r="H86" s="1"/>
    </row>
    <row r="87" spans="1:8" x14ac:dyDescent="0.25">
      <c r="A87" s="99" t="s">
        <v>68</v>
      </c>
      <c r="B87" s="105"/>
      <c r="C87" s="90"/>
      <c r="D87" s="70"/>
      <c r="E87" s="1"/>
      <c r="F87" s="1"/>
      <c r="G87" s="1"/>
      <c r="H87" s="1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1"/>
      <c r="F88" s="1"/>
      <c r="G88" s="1"/>
      <c r="H88" s="1"/>
    </row>
    <row r="89" spans="1:8" x14ac:dyDescent="0.25">
      <c r="A89" s="84" t="s">
        <v>70</v>
      </c>
      <c r="B89" s="78"/>
      <c r="C89" s="237">
        <v>8.2500000000000004E-2</v>
      </c>
      <c r="D89" s="70"/>
      <c r="E89" s="1"/>
      <c r="F89" s="1"/>
      <c r="G89" s="1"/>
      <c r="H89" s="1"/>
    </row>
    <row r="90" spans="1:8" x14ac:dyDescent="0.25">
      <c r="A90" s="86" t="s">
        <v>71</v>
      </c>
      <c r="B90" s="70"/>
      <c r="C90" s="106">
        <f>+iss!D27</f>
        <v>0.05</v>
      </c>
      <c r="D90" s="70"/>
      <c r="E90" s="1"/>
      <c r="F90" s="1"/>
      <c r="G90" s="1"/>
      <c r="H90" s="1"/>
    </row>
    <row r="91" spans="1:8" x14ac:dyDescent="0.25">
      <c r="A91" s="84" t="s">
        <v>72</v>
      </c>
      <c r="B91" s="107"/>
      <c r="C91" s="108">
        <v>0.03</v>
      </c>
      <c r="D91" s="70"/>
      <c r="E91" s="1"/>
      <c r="F91" s="1"/>
      <c r="G91" s="1"/>
      <c r="H91" s="1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1"/>
      <c r="F92" s="1"/>
      <c r="G92" s="1"/>
      <c r="H92" s="1"/>
    </row>
    <row r="93" spans="1:8" ht="15.75" thickBot="1" x14ac:dyDescent="0.3">
      <c r="A93" s="225" t="s">
        <v>74</v>
      </c>
      <c r="B93" s="97"/>
      <c r="C93" s="97">
        <f>SUM(C88:C92)</f>
        <v>0.23900000000000002</v>
      </c>
      <c r="D93" s="70"/>
      <c r="E93" s="1"/>
      <c r="F93" s="1"/>
      <c r="G93" s="1"/>
      <c r="H93" s="1"/>
    </row>
    <row r="94" spans="1:8" ht="15.75" thickBot="1" x14ac:dyDescent="0.3">
      <c r="A94" s="238"/>
      <c r="B94" s="239">
        <f>+C93*100</f>
        <v>23.900000000000002</v>
      </c>
      <c r="C94" s="240">
        <f>100-B94</f>
        <v>76.099999999999994</v>
      </c>
      <c r="D94" s="70"/>
      <c r="E94" s="1"/>
      <c r="F94" s="1"/>
      <c r="G94" s="1"/>
      <c r="H94" s="1"/>
    </row>
    <row r="95" spans="1:8" ht="15.75" thickBot="1" x14ac:dyDescent="0.3">
      <c r="A95" s="82" t="s">
        <v>75</v>
      </c>
      <c r="B95" s="82"/>
      <c r="C95" s="234">
        <f>SUM(C85*B94/C94)</f>
        <v>1668.8393198885576</v>
      </c>
      <c r="D95" s="70"/>
      <c r="E95" s="1"/>
      <c r="F95" s="1"/>
      <c r="G95" s="50"/>
      <c r="H95" s="1"/>
    </row>
    <row r="96" spans="1:8" ht="15.75" thickBot="1" x14ac:dyDescent="0.3">
      <c r="A96" s="539"/>
      <c r="B96" s="539"/>
      <c r="C96" s="95"/>
      <c r="D96" s="70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6982.5912966048427</v>
      </c>
      <c r="D97" s="70"/>
      <c r="E97" s="1"/>
      <c r="F97" s="1"/>
      <c r="G97" s="1"/>
      <c r="H97" s="1"/>
    </row>
    <row r="98" spans="1:8" ht="15.75" thickBot="1" x14ac:dyDescent="0.3">
      <c r="A98" s="109"/>
      <c r="B98" s="109"/>
      <c r="C98" s="110"/>
      <c r="D98" s="70"/>
      <c r="E98" s="1"/>
      <c r="F98" s="1"/>
      <c r="G98" s="1"/>
      <c r="H98" s="1"/>
    </row>
    <row r="99" spans="1:8" ht="16.5" thickBot="1" x14ac:dyDescent="0.3">
      <c r="A99" s="241" t="s">
        <v>121</v>
      </c>
      <c r="B99" s="225"/>
      <c r="C99" s="242">
        <f>ROUND(C97*2,2)</f>
        <v>13965.18</v>
      </c>
      <c r="D99" s="70"/>
      <c r="E99" s="131"/>
      <c r="F99" s="131"/>
      <c r="G99" s="131"/>
      <c r="H99" s="131"/>
    </row>
    <row r="100" spans="1:8" ht="15.75" x14ac:dyDescent="0.25">
      <c r="A100" s="69"/>
      <c r="B100" s="69"/>
      <c r="C100" s="69"/>
      <c r="D100" s="226"/>
      <c r="E100" s="131"/>
      <c r="F100" s="131"/>
      <c r="G100" s="131"/>
      <c r="H100" s="131"/>
    </row>
    <row r="101" spans="1:8" x14ac:dyDescent="0.25">
      <c r="A101" s="68"/>
      <c r="B101" s="68"/>
      <c r="C101" s="68"/>
      <c r="D101" s="68"/>
    </row>
    <row r="102" spans="1:8" x14ac:dyDescent="0.25">
      <c r="A102" s="68"/>
      <c r="B102" s="68"/>
      <c r="C102" s="68"/>
      <c r="D102" s="68"/>
    </row>
    <row r="103" spans="1:8" x14ac:dyDescent="0.25">
      <c r="A103" s="68"/>
      <c r="B103" s="68"/>
      <c r="C103" s="68"/>
      <c r="D103" s="68"/>
    </row>
    <row r="104" spans="1:8" x14ac:dyDescent="0.25">
      <c r="A104" s="68"/>
      <c r="B104" s="68"/>
      <c r="C104" s="68"/>
      <c r="D104" s="68"/>
    </row>
    <row r="105" spans="1:8" x14ac:dyDescent="0.25">
      <c r="A105" s="68"/>
      <c r="B105" s="68"/>
      <c r="C105" s="68"/>
      <c r="D105" s="68"/>
    </row>
    <row r="106" spans="1:8" x14ac:dyDescent="0.25">
      <c r="A106" s="68"/>
      <c r="B106" s="68"/>
      <c r="C106" s="68"/>
      <c r="D106" s="68"/>
    </row>
    <row r="107" spans="1:8" x14ac:dyDescent="0.25">
      <c r="A107" s="68"/>
      <c r="B107" s="68"/>
      <c r="C107" s="68"/>
      <c r="D107" s="68"/>
    </row>
    <row r="108" spans="1:8" x14ac:dyDescent="0.25">
      <c r="A108" s="68"/>
      <c r="B108" s="68"/>
      <c r="C108" s="68"/>
      <c r="D108" s="68"/>
    </row>
    <row r="109" spans="1:8" x14ac:dyDescent="0.25">
      <c r="A109" s="68"/>
      <c r="B109" s="68"/>
      <c r="C109" s="68"/>
      <c r="D109" s="68"/>
    </row>
    <row r="110" spans="1:8" x14ac:dyDescent="0.25">
      <c r="A110" s="68"/>
      <c r="B110" s="68"/>
      <c r="C110" s="68"/>
      <c r="D110" s="68"/>
    </row>
    <row r="111" spans="1:8" x14ac:dyDescent="0.25">
      <c r="A111" s="68"/>
      <c r="B111" s="68"/>
      <c r="C111" s="68"/>
      <c r="D111" s="68"/>
    </row>
  </sheetData>
  <mergeCells count="16">
    <mergeCell ref="A71:B71"/>
    <mergeCell ref="A2:C2"/>
    <mergeCell ref="A96:B96"/>
    <mergeCell ref="A85:B85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15:B15"/>
    <mergeCell ref="A25:C2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4" workbookViewId="0">
      <selection activeCell="C89" sqref="C89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550" t="s">
        <v>85</v>
      </c>
      <c r="B2" s="551"/>
      <c r="C2" s="552"/>
    </row>
    <row r="3" spans="1:8" ht="15.75" x14ac:dyDescent="0.25">
      <c r="A3" s="548" t="s">
        <v>118</v>
      </c>
      <c r="B3" s="548"/>
      <c r="C3" s="548"/>
      <c r="D3" s="69"/>
      <c r="E3" s="69"/>
      <c r="F3" s="69"/>
      <c r="G3" s="69"/>
      <c r="H3" s="69"/>
    </row>
    <row r="4" spans="1:8" ht="15.75" x14ac:dyDescent="0.25">
      <c r="A4" s="548" t="s">
        <v>127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119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120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315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127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42.11374005681818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547" t="s">
        <v>19</v>
      </c>
      <c r="B24" s="547"/>
      <c r="C24" s="547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thickBot="1" x14ac:dyDescent="0.3">
      <c r="A68" s="313" t="s">
        <v>56</v>
      </c>
      <c r="B68" s="97">
        <f>B66+B62+B57+B53+B46+B34</f>
        <v>0.7530985803200223</v>
      </c>
      <c r="C68" s="83">
        <f>C66+C62+C57+C53+C46+C34</f>
        <v>1769.4998344374058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Uniforme!F28</f>
        <v>107.61381033333335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'depreciação de equipamento'!E11</f>
        <v>2.4716007500000003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x14ac:dyDescent="0.25">
      <c r="A78" s="79" t="s">
        <v>64</v>
      </c>
      <c r="B78" s="69"/>
      <c r="C78" s="190">
        <v>0</v>
      </c>
      <c r="D78" s="70"/>
      <c r="E78" s="69"/>
      <c r="F78" s="69"/>
      <c r="G78" s="69"/>
      <c r="H78" s="69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70"/>
      <c r="E79" s="69"/>
      <c r="F79" s="69"/>
      <c r="G79" s="69"/>
      <c r="H79" s="69"/>
    </row>
    <row r="80" spans="1:8" ht="15.75" thickBot="1" x14ac:dyDescent="0.3">
      <c r="A80" s="100" t="s">
        <v>65</v>
      </c>
      <c r="B80" s="101"/>
      <c r="C80" s="208">
        <f>SUM(C73:C79)</f>
        <v>566.29233908333333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" customHeight="1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.75" thickBot="1" x14ac:dyDescent="0.3">
      <c r="A84" s="541" t="s">
        <v>67</v>
      </c>
      <c r="B84" s="541"/>
      <c r="C84" s="118">
        <f>C80+C68+C22+C82</f>
        <v>4685.417947194981</v>
      </c>
      <c r="D84" s="70"/>
      <c r="E84" s="69"/>
      <c r="F84" s="69"/>
      <c r="G84" s="69"/>
      <c r="H84" s="69"/>
    </row>
    <row r="85" spans="1:8" ht="15.75" customHeight="1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x14ac:dyDescent="0.25">
      <c r="A87" s="86" t="s">
        <v>69</v>
      </c>
      <c r="B87" s="69"/>
      <c r="C87" s="87">
        <f>base!$E$13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37">
        <v>5.8999999999999997E-2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+iss!D16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313" t="s">
        <v>74</v>
      </c>
      <c r="B92" s="104"/>
      <c r="C92" s="97">
        <f>SUM(C87:C91)</f>
        <v>0.19550000000000001</v>
      </c>
      <c r="D92" s="70"/>
      <c r="E92" s="69"/>
      <c r="F92" s="69"/>
      <c r="G92" s="69"/>
      <c r="H92" s="69"/>
    </row>
    <row r="93" spans="1:8" ht="15.75" thickBot="1" x14ac:dyDescent="0.3">
      <c r="A93" s="244"/>
      <c r="B93" s="239">
        <f>+C92*100</f>
        <v>19.55</v>
      </c>
      <c r="C93" s="240">
        <f>100-B93</f>
        <v>80.45</v>
      </c>
      <c r="D93" s="70"/>
      <c r="E93" s="69"/>
      <c r="F93" s="69"/>
      <c r="G93" s="69"/>
      <c r="H93" s="69"/>
    </row>
    <row r="94" spans="1:8" ht="15.75" thickBot="1" x14ac:dyDescent="0.3">
      <c r="A94" s="313" t="s">
        <v>75</v>
      </c>
      <c r="B94" s="82"/>
      <c r="C94" s="234">
        <f>SUM(C84*B93/C93)</f>
        <v>1138.5944172487493</v>
      </c>
      <c r="D94" s="70"/>
      <c r="E94" s="69"/>
      <c r="F94" s="69"/>
      <c r="G94" s="69"/>
      <c r="H94" s="69"/>
    </row>
    <row r="95" spans="1:8" ht="15.75" thickBot="1" x14ac:dyDescent="0.3">
      <c r="A95" s="539"/>
      <c r="B95" s="539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5824.0123644437299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11648.02</v>
      </c>
      <c r="D98" s="69"/>
      <c r="E98" s="69"/>
      <c r="F98" s="69"/>
      <c r="G98" s="69"/>
      <c r="H98" s="69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4:B84"/>
    <mergeCell ref="A95:B95"/>
    <mergeCell ref="A11:C11"/>
    <mergeCell ref="A12:B12"/>
    <mergeCell ref="A14:C14"/>
    <mergeCell ref="A15:B15"/>
    <mergeCell ref="A24:C24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0" workbookViewId="0">
      <selection activeCell="C76" sqref="C76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85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122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7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315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customHeight="1" thickBot="1" x14ac:dyDescent="0.3">
      <c r="A69" s="313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13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69"/>
      <c r="F95" s="69"/>
      <c r="G95" s="50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241" t="s">
        <v>76</v>
      </c>
      <c r="B97" s="313"/>
      <c r="C97" s="242">
        <f>C85+C95</f>
        <v>6690.6555829037243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1" t="s">
        <v>121</v>
      </c>
      <c r="B99" s="313"/>
      <c r="C99" s="242">
        <f>ROUND(C97*2,2)</f>
        <v>13381.31</v>
      </c>
      <c r="D99" s="70"/>
      <c r="E99" s="314"/>
      <c r="F99" s="314"/>
      <c r="G99" s="314"/>
      <c r="H99" s="314"/>
    </row>
    <row r="100" spans="1:8" ht="15.75" x14ac:dyDescent="0.25">
      <c r="A100" s="69"/>
      <c r="B100" s="69"/>
      <c r="C100" s="69"/>
      <c r="D100" s="314"/>
      <c r="E100" s="314"/>
      <c r="F100" s="314"/>
      <c r="G100" s="314"/>
      <c r="H100" s="314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73" workbookViewId="0">
      <selection activeCell="F100" sqref="F100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96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13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(3.3*2*B75)-C15*6%</f>
        <v>24.809999999999995</v>
      </c>
      <c r="D76" s="554" t="s">
        <v>313</v>
      </c>
      <c r="E76" s="554"/>
      <c r="F76" s="554"/>
      <c r="G76" s="554"/>
      <c r="H76" s="554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514.7237473583333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3236.0884171717589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13" t="s">
        <v>74</v>
      </c>
      <c r="B93" s="104"/>
      <c r="C93" s="97">
        <f>SUM(C88:C92)</f>
        <v>0.22579502100000001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22.579502100000003</v>
      </c>
      <c r="C94" s="240">
        <f>100-B94</f>
        <v>77.420497900000001</v>
      </c>
      <c r="D94" s="70"/>
      <c r="E94" s="69"/>
      <c r="F94" s="69"/>
      <c r="G94" s="69"/>
      <c r="H94" s="69"/>
    </row>
    <row r="95" spans="1:8" ht="15.75" thickBot="1" x14ac:dyDescent="0.3">
      <c r="A95" s="313" t="s">
        <v>75</v>
      </c>
      <c r="B95" s="104"/>
      <c r="C95" s="234">
        <f>SUM(C85*B94/C94)</f>
        <v>943.79740757667503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4179.8858247484341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4179.8900000000003</v>
      </c>
      <c r="D99" s="314"/>
      <c r="E99" s="314"/>
      <c r="F99" s="314"/>
      <c r="G99" s="314"/>
      <c r="H99" s="314"/>
    </row>
    <row r="100" spans="1:8" ht="15.75" x14ac:dyDescent="0.25">
      <c r="A100" s="69"/>
      <c r="B100" s="69"/>
      <c r="C100" s="69"/>
      <c r="D100" s="314"/>
      <c r="E100" s="314"/>
      <c r="F100" s="314"/>
      <c r="G100" s="314"/>
      <c r="H100" s="314"/>
    </row>
  </sheetData>
  <mergeCells count="17">
    <mergeCell ref="A8:A9"/>
    <mergeCell ref="B8:B9"/>
    <mergeCell ref="C8:C9"/>
    <mergeCell ref="A2:C2"/>
    <mergeCell ref="A3:C3"/>
    <mergeCell ref="A4:C4"/>
    <mergeCell ref="A5:C5"/>
    <mergeCell ref="A6:C6"/>
    <mergeCell ref="D76:H7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opLeftCell="A64" workbookViewId="0">
      <selection activeCell="C76" sqref="C76"/>
    </sheetView>
  </sheetViews>
  <sheetFormatPr defaultRowHeight="15" x14ac:dyDescent="0.25"/>
  <cols>
    <col min="1" max="1" width="50.140625" customWidth="1"/>
    <col min="2" max="2" width="19.14062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ht="15.75" thickBot="1" x14ac:dyDescent="0.3">
      <c r="A1" s="132" t="s">
        <v>78</v>
      </c>
    </row>
    <row r="2" spans="1:8" ht="15.75" thickBot="1" x14ac:dyDescent="0.3">
      <c r="A2" s="550" t="s">
        <v>124</v>
      </c>
      <c r="B2" s="551"/>
      <c r="C2" s="552"/>
    </row>
    <row r="3" spans="1:8" ht="15.75" x14ac:dyDescent="0.25">
      <c r="A3" s="548" t="s">
        <v>1</v>
      </c>
      <c r="B3" s="548"/>
      <c r="C3" s="548"/>
      <c r="D3" s="1"/>
      <c r="E3" s="1"/>
      <c r="F3" s="1"/>
      <c r="G3" s="1"/>
      <c r="H3" s="1"/>
    </row>
    <row r="4" spans="1:8" ht="15.75" x14ac:dyDescent="0.25">
      <c r="A4" s="548" t="s">
        <v>122</v>
      </c>
      <c r="B4" s="548"/>
      <c r="C4" s="548"/>
      <c r="D4" s="2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"/>
      <c r="E14" s="1"/>
      <c r="F14" s="1"/>
      <c r="G14" s="1"/>
      <c r="H14" s="1"/>
    </row>
    <row r="15" spans="1:8" x14ac:dyDescent="0.25">
      <c r="A15" s="549" t="s">
        <v>12</v>
      </c>
      <c r="B15" s="549"/>
      <c r="C15" s="6">
        <f>C12</f>
        <v>1561</v>
      </c>
      <c r="D15" s="53"/>
      <c r="E15" s="1"/>
      <c r="F15" s="1"/>
      <c r="G15" s="1"/>
      <c r="H15" s="1"/>
    </row>
    <row r="16" spans="1:8" x14ac:dyDescent="0.25">
      <c r="A16" s="7" t="s">
        <v>13</v>
      </c>
      <c r="B16" s="8">
        <v>0.3</v>
      </c>
      <c r="C16" s="112">
        <f>C15*B16</f>
        <v>468.29999999999995</v>
      </c>
      <c r="D16" s="2"/>
      <c r="E16" s="1"/>
      <c r="F16" s="1"/>
      <c r="G16" s="1"/>
      <c r="H16" s="1"/>
    </row>
    <row r="17" spans="1:8" x14ac:dyDescent="0.25">
      <c r="A17" s="2" t="s">
        <v>214</v>
      </c>
      <c r="B17" s="2"/>
      <c r="C17" s="111">
        <f>SUM(C15:C16)/220*1.5*15.21875</f>
        <v>210.56870028409091</v>
      </c>
      <c r="D17" s="54" t="s">
        <v>116</v>
      </c>
      <c r="E17" s="1"/>
      <c r="F17" s="1"/>
      <c r="G17" s="1"/>
      <c r="H17" s="1"/>
    </row>
    <row r="18" spans="1:8" x14ac:dyDescent="0.25">
      <c r="A18" s="7" t="s">
        <v>15</v>
      </c>
      <c r="B18" s="8"/>
      <c r="C18" s="55">
        <f>((10*(7*4.345)*D18)/2)</f>
        <v>280.550725</v>
      </c>
      <c r="D18" s="56">
        <f>((C15+C16)/220)*0.2</f>
        <v>1.8448181818181819</v>
      </c>
      <c r="E18" s="1"/>
      <c r="F18" s="1"/>
      <c r="G18" s="1"/>
      <c r="H18" s="1"/>
    </row>
    <row r="19" spans="1:8" x14ac:dyDescent="0.25">
      <c r="A19" s="57" t="s">
        <v>14</v>
      </c>
      <c r="B19" s="58"/>
      <c r="C19" s="59">
        <v>0</v>
      </c>
      <c r="D19" s="2"/>
      <c r="E19" s="1"/>
      <c r="F19" s="1"/>
      <c r="G19" s="1"/>
      <c r="H19" s="1"/>
    </row>
    <row r="20" spans="1:8" x14ac:dyDescent="0.25">
      <c r="A20" s="7" t="s">
        <v>16</v>
      </c>
      <c r="B20" s="13"/>
      <c r="C20" s="55">
        <f>((C15+C16)/30)</f>
        <v>67.643333333333331</v>
      </c>
      <c r="D20" s="2"/>
      <c r="E20" s="1"/>
      <c r="F20" s="1"/>
      <c r="G20" s="1"/>
      <c r="H20" s="1"/>
    </row>
    <row r="21" spans="1:8" x14ac:dyDescent="0.25">
      <c r="A21" s="7" t="s">
        <v>216</v>
      </c>
      <c r="B21" s="13"/>
      <c r="C21" s="227">
        <f>SUM(C17:C18)/25*5</f>
        <v>98.223885056818176</v>
      </c>
      <c r="D21" s="2"/>
      <c r="E21" s="1"/>
      <c r="F21" s="1"/>
      <c r="G21" s="1"/>
      <c r="H21" s="1"/>
    </row>
    <row r="22" spans="1:8" x14ac:dyDescent="0.25">
      <c r="A22" s="10"/>
      <c r="B22" s="11"/>
      <c r="C22" s="12"/>
      <c r="D22" s="2"/>
      <c r="E22" s="1"/>
      <c r="F22" s="1"/>
      <c r="G22" s="1"/>
      <c r="H22" s="1"/>
    </row>
    <row r="23" spans="1:8" ht="15.75" thickBot="1" x14ac:dyDescent="0.3">
      <c r="A23" s="14" t="s">
        <v>18</v>
      </c>
      <c r="B23" s="14"/>
      <c r="C23" s="15">
        <f>SUM(C15:C22)</f>
        <v>2686.2866436742424</v>
      </c>
      <c r="D23" s="2"/>
      <c r="E23" s="1"/>
      <c r="F23" s="1"/>
      <c r="G23" s="1"/>
      <c r="H23" s="1"/>
    </row>
    <row r="24" spans="1:8" ht="15.75" thickBot="1" x14ac:dyDescent="0.3">
      <c r="A24" s="2"/>
      <c r="B24" s="2"/>
      <c r="C24" s="1"/>
      <c r="D24" s="2"/>
      <c r="E24" s="1"/>
      <c r="F24" s="1"/>
      <c r="G24" s="1"/>
      <c r="H24" s="1"/>
    </row>
    <row r="25" spans="1:8" x14ac:dyDescent="0.25">
      <c r="A25" s="547" t="s">
        <v>19</v>
      </c>
      <c r="B25" s="547"/>
      <c r="C25" s="547"/>
      <c r="D25" s="2"/>
      <c r="E25" s="1"/>
      <c r="F25" s="1"/>
      <c r="G25" s="1"/>
      <c r="H25" s="1"/>
    </row>
    <row r="26" spans="1:8" x14ac:dyDescent="0.25">
      <c r="A26" s="3" t="s">
        <v>20</v>
      </c>
      <c r="B26" s="2"/>
      <c r="C26" s="16"/>
      <c r="D26" s="2"/>
      <c r="E26" s="1"/>
      <c r="F26" s="1"/>
      <c r="G26" s="1"/>
      <c r="H26" s="1"/>
    </row>
    <row r="27" spans="1:8" x14ac:dyDescent="0.25">
      <c r="A27" s="17" t="s">
        <v>21</v>
      </c>
      <c r="B27" s="18">
        <v>0.2</v>
      </c>
      <c r="C27" s="19">
        <f t="shared" ref="C27:C34" si="0">SUM(C$23*B27)</f>
        <v>537.25732873484856</v>
      </c>
      <c r="D27" s="2"/>
      <c r="E27" s="1"/>
      <c r="F27" s="1"/>
      <c r="G27" s="1"/>
      <c r="H27" s="1"/>
    </row>
    <row r="28" spans="1:8" x14ac:dyDescent="0.25">
      <c r="A28" s="20" t="s">
        <v>22</v>
      </c>
      <c r="B28" s="21">
        <v>0.08</v>
      </c>
      <c r="C28" s="22">
        <f t="shared" si="0"/>
        <v>214.90293149393941</v>
      </c>
      <c r="D28" s="2"/>
      <c r="E28" s="1"/>
      <c r="F28" s="1"/>
      <c r="G28" s="1"/>
      <c r="H28" s="1"/>
    </row>
    <row r="29" spans="1:8" x14ac:dyDescent="0.25">
      <c r="A29" s="17" t="s">
        <v>23</v>
      </c>
      <c r="B29" s="18">
        <v>1.4999999999999999E-2</v>
      </c>
      <c r="C29" s="112">
        <f t="shared" si="0"/>
        <v>40.294299655113633</v>
      </c>
      <c r="D29" s="2"/>
      <c r="E29" s="1"/>
      <c r="F29" s="1"/>
      <c r="G29" s="1"/>
      <c r="H29" s="1"/>
    </row>
    <row r="30" spans="1:8" x14ac:dyDescent="0.25">
      <c r="A30" s="20" t="s">
        <v>24</v>
      </c>
      <c r="B30" s="21">
        <v>0.01</v>
      </c>
      <c r="C30" s="113">
        <f t="shared" si="0"/>
        <v>26.862866436742426</v>
      </c>
      <c r="D30" s="2"/>
      <c r="E30" s="1"/>
      <c r="F30" s="1"/>
      <c r="G30" s="1"/>
      <c r="H30" s="1"/>
    </row>
    <row r="31" spans="1:8" x14ac:dyDescent="0.25">
      <c r="A31" s="17" t="s">
        <v>25</v>
      </c>
      <c r="B31" s="18">
        <v>2E-3</v>
      </c>
      <c r="C31" s="112">
        <f t="shared" si="0"/>
        <v>5.3725732873484846</v>
      </c>
      <c r="D31" s="2"/>
      <c r="E31" s="1"/>
      <c r="F31" s="1"/>
      <c r="G31" s="1"/>
      <c r="H31" s="1"/>
    </row>
    <row r="32" spans="1:8" x14ac:dyDescent="0.25">
      <c r="A32" s="20" t="s">
        <v>26</v>
      </c>
      <c r="B32" s="21">
        <v>6.0000000000000001E-3</v>
      </c>
      <c r="C32" s="113">
        <f t="shared" si="0"/>
        <v>16.117719862045455</v>
      </c>
      <c r="D32" s="2"/>
      <c r="E32" s="1"/>
      <c r="F32" s="1"/>
      <c r="G32" s="1"/>
      <c r="H32" s="1"/>
    </row>
    <row r="33" spans="1:8" x14ac:dyDescent="0.25">
      <c r="A33" s="17" t="s">
        <v>27</v>
      </c>
      <c r="B33" s="18">
        <v>2.5000000000000001E-2</v>
      </c>
      <c r="C33" s="112">
        <f t="shared" si="0"/>
        <v>67.15716609185607</v>
      </c>
      <c r="D33" s="2"/>
      <c r="E33" s="1"/>
      <c r="F33" s="1"/>
      <c r="G33" s="1"/>
      <c r="H33" s="1"/>
    </row>
    <row r="34" spans="1:8" x14ac:dyDescent="0.25">
      <c r="A34" s="20" t="s">
        <v>28</v>
      </c>
      <c r="B34" s="236">
        <f>base!E26</f>
        <v>3.2300000000000002E-2</v>
      </c>
      <c r="C34" s="113">
        <f t="shared" si="0"/>
        <v>86.767058590678033</v>
      </c>
      <c r="D34" s="2"/>
      <c r="E34" s="1"/>
      <c r="F34" s="1"/>
      <c r="G34" s="1"/>
      <c r="H34" s="1"/>
    </row>
    <row r="35" spans="1:8" x14ac:dyDescent="0.25">
      <c r="A35" s="23" t="s">
        <v>29</v>
      </c>
      <c r="B35" s="24">
        <f>SUM(B27:B34)</f>
        <v>0.37030000000000007</v>
      </c>
      <c r="C35" s="25">
        <f>SUM(C27:C34)</f>
        <v>994.73194415257205</v>
      </c>
      <c r="D35" s="2"/>
      <c r="E35" s="1"/>
      <c r="F35" s="1"/>
      <c r="G35" s="1"/>
      <c r="H35" s="1"/>
    </row>
    <row r="36" spans="1:8" x14ac:dyDescent="0.25">
      <c r="A36" s="2"/>
      <c r="B36" s="2"/>
      <c r="C36" s="1"/>
      <c r="D36" s="2"/>
      <c r="E36" s="1"/>
      <c r="F36" s="1"/>
      <c r="G36" s="1"/>
      <c r="H36" s="1"/>
    </row>
    <row r="37" spans="1:8" x14ac:dyDescent="0.25">
      <c r="A37" s="23" t="s">
        <v>30</v>
      </c>
      <c r="B37" s="23"/>
      <c r="C37" s="26"/>
      <c r="D37" s="2"/>
      <c r="E37" s="1"/>
      <c r="F37" s="1"/>
      <c r="G37" s="1"/>
      <c r="H37" s="1"/>
    </row>
    <row r="38" spans="1:8" x14ac:dyDescent="0.25">
      <c r="A38" s="20" t="s">
        <v>31</v>
      </c>
      <c r="B38" s="21">
        <f>(1/12)</f>
        <v>8.3333333333333329E-2</v>
      </c>
      <c r="C38" s="113">
        <f t="shared" ref="C38:C45" si="1">SUM(C$23*B38)</f>
        <v>223.85722030618686</v>
      </c>
      <c r="D38" s="60"/>
      <c r="E38" s="1"/>
      <c r="F38" s="1"/>
      <c r="G38" s="1"/>
      <c r="H38" s="1"/>
    </row>
    <row r="39" spans="1:8" x14ac:dyDescent="0.25">
      <c r="A39" s="17" t="s">
        <v>32</v>
      </c>
      <c r="B39" s="18">
        <f>((1+1/3)/12)</f>
        <v>0.1111111111111111</v>
      </c>
      <c r="C39" s="112">
        <f t="shared" si="1"/>
        <v>298.47629374158248</v>
      </c>
      <c r="D39" s="61"/>
      <c r="E39" s="1"/>
      <c r="F39" s="1"/>
      <c r="G39" s="1"/>
      <c r="H39" s="1"/>
    </row>
    <row r="40" spans="1:8" x14ac:dyDescent="0.25">
      <c r="A40" s="20" t="s">
        <v>33</v>
      </c>
      <c r="B40" s="21">
        <f>((7/30)/12)</f>
        <v>1.9444444444444445E-2</v>
      </c>
      <c r="C40" s="113">
        <f t="shared" si="1"/>
        <v>52.23335140477694</v>
      </c>
      <c r="D40" s="61"/>
      <c r="E40" s="1"/>
      <c r="F40" s="1"/>
      <c r="G40" s="1"/>
      <c r="H40" s="1"/>
    </row>
    <row r="41" spans="1:8" x14ac:dyDescent="0.25">
      <c r="A41" s="17" t="s">
        <v>34</v>
      </c>
      <c r="B41" s="18">
        <f>((5/30)/12)</f>
        <v>1.3888888888888888E-2</v>
      </c>
      <c r="C41" s="112">
        <f t="shared" si="1"/>
        <v>37.30953671769781</v>
      </c>
      <c r="D41" s="61"/>
      <c r="E41" s="1"/>
      <c r="F41" s="1"/>
      <c r="G41" s="1"/>
      <c r="H41" s="1"/>
    </row>
    <row r="42" spans="1:8" x14ac:dyDescent="0.25">
      <c r="A42" s="20" t="s">
        <v>35</v>
      </c>
      <c r="B42" s="21">
        <f>(((15/30)/12)*0.05)</f>
        <v>2.0833333333333333E-3</v>
      </c>
      <c r="C42" s="113">
        <f t="shared" si="1"/>
        <v>5.5964305076546719</v>
      </c>
      <c r="D42" s="61"/>
      <c r="E42" s="1"/>
      <c r="F42" s="1"/>
      <c r="G42" s="1"/>
      <c r="H42" s="1"/>
    </row>
    <row r="43" spans="1:8" x14ac:dyDescent="0.25">
      <c r="A43" s="17" t="s">
        <v>36</v>
      </c>
      <c r="B43" s="18">
        <f>((2/30)/12)</f>
        <v>5.5555555555555558E-3</v>
      </c>
      <c r="C43" s="112">
        <f t="shared" si="1"/>
        <v>14.923814687079124</v>
      </c>
      <c r="D43" s="61"/>
      <c r="E43" s="1"/>
      <c r="F43" s="1"/>
      <c r="G43" s="1"/>
      <c r="H43" s="1"/>
    </row>
    <row r="44" spans="1:8" x14ac:dyDescent="0.25">
      <c r="A44" s="20" t="s">
        <v>37</v>
      </c>
      <c r="B44" s="21">
        <f>(0.1111*0.02*0.333)</f>
        <v>7.3992600000000002E-4</v>
      </c>
      <c r="C44" s="113">
        <f t="shared" si="1"/>
        <v>1.9876533311073075</v>
      </c>
      <c r="D44" s="61"/>
      <c r="E44" s="1"/>
      <c r="F44" s="1"/>
      <c r="G44" s="1"/>
      <c r="H44" s="1"/>
    </row>
    <row r="45" spans="1:8" x14ac:dyDescent="0.25">
      <c r="A45" s="17" t="s">
        <v>38</v>
      </c>
      <c r="B45" s="18">
        <f>((5/30)/12)*0.015</f>
        <v>2.0833333333333332E-4</v>
      </c>
      <c r="C45" s="112">
        <f t="shared" si="1"/>
        <v>0.55964305076546716</v>
      </c>
      <c r="D45" s="61"/>
      <c r="E45" s="1"/>
      <c r="F45" s="1"/>
      <c r="G45" s="1"/>
      <c r="H45" s="1"/>
    </row>
    <row r="46" spans="1:8" x14ac:dyDescent="0.25">
      <c r="A46" s="2" t="s">
        <v>17</v>
      </c>
      <c r="B46" s="2"/>
      <c r="C46" s="1"/>
      <c r="D46" s="2"/>
      <c r="E46" s="1"/>
      <c r="F46" s="1"/>
      <c r="G46" s="1"/>
      <c r="H46" s="1"/>
    </row>
    <row r="47" spans="1:8" x14ac:dyDescent="0.25">
      <c r="A47" s="23" t="s">
        <v>39</v>
      </c>
      <c r="B47" s="24">
        <f>SUM(B38:B45)</f>
        <v>0.23636492599999998</v>
      </c>
      <c r="C47" s="25">
        <f>SUM(C38:C45)</f>
        <v>634.94394374685055</v>
      </c>
      <c r="D47" s="229"/>
      <c r="E47" s="1"/>
      <c r="F47" s="1"/>
      <c r="G47" s="1"/>
      <c r="H47" s="1"/>
    </row>
    <row r="48" spans="1:8" x14ac:dyDescent="0.25">
      <c r="A48" s="2"/>
      <c r="B48" s="2"/>
      <c r="C48" s="1"/>
      <c r="D48" s="2"/>
      <c r="E48" s="1"/>
      <c r="F48" s="1"/>
      <c r="G48" s="1"/>
      <c r="H48" s="1"/>
    </row>
    <row r="49" spans="1:8" x14ac:dyDescent="0.25">
      <c r="A49" s="23" t="s">
        <v>40</v>
      </c>
      <c r="B49" s="23"/>
      <c r="C49" s="26"/>
      <c r="D49" s="2"/>
      <c r="E49" s="1"/>
      <c r="F49" s="1"/>
      <c r="G49" s="1"/>
      <c r="H49" s="1"/>
    </row>
    <row r="50" spans="1:8" x14ac:dyDescent="0.25">
      <c r="A50" s="20" t="s">
        <v>41</v>
      </c>
      <c r="B50" s="21">
        <f>(0.16*(1/12))</f>
        <v>1.3333333333333332E-2</v>
      </c>
      <c r="C50" s="113">
        <f>SUM(C$23*B50)</f>
        <v>35.817155248989899</v>
      </c>
      <c r="D50" s="61"/>
      <c r="E50" s="1"/>
      <c r="F50" s="1"/>
      <c r="G50" s="1"/>
      <c r="H50" s="1"/>
    </row>
    <row r="51" spans="1:8" x14ac:dyDescent="0.25">
      <c r="A51" s="17" t="s">
        <v>42</v>
      </c>
      <c r="B51" s="18">
        <f>(0.02*(1/12))</f>
        <v>1.6666666666666666E-3</v>
      </c>
      <c r="C51" s="112">
        <f>SUM(C$23*B51)</f>
        <v>4.4771444061237373</v>
      </c>
      <c r="D51" s="61"/>
      <c r="E51" s="1"/>
      <c r="F51" s="1"/>
      <c r="G51" s="1"/>
      <c r="H51" s="1"/>
    </row>
    <row r="52" spans="1:8" ht="30" x14ac:dyDescent="0.25">
      <c r="A52" s="20" t="s">
        <v>43</v>
      </c>
      <c r="B52" s="21">
        <f>(1*0.4*0.08)</f>
        <v>3.2000000000000001E-2</v>
      </c>
      <c r="C52" s="113">
        <f>SUM(C$23*B52)</f>
        <v>85.961172597575754</v>
      </c>
      <c r="D52" s="61"/>
      <c r="E52" s="1"/>
      <c r="F52" s="1"/>
      <c r="G52" s="1"/>
      <c r="H52" s="1"/>
    </row>
    <row r="53" spans="1:8" ht="30" x14ac:dyDescent="0.25">
      <c r="A53" s="17" t="s">
        <v>44</v>
      </c>
      <c r="B53" s="18">
        <f>(1*0.1*0.08)</f>
        <v>8.0000000000000002E-3</v>
      </c>
      <c r="C53" s="112">
        <f>SUM(C$23*B53)</f>
        <v>21.490293149393938</v>
      </c>
      <c r="D53" s="61"/>
      <c r="E53" s="1"/>
      <c r="F53" s="1"/>
      <c r="G53" s="1"/>
      <c r="H53" s="1"/>
    </row>
    <row r="54" spans="1:8" x14ac:dyDescent="0.25">
      <c r="A54" s="3" t="s">
        <v>45</v>
      </c>
      <c r="B54" s="27">
        <f>SUM(B50:B53)</f>
        <v>5.5E-2</v>
      </c>
      <c r="C54" s="28">
        <f>SUM(C50:C53)</f>
        <v>147.74576540208332</v>
      </c>
      <c r="D54" s="2"/>
      <c r="E54" s="1"/>
      <c r="F54" s="1"/>
      <c r="G54" s="1"/>
      <c r="H54" s="1"/>
    </row>
    <row r="55" spans="1:8" x14ac:dyDescent="0.25">
      <c r="A55" s="2"/>
      <c r="B55" s="2"/>
      <c r="C55" s="1"/>
      <c r="D55" s="2"/>
      <c r="E55" s="1"/>
      <c r="F55" s="1"/>
      <c r="G55" s="1"/>
      <c r="H55" s="1"/>
    </row>
    <row r="56" spans="1:8" x14ac:dyDescent="0.25">
      <c r="A56" s="23" t="s">
        <v>46</v>
      </c>
      <c r="B56" s="23"/>
      <c r="C56" s="26"/>
      <c r="D56" s="2"/>
      <c r="E56" s="1"/>
      <c r="F56" s="1"/>
      <c r="G56" s="1"/>
      <c r="H56" s="1"/>
    </row>
    <row r="57" spans="1:8" ht="30" x14ac:dyDescent="0.25">
      <c r="A57" s="20" t="s">
        <v>47</v>
      </c>
      <c r="B57" s="21">
        <f>B35*B47</f>
        <v>8.7525932097800005E-2</v>
      </c>
      <c r="C57" s="113">
        <f>SUM(C$23*B57)</f>
        <v>235.11974236945883</v>
      </c>
      <c r="D57" s="61"/>
      <c r="E57" s="1"/>
      <c r="F57" s="1"/>
      <c r="G57" s="1"/>
      <c r="H57" s="1"/>
    </row>
    <row r="58" spans="1:8" x14ac:dyDescent="0.25">
      <c r="A58" s="23" t="s">
        <v>48</v>
      </c>
      <c r="B58" s="24">
        <f>B57</f>
        <v>8.7525932097800005E-2</v>
      </c>
      <c r="C58" s="29">
        <f>SUM(C57)</f>
        <v>235.11974236945883</v>
      </c>
      <c r="D58" s="2"/>
      <c r="E58" s="1"/>
      <c r="F58" s="1"/>
      <c r="G58" s="1"/>
      <c r="H58" s="1"/>
    </row>
    <row r="59" spans="1:8" x14ac:dyDescent="0.25">
      <c r="A59" s="2"/>
      <c r="B59" s="2"/>
      <c r="C59" s="1"/>
      <c r="D59" s="2"/>
      <c r="E59" s="1"/>
      <c r="F59" s="1"/>
      <c r="G59" s="1"/>
      <c r="H59" s="1"/>
    </row>
    <row r="60" spans="1:8" x14ac:dyDescent="0.25">
      <c r="A60" s="23" t="s">
        <v>49</v>
      </c>
      <c r="B60" s="23"/>
      <c r="C60" s="9"/>
      <c r="D60" s="2"/>
      <c r="E60" s="1"/>
      <c r="F60" s="1"/>
      <c r="G60" s="1"/>
      <c r="H60" s="1"/>
    </row>
    <row r="61" spans="1:8" ht="30" x14ac:dyDescent="0.25">
      <c r="A61" s="30" t="s">
        <v>50</v>
      </c>
      <c r="B61" s="21">
        <f>(B28*B50)</f>
        <v>1.0666666666666667E-3</v>
      </c>
      <c r="C61" s="113">
        <f>SUM(C$23*B61)</f>
        <v>2.8653724199191921</v>
      </c>
      <c r="D61" s="61"/>
      <c r="E61" s="1"/>
      <c r="F61" s="1"/>
      <c r="G61" s="1"/>
      <c r="H61" s="1"/>
    </row>
    <row r="62" spans="1:8" ht="45" x14ac:dyDescent="0.25">
      <c r="A62" s="31" t="s">
        <v>51</v>
      </c>
      <c r="B62" s="62">
        <f>(B28*B42)</f>
        <v>1.6666666666666666E-4</v>
      </c>
      <c r="C62" s="112">
        <f>SUM(C$23*B62)</f>
        <v>0.4477144406123737</v>
      </c>
      <c r="D62" s="63"/>
      <c r="E62" s="1"/>
      <c r="F62" s="1"/>
      <c r="G62" s="1"/>
      <c r="H62" s="1"/>
    </row>
    <row r="63" spans="1:8" x14ac:dyDescent="0.25">
      <c r="A63" s="3" t="s">
        <v>52</v>
      </c>
      <c r="B63" s="27">
        <f>B61+B62</f>
        <v>1.2333333333333335E-3</v>
      </c>
      <c r="C63" s="28">
        <f>SUM(C61:C62)</f>
        <v>3.3130868605315658</v>
      </c>
      <c r="D63" s="229"/>
      <c r="E63" s="1"/>
      <c r="F63" s="1"/>
      <c r="G63" s="1"/>
      <c r="H63" s="1"/>
    </row>
    <row r="64" spans="1:8" x14ac:dyDescent="0.25">
      <c r="A64" s="2"/>
      <c r="B64" s="2"/>
      <c r="C64" s="1"/>
      <c r="D64" s="2"/>
      <c r="E64" s="1"/>
      <c r="F64" s="1"/>
      <c r="G64" s="1"/>
      <c r="H64" s="1"/>
    </row>
    <row r="65" spans="1:8" x14ac:dyDescent="0.25">
      <c r="A65" s="23" t="s">
        <v>53</v>
      </c>
      <c r="B65" s="23"/>
      <c r="C65" s="26"/>
      <c r="D65" s="2"/>
      <c r="E65" s="1"/>
      <c r="F65" s="1"/>
      <c r="G65" s="1"/>
      <c r="H65" s="1"/>
    </row>
    <row r="66" spans="1:8" ht="45" x14ac:dyDescent="0.25">
      <c r="A66" s="20" t="s">
        <v>54</v>
      </c>
      <c r="B66" s="21">
        <f>(B35)*(13/12)*(4/12)*0.02</f>
        <v>2.6743888888888889E-3</v>
      </c>
      <c r="C66" s="113">
        <f>SUM(C$23*B66)</f>
        <v>7.1841751522130197</v>
      </c>
      <c r="D66" s="61"/>
      <c r="E66" s="1"/>
      <c r="F66" s="1"/>
      <c r="G66" s="1"/>
      <c r="H66" s="1"/>
    </row>
    <row r="67" spans="1:8" ht="15.75" thickBot="1" x14ac:dyDescent="0.3">
      <c r="A67" s="14" t="s">
        <v>55</v>
      </c>
      <c r="B67" s="32">
        <f>B66</f>
        <v>2.6743888888888889E-3</v>
      </c>
      <c r="C67" s="33">
        <f>C66</f>
        <v>7.1841751522130197</v>
      </c>
      <c r="D67" s="2"/>
      <c r="E67" s="1"/>
      <c r="F67" s="1"/>
      <c r="G67" s="1"/>
      <c r="H67" s="1"/>
    </row>
    <row r="68" spans="1:8" ht="15.75" thickBot="1" x14ac:dyDescent="0.3">
      <c r="A68" s="2"/>
      <c r="B68" s="1"/>
      <c r="C68" s="34"/>
      <c r="D68" s="2"/>
      <c r="E68" s="1"/>
      <c r="F68" s="1"/>
      <c r="G68" s="1"/>
      <c r="H68" s="1"/>
    </row>
    <row r="69" spans="1:8" ht="15.75" thickBot="1" x14ac:dyDescent="0.3">
      <c r="A69" s="52" t="s">
        <v>56</v>
      </c>
      <c r="B69" s="35">
        <f>B67+B63+B58+B47+B35+B54</f>
        <v>0.7530985803200223</v>
      </c>
      <c r="C69" s="15">
        <f>C67+C63+C58+C54+C47+C35</f>
        <v>2023.0386576837095</v>
      </c>
      <c r="D69" s="2"/>
      <c r="E69" s="1"/>
      <c r="F69" s="1"/>
      <c r="G69" s="1"/>
      <c r="H69" s="1"/>
    </row>
    <row r="70" spans="1:8" ht="15.75" customHeight="1" thickBot="1" x14ac:dyDescent="0.3">
      <c r="A70" s="2"/>
      <c r="B70" s="2"/>
      <c r="C70" s="36"/>
      <c r="D70" s="2"/>
      <c r="E70" s="1"/>
      <c r="F70" s="1"/>
      <c r="G70" s="1"/>
      <c r="H70" s="1"/>
    </row>
    <row r="71" spans="1:8" ht="15.75" customHeight="1" thickBot="1" x14ac:dyDescent="0.3">
      <c r="A71" s="541" t="s">
        <v>57</v>
      </c>
      <c r="B71" s="541"/>
      <c r="C71" s="15">
        <f>C69+C23</f>
        <v>4709.3253013579524</v>
      </c>
      <c r="D71" s="2"/>
      <c r="E71" s="1"/>
      <c r="F71" s="1"/>
      <c r="G71" s="1"/>
      <c r="H71" s="1"/>
    </row>
    <row r="72" spans="1:8" ht="15.75" thickBot="1" x14ac:dyDescent="0.3">
      <c r="A72" s="2"/>
      <c r="B72" s="2"/>
      <c r="C72" s="34"/>
      <c r="D72" s="2"/>
      <c r="E72" s="1"/>
      <c r="F72" s="1"/>
      <c r="G72" s="1"/>
      <c r="H72" s="1"/>
    </row>
    <row r="73" spans="1:8" x14ac:dyDescent="0.25">
      <c r="A73" s="37" t="s">
        <v>58</v>
      </c>
      <c r="B73" s="37"/>
      <c r="C73" s="26"/>
      <c r="D73" s="2"/>
      <c r="E73" s="1"/>
      <c r="F73" s="1"/>
      <c r="G73" s="1"/>
      <c r="H73" s="1"/>
    </row>
    <row r="74" spans="1:8" x14ac:dyDescent="0.25">
      <c r="A74" s="10" t="s">
        <v>59</v>
      </c>
      <c r="B74" s="1"/>
      <c r="C74" s="232">
        <f>Uniforme!F28</f>
        <v>107.61381033333335</v>
      </c>
      <c r="D74" s="2"/>
      <c r="E74" s="1"/>
      <c r="F74" s="1"/>
      <c r="G74" s="1"/>
      <c r="H74" s="1"/>
    </row>
    <row r="75" spans="1:8" x14ac:dyDescent="0.25">
      <c r="A75" s="17" t="s">
        <v>60</v>
      </c>
      <c r="B75" s="230">
        <v>15.2188</v>
      </c>
      <c r="C75" s="112">
        <f>base!E6</f>
        <v>304.81692800000002</v>
      </c>
      <c r="D75" s="2"/>
      <c r="E75" s="1"/>
      <c r="F75" s="1"/>
      <c r="G75" s="1"/>
      <c r="H75" s="1"/>
    </row>
    <row r="76" spans="1:8" x14ac:dyDescent="0.25">
      <c r="A76" s="10" t="s">
        <v>61</v>
      </c>
      <c r="B76" s="1"/>
      <c r="C76" s="111">
        <f>(3.7*2*B75)-C15*6%</f>
        <v>18.959120000000013</v>
      </c>
      <c r="D76" s="2"/>
      <c r="E76" s="1"/>
      <c r="F76" s="1"/>
      <c r="G76" s="1"/>
      <c r="H76" s="1"/>
    </row>
    <row r="77" spans="1:8" x14ac:dyDescent="0.25">
      <c r="A77" s="10" t="s">
        <v>62</v>
      </c>
      <c r="B77" s="1"/>
      <c r="C77" s="232">
        <f>'depreciação de equipamento'!F11</f>
        <v>29.778499024999999</v>
      </c>
      <c r="D77" s="2"/>
      <c r="E77" s="1"/>
      <c r="F77" s="1"/>
      <c r="G77" s="1"/>
      <c r="H77" s="1"/>
    </row>
    <row r="78" spans="1:8" x14ac:dyDescent="0.25">
      <c r="A78" s="17" t="s">
        <v>63</v>
      </c>
      <c r="B78" s="17"/>
      <c r="C78" s="112"/>
      <c r="D78" s="2"/>
      <c r="E78" s="1"/>
      <c r="F78" s="1"/>
      <c r="G78" s="1"/>
      <c r="H78" s="1"/>
    </row>
    <row r="79" spans="1:8" x14ac:dyDescent="0.25">
      <c r="A79" s="10" t="s">
        <v>64</v>
      </c>
      <c r="B79" s="1"/>
      <c r="C79" s="232">
        <f>'depreciação de equipamento'!F13</f>
        <v>10.827437999999999</v>
      </c>
      <c r="D79" s="2"/>
      <c r="E79" s="1"/>
      <c r="F79" s="1"/>
      <c r="G79" s="1"/>
      <c r="H79" s="1"/>
    </row>
    <row r="80" spans="1:8" ht="15.75" thickBot="1" x14ac:dyDescent="0.3">
      <c r="A80" s="10" t="s">
        <v>217</v>
      </c>
      <c r="B80" s="1"/>
      <c r="C80" s="233">
        <f>base!F22</f>
        <v>151.38999999999999</v>
      </c>
      <c r="D80" s="2"/>
      <c r="E80" s="1"/>
      <c r="F80" s="1"/>
      <c r="G80" s="1"/>
      <c r="H80" s="1"/>
    </row>
    <row r="81" spans="1:8" ht="15.75" thickBot="1" x14ac:dyDescent="0.3">
      <c r="A81" s="38" t="s">
        <v>65</v>
      </c>
      <c r="B81" s="39"/>
      <c r="C81" s="298">
        <f>SUM(C74:C80)</f>
        <v>623.38579535833333</v>
      </c>
      <c r="D81" s="2"/>
      <c r="E81" s="1"/>
      <c r="F81" s="1"/>
      <c r="G81" s="1"/>
      <c r="H81" s="1"/>
    </row>
    <row r="82" spans="1:8" ht="15.75" thickBot="1" x14ac:dyDescent="0.3">
      <c r="A82" s="1"/>
      <c r="B82" s="40"/>
      <c r="C82" s="41"/>
      <c r="D82" s="2"/>
      <c r="E82" s="1"/>
      <c r="F82" s="1"/>
      <c r="G82" s="1"/>
      <c r="H82" s="1"/>
    </row>
    <row r="83" spans="1:8" s="68" customFormat="1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s="68" customFormat="1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2"/>
      <c r="C85" s="42">
        <f>C81+C69+C23</f>
        <v>5332.7110967162853</v>
      </c>
      <c r="D85" s="2"/>
      <c r="E85" s="1"/>
      <c r="F85" s="1"/>
      <c r="G85" s="1"/>
      <c r="H85" s="1"/>
    </row>
    <row r="86" spans="1:8" ht="15.75" thickBot="1" x14ac:dyDescent="0.3">
      <c r="A86" s="2"/>
      <c r="B86" s="2"/>
      <c r="C86" s="34"/>
      <c r="D86" s="2"/>
      <c r="E86" s="1"/>
      <c r="F86" s="1"/>
      <c r="G86" s="1"/>
      <c r="H86" s="1"/>
    </row>
    <row r="87" spans="1:8" x14ac:dyDescent="0.25">
      <c r="A87" s="37" t="s">
        <v>68</v>
      </c>
      <c r="B87" s="43"/>
      <c r="C87" s="26"/>
      <c r="D87" s="2"/>
      <c r="E87" s="1"/>
      <c r="F87" s="1"/>
      <c r="G87" s="1"/>
      <c r="H87" s="1"/>
    </row>
    <row r="88" spans="1:8" x14ac:dyDescent="0.25">
      <c r="A88" s="20" t="s">
        <v>69</v>
      </c>
      <c r="B88" s="1"/>
      <c r="C88" s="21">
        <f>base!$E$13</f>
        <v>7.0000000000000007E-2</v>
      </c>
      <c r="D88" s="2"/>
      <c r="E88" s="1"/>
      <c r="F88" s="1"/>
      <c r="G88" s="1"/>
      <c r="H88" s="1"/>
    </row>
    <row r="89" spans="1:8" x14ac:dyDescent="0.25">
      <c r="A89" s="17" t="s">
        <v>70</v>
      </c>
      <c r="B89" s="13"/>
      <c r="C89" s="237">
        <f>base!$E$14</f>
        <v>6.9295020999999998E-2</v>
      </c>
      <c r="D89" s="2"/>
      <c r="E89" s="1"/>
      <c r="F89" s="1"/>
      <c r="G89" s="1"/>
      <c r="H89" s="1"/>
    </row>
    <row r="90" spans="1:8" x14ac:dyDescent="0.25">
      <c r="A90" s="20" t="s">
        <v>71</v>
      </c>
      <c r="B90" s="2"/>
      <c r="C90" s="44">
        <f>+iss!D5</f>
        <v>2.5000000000000001E-2</v>
      </c>
      <c r="D90" s="2"/>
      <c r="E90" s="1"/>
      <c r="F90" s="1"/>
      <c r="G90" s="1"/>
      <c r="H90" s="1"/>
    </row>
    <row r="91" spans="1:8" x14ac:dyDescent="0.25">
      <c r="A91" s="17" t="s">
        <v>72</v>
      </c>
      <c r="B91" s="45"/>
      <c r="C91" s="46">
        <v>0.03</v>
      </c>
      <c r="D91" s="2"/>
      <c r="E91" s="1"/>
      <c r="F91" s="1"/>
      <c r="G91" s="1"/>
      <c r="H91" s="1"/>
    </row>
    <row r="92" spans="1:8" ht="15.75" thickBot="1" x14ac:dyDescent="0.3">
      <c r="A92" s="20" t="s">
        <v>73</v>
      </c>
      <c r="B92" s="2"/>
      <c r="C92" s="44">
        <v>6.4999999999999997E-3</v>
      </c>
      <c r="D92" s="2"/>
      <c r="E92" s="1"/>
      <c r="F92" s="1"/>
      <c r="G92" s="1"/>
      <c r="H92" s="1"/>
    </row>
    <row r="93" spans="1:8" ht="15.75" thickBot="1" x14ac:dyDescent="0.3">
      <c r="A93" s="52" t="s">
        <v>74</v>
      </c>
      <c r="B93" s="97"/>
      <c r="C93" s="35">
        <f>SUM(C88:C92)</f>
        <v>0.20079502100000002</v>
      </c>
      <c r="D93" s="2"/>
      <c r="E93" s="1"/>
      <c r="F93" s="1"/>
      <c r="G93" s="1"/>
      <c r="H93" s="1"/>
    </row>
    <row r="94" spans="1:8" ht="15.75" thickBot="1" x14ac:dyDescent="0.3">
      <c r="A94" s="238"/>
      <c r="B94" s="239">
        <f>+C93*100</f>
        <v>20.079502100000003</v>
      </c>
      <c r="C94" s="240">
        <f>100-B94</f>
        <v>79.920497900000001</v>
      </c>
      <c r="D94" s="2"/>
      <c r="E94" s="1"/>
      <c r="F94" s="1"/>
      <c r="G94" s="1"/>
      <c r="H94" s="1"/>
    </row>
    <row r="95" spans="1:8" ht="15.75" thickBot="1" x14ac:dyDescent="0.3">
      <c r="A95" s="14" t="s">
        <v>75</v>
      </c>
      <c r="B95" s="14"/>
      <c r="C95" s="234">
        <f>SUM(C85*B94/C94)</f>
        <v>1339.8087659462387</v>
      </c>
      <c r="D95" s="2"/>
      <c r="E95" s="228"/>
      <c r="F95" s="1"/>
      <c r="G95" s="1"/>
      <c r="H95" s="1"/>
    </row>
    <row r="96" spans="1:8" ht="15.75" thickBot="1" x14ac:dyDescent="0.3">
      <c r="A96" s="539"/>
      <c r="B96" s="539"/>
      <c r="C96" s="34"/>
      <c r="D96" s="2"/>
      <c r="E96" s="1"/>
      <c r="F96" s="1"/>
      <c r="G96" s="1"/>
      <c r="H96" s="1"/>
    </row>
    <row r="97" spans="1:8" ht="15.75" thickBot="1" x14ac:dyDescent="0.3">
      <c r="A97" s="241" t="s">
        <v>76</v>
      </c>
      <c r="B97" s="225"/>
      <c r="C97" s="242">
        <f>C85+C95</f>
        <v>6672.5198626625242</v>
      </c>
      <c r="D97" s="2"/>
      <c r="E97" s="1"/>
      <c r="F97" s="1"/>
      <c r="G97" s="50"/>
      <c r="H97" s="1"/>
    </row>
    <row r="98" spans="1:8" ht="15.75" thickBot="1" x14ac:dyDescent="0.3">
      <c r="A98" s="48"/>
      <c r="B98" s="48"/>
      <c r="C98" s="49"/>
      <c r="D98" s="2"/>
      <c r="E98" s="1"/>
      <c r="F98" s="1"/>
      <c r="G98" s="1"/>
      <c r="H98" s="1"/>
    </row>
    <row r="99" spans="1:8" ht="15.75" thickBot="1" x14ac:dyDescent="0.3">
      <c r="A99" s="241" t="s">
        <v>121</v>
      </c>
      <c r="B99" s="225"/>
      <c r="C99" s="242">
        <f>ROUND(C97*2,2)</f>
        <v>13345.04</v>
      </c>
      <c r="D99" s="2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2" spans="1:8" x14ac:dyDescent="0.25">
      <c r="C102" s="231"/>
    </row>
  </sheetData>
  <mergeCells count="16">
    <mergeCell ref="A4:C4"/>
    <mergeCell ref="A15:B15"/>
    <mergeCell ref="A25:C25"/>
    <mergeCell ref="A2:C2"/>
    <mergeCell ref="A3:C3"/>
    <mergeCell ref="A96:B96"/>
    <mergeCell ref="A5:C5"/>
    <mergeCell ref="A6:C6"/>
    <mergeCell ref="A71:B71"/>
    <mergeCell ref="A85:B85"/>
    <mergeCell ref="A8:A9"/>
    <mergeCell ref="B8:B9"/>
    <mergeCell ref="C8:C9"/>
    <mergeCell ref="A14:C14"/>
    <mergeCell ref="A11:C11"/>
    <mergeCell ref="A12:B12"/>
  </mergeCells>
  <hyperlinks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5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1" workbookViewId="0">
      <selection activeCell="C76" sqref="C76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92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132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7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315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13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(2.9*2*B75)-C15*6%</f>
        <v>-5.3909600000000069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08">
        <f>SUM(C74:C80)</f>
        <v>599.03571535833328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2"/>
      <c r="C85" s="118">
        <f>C81+C69+C23</f>
        <v>5308.3610167162851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v>8.2000000000000003E-2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+iss!D4</f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13" t="s">
        <v>74</v>
      </c>
      <c r="B93" s="97"/>
      <c r="C93" s="97">
        <f>SUM(C88:C92)</f>
        <v>0.23850000000000002</v>
      </c>
      <c r="D93" s="70"/>
      <c r="E93" s="69"/>
      <c r="F93" s="69"/>
      <c r="G93" s="69"/>
      <c r="H93" s="69"/>
    </row>
    <row r="94" spans="1:8" ht="15.75" thickBot="1" x14ac:dyDescent="0.3">
      <c r="A94" s="238"/>
      <c r="B94" s="239">
        <f>+C93*100</f>
        <v>23.85</v>
      </c>
      <c r="C94" s="240">
        <f>100-B94</f>
        <v>76.150000000000006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4">
        <f>SUM(C85*B94/C94)</f>
        <v>1662.5661227666894</v>
      </c>
      <c r="D95" s="70"/>
      <c r="E95" s="69"/>
      <c r="F95" s="69"/>
      <c r="G95" s="50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241" t="s">
        <v>76</v>
      </c>
      <c r="B97" s="313"/>
      <c r="C97" s="242">
        <f>C85+C95</f>
        <v>6970.9271394829748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1" t="s">
        <v>121</v>
      </c>
      <c r="B99" s="313"/>
      <c r="C99" s="242">
        <f>ROUND(C97*2,2)</f>
        <v>13941.85</v>
      </c>
      <c r="D99" s="70"/>
      <c r="E99" s="314"/>
      <c r="F99" s="314"/>
      <c r="G99" s="314"/>
      <c r="H99" s="314"/>
    </row>
    <row r="100" spans="1:8" ht="15.75" x14ac:dyDescent="0.25">
      <c r="A100" s="69"/>
      <c r="B100" s="69"/>
      <c r="C100" s="69"/>
      <c r="D100" s="314"/>
      <c r="E100" s="314"/>
      <c r="F100" s="314"/>
      <c r="G100" s="314"/>
      <c r="H100" s="314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98"/>
  <sheetViews>
    <sheetView topLeftCell="A67" workbookViewId="0">
      <selection activeCell="C75" sqref="C75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</row>
    <row r="2" spans="1:8" ht="15.75" thickBot="1" x14ac:dyDescent="0.3">
      <c r="A2" s="550" t="s">
        <v>85</v>
      </c>
      <c r="B2" s="551"/>
      <c r="C2" s="552"/>
    </row>
    <row r="3" spans="1:8" ht="15.75" x14ac:dyDescent="0.25">
      <c r="A3" s="548" t="s">
        <v>118</v>
      </c>
      <c r="B3" s="548"/>
      <c r="C3" s="548"/>
      <c r="D3" s="69"/>
      <c r="E3" s="69"/>
      <c r="F3" s="69"/>
      <c r="G3" s="69"/>
      <c r="H3" s="69"/>
    </row>
    <row r="4" spans="1:8" ht="15.75" x14ac:dyDescent="0.25">
      <c r="A4" s="548" t="s">
        <v>127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119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120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70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70"/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v>0</v>
      </c>
      <c r="D18" s="325"/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127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42.11374005681818</v>
      </c>
      <c r="D21" s="70"/>
      <c r="E21" s="69"/>
      <c r="F21" s="69"/>
      <c r="G21" s="69"/>
      <c r="H21" s="69"/>
    </row>
    <row r="22" spans="1:8" ht="15.75" thickBot="1" x14ac:dyDescent="0.3">
      <c r="A22" s="82" t="s">
        <v>18</v>
      </c>
      <c r="B22" s="82"/>
      <c r="C22" s="83">
        <f>SUM(C15:C21)</f>
        <v>2349.6257736742423</v>
      </c>
      <c r="D22" s="70"/>
      <c r="E22" s="69"/>
      <c r="F22" s="69"/>
      <c r="G22" s="69"/>
      <c r="H22" s="69"/>
    </row>
    <row r="23" spans="1:8" ht="15.75" thickBot="1" x14ac:dyDescent="0.3">
      <c r="A23" s="70"/>
      <c r="B23" s="70"/>
      <c r="C23" s="69"/>
      <c r="D23" s="70"/>
      <c r="E23" s="69"/>
      <c r="F23" s="69"/>
      <c r="G23" s="69"/>
      <c r="H23" s="69"/>
    </row>
    <row r="24" spans="1:8" x14ac:dyDescent="0.25">
      <c r="A24" s="547" t="s">
        <v>19</v>
      </c>
      <c r="B24" s="547"/>
      <c r="C24" s="547"/>
      <c r="D24" s="70"/>
      <c r="E24" s="69"/>
      <c r="F24" s="69"/>
      <c r="G24" s="69"/>
      <c r="H24" s="69"/>
    </row>
    <row r="25" spans="1:8" x14ac:dyDescent="0.25">
      <c r="A25" s="71" t="s">
        <v>20</v>
      </c>
      <c r="B25" s="70"/>
      <c r="C25" s="111"/>
      <c r="D25" s="70"/>
      <c r="E25" s="69"/>
      <c r="F25" s="69"/>
      <c r="G25" s="69"/>
      <c r="H25" s="69"/>
    </row>
    <row r="26" spans="1:8" x14ac:dyDescent="0.25">
      <c r="A26" s="84" t="s">
        <v>21</v>
      </c>
      <c r="B26" s="85">
        <v>0.2</v>
      </c>
      <c r="C26" s="112">
        <f t="shared" ref="C26:C33" si="0">+C$22*B26</f>
        <v>469.92515473484849</v>
      </c>
      <c r="D26" s="70"/>
      <c r="E26" s="69"/>
      <c r="F26" s="69"/>
      <c r="G26" s="69"/>
      <c r="H26" s="69"/>
    </row>
    <row r="27" spans="1:8" x14ac:dyDescent="0.25">
      <c r="A27" s="86" t="s">
        <v>22</v>
      </c>
      <c r="B27" s="87">
        <v>0.08</v>
      </c>
      <c r="C27" s="243">
        <f t="shared" si="0"/>
        <v>187.97006189393937</v>
      </c>
      <c r="D27" s="70"/>
      <c r="E27" s="69"/>
      <c r="F27" s="69"/>
      <c r="G27" s="69"/>
      <c r="H27" s="69"/>
    </row>
    <row r="28" spans="1:8" x14ac:dyDescent="0.25">
      <c r="A28" s="84" t="s">
        <v>23</v>
      </c>
      <c r="B28" s="85">
        <v>1.4999999999999999E-2</v>
      </c>
      <c r="C28" s="112">
        <f t="shared" si="0"/>
        <v>35.244386605113633</v>
      </c>
      <c r="D28" s="70"/>
      <c r="E28" s="69"/>
      <c r="F28" s="69"/>
      <c r="G28" s="69"/>
      <c r="H28" s="69"/>
    </row>
    <row r="29" spans="1:8" x14ac:dyDescent="0.25">
      <c r="A29" s="86" t="s">
        <v>24</v>
      </c>
      <c r="B29" s="87">
        <v>0.01</v>
      </c>
      <c r="C29" s="243">
        <f t="shared" si="0"/>
        <v>23.496257736742422</v>
      </c>
      <c r="D29" s="70"/>
      <c r="E29" s="69"/>
      <c r="F29" s="69"/>
      <c r="G29" s="69"/>
      <c r="H29" s="69"/>
    </row>
    <row r="30" spans="1:8" x14ac:dyDescent="0.25">
      <c r="A30" s="84" t="s">
        <v>25</v>
      </c>
      <c r="B30" s="85">
        <v>2E-3</v>
      </c>
      <c r="C30" s="112">
        <f t="shared" si="0"/>
        <v>4.699251547348485</v>
      </c>
      <c r="D30" s="70"/>
      <c r="E30" s="69"/>
      <c r="F30" s="69"/>
      <c r="G30" s="69"/>
      <c r="H30" s="69"/>
    </row>
    <row r="31" spans="1:8" x14ac:dyDescent="0.25">
      <c r="A31" s="86" t="s">
        <v>26</v>
      </c>
      <c r="B31" s="87">
        <v>6.0000000000000001E-3</v>
      </c>
      <c r="C31" s="243">
        <f t="shared" si="0"/>
        <v>14.097754642045453</v>
      </c>
      <c r="D31" s="70"/>
      <c r="E31" s="69"/>
      <c r="F31" s="69"/>
      <c r="G31" s="69"/>
      <c r="H31" s="69"/>
    </row>
    <row r="32" spans="1:8" x14ac:dyDescent="0.25">
      <c r="A32" s="84" t="s">
        <v>27</v>
      </c>
      <c r="B32" s="85">
        <v>2.5000000000000001E-2</v>
      </c>
      <c r="C32" s="112">
        <f t="shared" si="0"/>
        <v>58.740644341856061</v>
      </c>
      <c r="D32" s="70"/>
      <c r="E32" s="69"/>
      <c r="F32" s="69"/>
      <c r="G32" s="69"/>
      <c r="H32" s="69"/>
    </row>
    <row r="33" spans="1:8" x14ac:dyDescent="0.25">
      <c r="A33" s="86" t="s">
        <v>28</v>
      </c>
      <c r="B33" s="236">
        <f>base!E26</f>
        <v>3.2300000000000002E-2</v>
      </c>
      <c r="C33" s="243">
        <f t="shared" si="0"/>
        <v>75.892912489678025</v>
      </c>
      <c r="D33" s="70"/>
      <c r="E33" s="69"/>
      <c r="F33" s="69"/>
      <c r="G33" s="69"/>
      <c r="H33" s="69"/>
    </row>
    <row r="34" spans="1:8" x14ac:dyDescent="0.25">
      <c r="A34" s="88" t="s">
        <v>29</v>
      </c>
      <c r="B34" s="89">
        <f>SUM(B26:B33)</f>
        <v>0.37030000000000007</v>
      </c>
      <c r="C34" s="114">
        <f>SUM(C26:C33)</f>
        <v>870.06642399157192</v>
      </c>
      <c r="D34" s="70"/>
      <c r="E34" s="69"/>
      <c r="F34" s="69"/>
      <c r="G34" s="69"/>
      <c r="H34" s="69"/>
    </row>
    <row r="35" spans="1:8" x14ac:dyDescent="0.25">
      <c r="A35" s="70"/>
      <c r="B35" s="70"/>
      <c r="C35" s="69"/>
      <c r="D35" s="70"/>
      <c r="E35" s="69"/>
      <c r="F35" s="69"/>
      <c r="G35" s="69"/>
      <c r="H35" s="69"/>
    </row>
    <row r="36" spans="1:8" x14ac:dyDescent="0.25">
      <c r="A36" s="88" t="s">
        <v>30</v>
      </c>
      <c r="B36" s="88"/>
      <c r="C36" s="90"/>
      <c r="D36" s="70"/>
      <c r="E36" s="69"/>
      <c r="F36" s="69"/>
      <c r="G36" s="69"/>
      <c r="H36" s="69"/>
    </row>
    <row r="37" spans="1:8" x14ac:dyDescent="0.25">
      <c r="A37" s="86" t="s">
        <v>31</v>
      </c>
      <c r="B37" s="87">
        <f>(1/12)</f>
        <v>8.3333333333333329E-2</v>
      </c>
      <c r="C37" s="243">
        <f t="shared" ref="C37:C44" si="1">+C$22*B37</f>
        <v>195.80214780618684</v>
      </c>
      <c r="D37" s="70"/>
      <c r="E37" s="69"/>
      <c r="F37" s="69"/>
      <c r="G37" s="69"/>
      <c r="H37" s="69"/>
    </row>
    <row r="38" spans="1:8" x14ac:dyDescent="0.25">
      <c r="A38" s="84" t="s">
        <v>32</v>
      </c>
      <c r="B38" s="85">
        <f>((1+1/3)/12)</f>
        <v>0.1111111111111111</v>
      </c>
      <c r="C38" s="112">
        <f t="shared" si="1"/>
        <v>261.06953040824914</v>
      </c>
      <c r="D38" s="70"/>
      <c r="E38" s="69"/>
      <c r="F38" s="69"/>
      <c r="G38" s="69"/>
      <c r="H38" s="69"/>
    </row>
    <row r="39" spans="1:8" x14ac:dyDescent="0.25">
      <c r="A39" s="86" t="s">
        <v>33</v>
      </c>
      <c r="B39" s="87">
        <f>((7/30)/12)</f>
        <v>1.9444444444444445E-2</v>
      </c>
      <c r="C39" s="243">
        <f t="shared" si="1"/>
        <v>45.687167821443602</v>
      </c>
      <c r="D39" s="70"/>
      <c r="E39" s="69"/>
      <c r="F39" s="69"/>
      <c r="G39" s="69"/>
      <c r="H39" s="69"/>
    </row>
    <row r="40" spans="1:8" x14ac:dyDescent="0.25">
      <c r="A40" s="84" t="s">
        <v>34</v>
      </c>
      <c r="B40" s="85">
        <f>((5/30)/12)</f>
        <v>1.3888888888888888E-2</v>
      </c>
      <c r="C40" s="112">
        <f t="shared" si="1"/>
        <v>32.633691301031142</v>
      </c>
      <c r="D40" s="70"/>
      <c r="E40" s="69"/>
      <c r="F40" s="69"/>
      <c r="G40" s="69"/>
      <c r="H40" s="69"/>
    </row>
    <row r="41" spans="1:8" x14ac:dyDescent="0.25">
      <c r="A41" s="86" t="s">
        <v>35</v>
      </c>
      <c r="B41" s="87">
        <f>(((15/30)/12)*0.05)</f>
        <v>2.0833333333333333E-3</v>
      </c>
      <c r="C41" s="243">
        <f t="shared" si="1"/>
        <v>4.8950536951546715</v>
      </c>
      <c r="D41" s="70"/>
      <c r="E41" s="69"/>
      <c r="F41" s="69"/>
      <c r="G41" s="69"/>
      <c r="H41" s="69"/>
    </row>
    <row r="42" spans="1:8" x14ac:dyDescent="0.25">
      <c r="A42" s="84" t="s">
        <v>36</v>
      </c>
      <c r="B42" s="85">
        <f>((2/30)/12)</f>
        <v>5.5555555555555558E-3</v>
      </c>
      <c r="C42" s="112">
        <f t="shared" si="1"/>
        <v>13.053476520412458</v>
      </c>
      <c r="D42" s="70"/>
      <c r="E42" s="69"/>
      <c r="F42" s="69"/>
      <c r="G42" s="69"/>
      <c r="H42" s="69"/>
    </row>
    <row r="43" spans="1:8" x14ac:dyDescent="0.25">
      <c r="A43" s="86" t="s">
        <v>37</v>
      </c>
      <c r="B43" s="87">
        <f>(0.1111*0.02*0.333)</f>
        <v>7.3992600000000002E-4</v>
      </c>
      <c r="C43" s="243">
        <f t="shared" si="1"/>
        <v>1.7385492002116874</v>
      </c>
      <c r="D43" s="70"/>
      <c r="E43" s="69"/>
      <c r="F43" s="69"/>
      <c r="G43" s="69"/>
      <c r="H43" s="69"/>
    </row>
    <row r="44" spans="1:8" x14ac:dyDescent="0.25">
      <c r="A44" s="84" t="s">
        <v>38</v>
      </c>
      <c r="B44" s="85">
        <f>((5/30)/12)*0.015</f>
        <v>2.0833333333333332E-4</v>
      </c>
      <c r="C44" s="112">
        <f t="shared" si="1"/>
        <v>0.48950536951546714</v>
      </c>
      <c r="D44" s="70"/>
      <c r="E44" s="69"/>
      <c r="F44" s="69"/>
      <c r="G44" s="69"/>
      <c r="H44" s="69"/>
    </row>
    <row r="45" spans="1:8" x14ac:dyDescent="0.25">
      <c r="A45" s="70" t="s">
        <v>17</v>
      </c>
      <c r="B45" s="70"/>
      <c r="C45" s="69"/>
      <c r="D45" s="70"/>
      <c r="E45" s="69"/>
      <c r="F45" s="69"/>
      <c r="G45" s="69"/>
      <c r="H45" s="69"/>
    </row>
    <row r="46" spans="1:8" x14ac:dyDescent="0.25">
      <c r="A46" s="88" t="s">
        <v>39</v>
      </c>
      <c r="B46" s="89">
        <f>SUM(B37:B44)</f>
        <v>0.23636492599999998</v>
      </c>
      <c r="C46" s="114">
        <f>SUM(C37:C44)</f>
        <v>555.36912212220489</v>
      </c>
      <c r="D46" s="70"/>
      <c r="E46" s="69"/>
      <c r="F46" s="69"/>
      <c r="G46" s="69"/>
      <c r="H46" s="69"/>
    </row>
    <row r="47" spans="1:8" x14ac:dyDescent="0.25">
      <c r="A47" s="70"/>
      <c r="B47" s="70"/>
      <c r="C47" s="69"/>
      <c r="D47" s="70"/>
      <c r="E47" s="69"/>
      <c r="F47" s="69"/>
      <c r="G47" s="69"/>
      <c r="H47" s="69"/>
    </row>
    <row r="48" spans="1:8" x14ac:dyDescent="0.25">
      <c r="A48" s="88" t="s">
        <v>40</v>
      </c>
      <c r="B48" s="88"/>
      <c r="C48" s="90"/>
      <c r="D48" s="70"/>
      <c r="E48" s="69"/>
      <c r="F48" s="69"/>
      <c r="G48" s="69"/>
      <c r="H48" s="69"/>
    </row>
    <row r="49" spans="1:8" x14ac:dyDescent="0.25">
      <c r="A49" s="86" t="s">
        <v>41</v>
      </c>
      <c r="B49" s="87">
        <f>(0.16*(1/12))</f>
        <v>1.3333333333333332E-2</v>
      </c>
      <c r="C49" s="243">
        <f>+C$22*B49</f>
        <v>31.328343648989897</v>
      </c>
      <c r="D49" s="70"/>
      <c r="E49" s="69"/>
      <c r="F49" s="69"/>
      <c r="G49" s="69"/>
      <c r="H49" s="69"/>
    </row>
    <row r="50" spans="1:8" x14ac:dyDescent="0.25">
      <c r="A50" s="84" t="s">
        <v>42</v>
      </c>
      <c r="B50" s="85">
        <f>(0.02*(1/12))</f>
        <v>1.6666666666666666E-3</v>
      </c>
      <c r="C50" s="112">
        <f>+C$22*B50</f>
        <v>3.9160429561237371</v>
      </c>
      <c r="D50" s="70"/>
      <c r="E50" s="69"/>
      <c r="F50" s="69"/>
      <c r="G50" s="69"/>
      <c r="H50" s="69"/>
    </row>
    <row r="51" spans="1:8" ht="30" x14ac:dyDescent="0.25">
      <c r="A51" s="86" t="s">
        <v>43</v>
      </c>
      <c r="B51" s="87">
        <f>(1*0.4*0.08)</f>
        <v>3.2000000000000001E-2</v>
      </c>
      <c r="C51" s="243">
        <f>+C$22*B51</f>
        <v>75.188024757575761</v>
      </c>
      <c r="D51" s="70"/>
      <c r="E51" s="69"/>
      <c r="F51" s="69"/>
      <c r="G51" s="69"/>
      <c r="H51" s="69"/>
    </row>
    <row r="52" spans="1:8" ht="30" x14ac:dyDescent="0.25">
      <c r="A52" s="84" t="s">
        <v>44</v>
      </c>
      <c r="B52" s="85">
        <f>(1*0.1*0.08)</f>
        <v>8.0000000000000002E-3</v>
      </c>
      <c r="C52" s="112">
        <f>+C$22*B52</f>
        <v>18.79700618939394</v>
      </c>
      <c r="D52" s="70"/>
      <c r="E52" s="69"/>
      <c r="F52" s="69"/>
      <c r="G52" s="69"/>
      <c r="H52" s="69"/>
    </row>
    <row r="53" spans="1:8" x14ac:dyDescent="0.25">
      <c r="A53" s="71" t="s">
        <v>45</v>
      </c>
      <c r="B53" s="91">
        <f>SUM(B49:B52)</f>
        <v>5.5E-2</v>
      </c>
      <c r="C53" s="115">
        <f>SUM(C49:C52)</f>
        <v>129.22941755208333</v>
      </c>
      <c r="D53" s="70"/>
      <c r="E53" s="69"/>
      <c r="F53" s="69"/>
      <c r="G53" s="69"/>
      <c r="H53" s="69"/>
    </row>
    <row r="54" spans="1:8" x14ac:dyDescent="0.25">
      <c r="A54" s="70"/>
      <c r="B54" s="70"/>
      <c r="C54" s="69"/>
      <c r="D54" s="70"/>
      <c r="E54" s="69"/>
      <c r="F54" s="69"/>
      <c r="G54" s="69"/>
      <c r="H54" s="69"/>
    </row>
    <row r="55" spans="1:8" x14ac:dyDescent="0.25">
      <c r="A55" s="88" t="s">
        <v>46</v>
      </c>
      <c r="B55" s="88"/>
      <c r="C55" s="90"/>
      <c r="D55" s="70"/>
      <c r="E55" s="69"/>
      <c r="F55" s="69"/>
      <c r="G55" s="69"/>
      <c r="H55" s="69"/>
    </row>
    <row r="56" spans="1:8" ht="30" x14ac:dyDescent="0.25">
      <c r="A56" s="86" t="s">
        <v>47</v>
      </c>
      <c r="B56" s="87">
        <f>B34*B46</f>
        <v>8.7525932097800005E-2</v>
      </c>
      <c r="C56" s="243">
        <f>+C$22*B56</f>
        <v>205.65318592185253</v>
      </c>
      <c r="D56" s="70"/>
      <c r="E56" s="69"/>
      <c r="F56" s="69"/>
      <c r="G56" s="69"/>
      <c r="H56" s="69"/>
    </row>
    <row r="57" spans="1:8" x14ac:dyDescent="0.25">
      <c r="A57" s="88" t="s">
        <v>48</v>
      </c>
      <c r="B57" s="89">
        <f>B56</f>
        <v>8.7525932097800005E-2</v>
      </c>
      <c r="C57" s="116">
        <f>SUM(C56)</f>
        <v>205.65318592185253</v>
      </c>
      <c r="D57" s="70"/>
      <c r="E57" s="69"/>
      <c r="F57" s="69"/>
      <c r="G57" s="69"/>
      <c r="H57" s="69"/>
    </row>
    <row r="58" spans="1:8" x14ac:dyDescent="0.25">
      <c r="A58" s="70"/>
      <c r="B58" s="70"/>
      <c r="C58" s="69"/>
      <c r="D58" s="70"/>
      <c r="E58" s="69"/>
      <c r="F58" s="69"/>
      <c r="G58" s="69"/>
      <c r="H58" s="69"/>
    </row>
    <row r="59" spans="1:8" x14ac:dyDescent="0.25">
      <c r="A59" s="88" t="s">
        <v>49</v>
      </c>
      <c r="B59" s="88"/>
      <c r="C59" s="77"/>
      <c r="D59" s="70"/>
      <c r="E59" s="69"/>
      <c r="F59" s="69"/>
      <c r="G59" s="69"/>
      <c r="H59" s="69"/>
    </row>
    <row r="60" spans="1:8" ht="30" x14ac:dyDescent="0.25">
      <c r="A60" s="92" t="s">
        <v>50</v>
      </c>
      <c r="B60" s="87">
        <f>(B27*B49)</f>
        <v>1.0666666666666667E-3</v>
      </c>
      <c r="C60" s="243">
        <f>+C$22*B60</f>
        <v>2.5062674919191918</v>
      </c>
      <c r="D60" s="70"/>
      <c r="E60" s="69"/>
      <c r="F60" s="69"/>
      <c r="G60" s="69"/>
      <c r="H60" s="69"/>
    </row>
    <row r="61" spans="1:8" ht="45" x14ac:dyDescent="0.25">
      <c r="A61" s="93" t="s">
        <v>51</v>
      </c>
      <c r="B61" s="122">
        <f>(B27*B41)</f>
        <v>1.6666666666666666E-4</v>
      </c>
      <c r="C61" s="112">
        <f>+C$22*B61</f>
        <v>0.3916042956123737</v>
      </c>
      <c r="D61" s="70"/>
      <c r="E61" s="69"/>
      <c r="F61" s="69"/>
      <c r="G61" s="69"/>
      <c r="H61" s="69"/>
    </row>
    <row r="62" spans="1:8" x14ac:dyDescent="0.25">
      <c r="A62" s="71" t="s">
        <v>52</v>
      </c>
      <c r="B62" s="91">
        <f>SUM(B60:B61)</f>
        <v>1.2333333333333335E-3</v>
      </c>
      <c r="C62" s="115">
        <f>SUM(C60:C61)</f>
        <v>2.8978717875315656</v>
      </c>
      <c r="D62" s="70"/>
      <c r="E62" s="69"/>
      <c r="F62" s="69"/>
      <c r="G62" s="69"/>
      <c r="H62" s="69"/>
    </row>
    <row r="63" spans="1:8" x14ac:dyDescent="0.25">
      <c r="A63" s="70"/>
      <c r="B63" s="70"/>
      <c r="C63" s="69"/>
      <c r="D63" s="70"/>
      <c r="E63" s="69"/>
      <c r="F63" s="69"/>
      <c r="G63" s="69"/>
      <c r="H63" s="69"/>
    </row>
    <row r="64" spans="1:8" x14ac:dyDescent="0.25">
      <c r="A64" s="88" t="s">
        <v>53</v>
      </c>
      <c r="B64" s="88"/>
      <c r="C64" s="90"/>
      <c r="D64" s="70"/>
      <c r="E64" s="69"/>
      <c r="F64" s="69"/>
      <c r="G64" s="69"/>
      <c r="H64" s="69"/>
    </row>
    <row r="65" spans="1:8" ht="45" x14ac:dyDescent="0.25">
      <c r="A65" s="86" t="s">
        <v>54</v>
      </c>
      <c r="B65" s="87">
        <f>(B34)*(13/12)*(4/12)*0.02</f>
        <v>2.6743888888888889E-3</v>
      </c>
      <c r="C65" s="243">
        <f>+C$22*B65</f>
        <v>6.2838130621613528</v>
      </c>
      <c r="D65" s="70"/>
      <c r="E65" s="69"/>
      <c r="F65" s="69"/>
      <c r="G65" s="69"/>
      <c r="H65" s="69"/>
    </row>
    <row r="66" spans="1:8" ht="15.75" thickBot="1" x14ac:dyDescent="0.3">
      <c r="A66" s="82" t="s">
        <v>55</v>
      </c>
      <c r="B66" s="94">
        <f>B65</f>
        <v>2.6743888888888889E-3</v>
      </c>
      <c r="C66" s="117">
        <f>C65</f>
        <v>6.2838130621613528</v>
      </c>
      <c r="D66" s="70"/>
      <c r="E66" s="69"/>
      <c r="F66" s="69"/>
      <c r="G66" s="69"/>
      <c r="H66" s="69"/>
    </row>
    <row r="67" spans="1:8" ht="15.75" thickBot="1" x14ac:dyDescent="0.3">
      <c r="A67" s="70"/>
      <c r="B67" s="69"/>
      <c r="C67" s="95"/>
      <c r="D67" s="70"/>
      <c r="E67" s="69"/>
      <c r="F67" s="69"/>
      <c r="G67" s="69"/>
      <c r="H67" s="69"/>
    </row>
    <row r="68" spans="1:8" ht="15.75" thickBot="1" x14ac:dyDescent="0.3">
      <c r="A68" s="323" t="s">
        <v>56</v>
      </c>
      <c r="B68" s="97">
        <f>B66+B62+B57+B53+B46+B34</f>
        <v>0.7530985803200223</v>
      </c>
      <c r="C68" s="83">
        <f>C66+C62+C57+C53+C46+C34</f>
        <v>1769.4998344374058</v>
      </c>
      <c r="D68" s="70"/>
      <c r="E68" s="69"/>
      <c r="F68" s="69"/>
      <c r="G68" s="69"/>
      <c r="H68" s="69"/>
    </row>
    <row r="69" spans="1:8" ht="15.75" thickBot="1" x14ac:dyDescent="0.3">
      <c r="A69" s="70"/>
      <c r="B69" s="70"/>
      <c r="C69" s="98"/>
      <c r="D69" s="70"/>
      <c r="E69" s="69"/>
      <c r="F69" s="69"/>
      <c r="G69" s="69"/>
      <c r="H69" s="69"/>
    </row>
    <row r="70" spans="1:8" ht="15" customHeight="1" thickBot="1" x14ac:dyDescent="0.3">
      <c r="A70" s="541" t="s">
        <v>57</v>
      </c>
      <c r="B70" s="541"/>
      <c r="C70" s="83">
        <f>C68+C22</f>
        <v>4119.125608111648</v>
      </c>
      <c r="D70" s="70"/>
      <c r="E70" s="69"/>
      <c r="F70" s="69"/>
      <c r="G70" s="69"/>
      <c r="H70" s="69"/>
    </row>
    <row r="71" spans="1:8" ht="15.75" thickBot="1" x14ac:dyDescent="0.3">
      <c r="A71" s="70"/>
      <c r="B71" s="70"/>
      <c r="C71" s="95"/>
      <c r="D71" s="70"/>
      <c r="E71" s="69"/>
      <c r="F71" s="69"/>
      <c r="G71" s="69"/>
      <c r="H71" s="69"/>
    </row>
    <row r="72" spans="1:8" ht="15.75" customHeight="1" x14ac:dyDescent="0.25">
      <c r="A72" s="99" t="s">
        <v>58</v>
      </c>
      <c r="B72" s="99"/>
      <c r="C72" s="90"/>
      <c r="D72" s="70"/>
      <c r="E72" s="69"/>
      <c r="F72" s="69"/>
      <c r="G72" s="69"/>
      <c r="H72" s="69"/>
    </row>
    <row r="73" spans="1:8" x14ac:dyDescent="0.25">
      <c r="A73" s="79" t="s">
        <v>59</v>
      </c>
      <c r="B73" s="69"/>
      <c r="C73" s="190">
        <f>Uniforme!F28</f>
        <v>107.61381033333335</v>
      </c>
      <c r="D73" s="70"/>
      <c r="E73" s="69"/>
      <c r="F73" s="69"/>
      <c r="G73" s="69"/>
      <c r="H73" s="69"/>
    </row>
    <row r="74" spans="1:8" x14ac:dyDescent="0.25">
      <c r="A74" s="84" t="s">
        <v>60</v>
      </c>
      <c r="B74" s="230">
        <v>15.2188</v>
      </c>
      <c r="C74" s="112">
        <f>base!E6</f>
        <v>304.81692800000002</v>
      </c>
      <c r="D74" s="70"/>
      <c r="E74" s="69"/>
      <c r="F74" s="69"/>
      <c r="G74" s="69"/>
      <c r="H74" s="69"/>
    </row>
    <row r="75" spans="1:8" x14ac:dyDescent="0.25">
      <c r="A75" s="79" t="s">
        <v>61</v>
      </c>
      <c r="B75" s="69"/>
      <c r="C75" s="111">
        <v>0</v>
      </c>
      <c r="D75" s="69" t="s">
        <v>309</v>
      </c>
      <c r="E75" s="69"/>
      <c r="F75" s="69"/>
      <c r="G75" s="69"/>
      <c r="H75" s="69"/>
    </row>
    <row r="76" spans="1:8" x14ac:dyDescent="0.25">
      <c r="A76" s="79" t="s">
        <v>62</v>
      </c>
      <c r="B76" s="69"/>
      <c r="C76" s="190">
        <f>'depreciação de equipamento'!E11</f>
        <v>2.4716007500000003</v>
      </c>
      <c r="D76" s="70"/>
      <c r="E76" s="69"/>
      <c r="F76" s="69"/>
      <c r="G76" s="69"/>
      <c r="H76" s="69"/>
    </row>
    <row r="77" spans="1:8" x14ac:dyDescent="0.25">
      <c r="A77" s="84" t="s">
        <v>63</v>
      </c>
      <c r="B77" s="84"/>
      <c r="C77" s="77"/>
      <c r="D77" s="70"/>
      <c r="E77" s="69"/>
      <c r="F77" s="69"/>
      <c r="G77" s="69"/>
      <c r="H77" s="69"/>
    </row>
    <row r="78" spans="1:8" x14ac:dyDescent="0.25">
      <c r="A78" s="79" t="s">
        <v>64</v>
      </c>
      <c r="B78" s="69"/>
      <c r="C78" s="190">
        <v>0</v>
      </c>
      <c r="D78" s="70"/>
      <c r="E78" s="69"/>
      <c r="F78" s="69"/>
      <c r="G78" s="69"/>
      <c r="H78" s="69"/>
    </row>
    <row r="79" spans="1:8" ht="15" customHeight="1" thickBot="1" x14ac:dyDescent="0.3">
      <c r="A79" s="79" t="s">
        <v>217</v>
      </c>
      <c r="B79" s="69"/>
      <c r="C79" s="233">
        <f>base!F22</f>
        <v>151.38999999999999</v>
      </c>
      <c r="D79" s="70"/>
      <c r="E79" s="69"/>
      <c r="F79" s="69"/>
      <c r="G79" s="69"/>
      <c r="H79" s="69"/>
    </row>
    <row r="80" spans="1:8" ht="15.75" thickBot="1" x14ac:dyDescent="0.3">
      <c r="A80" s="100" t="s">
        <v>65</v>
      </c>
      <c r="B80" s="101"/>
      <c r="C80" s="208">
        <f>SUM(C73:C79)</f>
        <v>566.29233908333333</v>
      </c>
      <c r="D80" s="70"/>
      <c r="E80" s="69"/>
      <c r="F80" s="69"/>
      <c r="G80" s="69"/>
      <c r="H80" s="69"/>
    </row>
    <row r="81" spans="1:8" ht="15.75" thickBot="1" x14ac:dyDescent="0.3">
      <c r="A81" s="79"/>
      <c r="B81" s="69"/>
      <c r="C81" s="81"/>
      <c r="D81" s="70"/>
      <c r="E81" s="69"/>
      <c r="F81" s="69"/>
      <c r="G81" s="69"/>
      <c r="H81" s="69"/>
    </row>
    <row r="82" spans="1:8" ht="15.75" thickBot="1" x14ac:dyDescent="0.3">
      <c r="A82" s="100" t="s">
        <v>66</v>
      </c>
      <c r="B82" s="128">
        <v>0</v>
      </c>
      <c r="C82" s="124">
        <f>B82*30.42</f>
        <v>0</v>
      </c>
      <c r="D82" s="70"/>
      <c r="E82" s="69"/>
      <c r="F82" s="69"/>
      <c r="G82" s="69"/>
      <c r="H82" s="69"/>
    </row>
    <row r="83" spans="1:8" ht="15" customHeight="1" thickBot="1" x14ac:dyDescent="0.3">
      <c r="A83" s="79"/>
      <c r="B83" s="69"/>
      <c r="C83" s="81"/>
      <c r="D83" s="70"/>
      <c r="E83" s="69"/>
      <c r="F83" s="69"/>
      <c r="G83" s="69"/>
      <c r="H83" s="69"/>
    </row>
    <row r="84" spans="1:8" ht="15.75" thickBot="1" x14ac:dyDescent="0.3">
      <c r="A84" s="541" t="s">
        <v>67</v>
      </c>
      <c r="B84" s="541"/>
      <c r="C84" s="118">
        <f>C80+C68+C22+C82</f>
        <v>4685.417947194981</v>
      </c>
      <c r="D84" s="70"/>
      <c r="E84" s="69"/>
      <c r="F84" s="69"/>
      <c r="G84" s="69"/>
      <c r="H84" s="69"/>
    </row>
    <row r="85" spans="1:8" ht="15.75" customHeight="1" thickBot="1" x14ac:dyDescent="0.3">
      <c r="A85" s="70"/>
      <c r="B85" s="70"/>
      <c r="C85" s="95"/>
      <c r="D85" s="70"/>
      <c r="E85" s="69"/>
      <c r="F85" s="69"/>
      <c r="G85" s="69"/>
      <c r="H85" s="69"/>
    </row>
    <row r="86" spans="1:8" ht="15.75" customHeight="1" x14ac:dyDescent="0.25">
      <c r="A86" s="99" t="s">
        <v>68</v>
      </c>
      <c r="B86" s="105"/>
      <c r="C86" s="90"/>
      <c r="D86" s="70"/>
      <c r="E86" s="69"/>
      <c r="F86" s="69"/>
      <c r="G86" s="69"/>
      <c r="H86" s="69"/>
    </row>
    <row r="87" spans="1:8" x14ac:dyDescent="0.25">
      <c r="A87" s="86" t="s">
        <v>69</v>
      </c>
      <c r="B87" s="69"/>
      <c r="C87" s="87">
        <f>base!$E$13</f>
        <v>7.0000000000000007E-2</v>
      </c>
      <c r="D87" s="70"/>
      <c r="E87" s="69"/>
      <c r="F87" s="69"/>
      <c r="G87" s="69"/>
      <c r="H87" s="69"/>
    </row>
    <row r="88" spans="1:8" x14ac:dyDescent="0.25">
      <c r="A88" s="84" t="s">
        <v>70</v>
      </c>
      <c r="B88" s="78"/>
      <c r="C88" s="237">
        <f>base!$E$14</f>
        <v>6.9295020999999998E-2</v>
      </c>
      <c r="D88" s="70"/>
      <c r="E88" s="69"/>
      <c r="F88" s="69"/>
      <c r="G88" s="69"/>
      <c r="H88" s="69"/>
    </row>
    <row r="89" spans="1:8" x14ac:dyDescent="0.25">
      <c r="A89" s="86" t="s">
        <v>71</v>
      </c>
      <c r="B89" s="70"/>
      <c r="C89" s="106">
        <f>+iss!D16</f>
        <v>0.03</v>
      </c>
      <c r="D89" s="70"/>
      <c r="E89" s="69"/>
      <c r="F89" s="69"/>
      <c r="G89" s="69"/>
      <c r="H89" s="69"/>
    </row>
    <row r="90" spans="1:8" x14ac:dyDescent="0.25">
      <c r="A90" s="84" t="s">
        <v>72</v>
      </c>
      <c r="B90" s="107"/>
      <c r="C90" s="108">
        <v>0.03</v>
      </c>
      <c r="D90" s="70"/>
      <c r="E90" s="69"/>
      <c r="F90" s="69"/>
      <c r="G90" s="69"/>
      <c r="H90" s="69"/>
    </row>
    <row r="91" spans="1:8" ht="15.75" thickBot="1" x14ac:dyDescent="0.3">
      <c r="A91" s="86" t="s">
        <v>73</v>
      </c>
      <c r="B91" s="70"/>
      <c r="C91" s="106">
        <v>6.4999999999999997E-3</v>
      </c>
      <c r="D91" s="70"/>
      <c r="E91" s="69"/>
      <c r="F91" s="69"/>
      <c r="G91" s="69"/>
      <c r="H91" s="69"/>
    </row>
    <row r="92" spans="1:8" ht="15.75" thickBot="1" x14ac:dyDescent="0.3">
      <c r="A92" s="323" t="s">
        <v>74</v>
      </c>
      <c r="B92" s="104"/>
      <c r="C92" s="97">
        <f>SUM(C87:C91)</f>
        <v>0.20579502100000002</v>
      </c>
      <c r="D92" s="70"/>
      <c r="E92" s="69"/>
      <c r="F92" s="69"/>
      <c r="G92" s="69"/>
      <c r="H92" s="69"/>
    </row>
    <row r="93" spans="1:8" ht="15.75" thickBot="1" x14ac:dyDescent="0.3">
      <c r="A93" s="244"/>
      <c r="B93" s="239">
        <f>+C92*100</f>
        <v>20.579502100000003</v>
      </c>
      <c r="C93" s="240">
        <f>100-B93</f>
        <v>79.420497900000001</v>
      </c>
      <c r="D93" s="70"/>
      <c r="E93" s="69"/>
      <c r="F93" s="69"/>
      <c r="G93" s="69"/>
      <c r="H93" s="69"/>
    </row>
    <row r="94" spans="1:8" ht="15.75" thickBot="1" x14ac:dyDescent="0.3">
      <c r="A94" s="323" t="s">
        <v>75</v>
      </c>
      <c r="B94" s="82"/>
      <c r="C94" s="234">
        <f>SUM(C84*B93/C93)</f>
        <v>1214.0891965331889</v>
      </c>
      <c r="D94" s="70"/>
      <c r="E94" s="69"/>
      <c r="F94" s="69"/>
      <c r="G94" s="69"/>
      <c r="H94" s="69"/>
    </row>
    <row r="95" spans="1:8" ht="15.75" thickBot="1" x14ac:dyDescent="0.3">
      <c r="A95" s="539"/>
      <c r="B95" s="539"/>
      <c r="C95" s="95"/>
      <c r="D95" s="70"/>
      <c r="E95" s="69"/>
      <c r="F95" s="69"/>
      <c r="G95" s="69"/>
      <c r="H95" s="69"/>
    </row>
    <row r="96" spans="1:8" ht="15.75" thickBot="1" x14ac:dyDescent="0.3">
      <c r="A96" s="82" t="s">
        <v>76</v>
      </c>
      <c r="B96" s="82"/>
      <c r="C96" s="83">
        <f>C84+C94</f>
        <v>5899.5071437281695</v>
      </c>
      <c r="D96" s="70"/>
      <c r="E96" s="69"/>
      <c r="F96" s="69"/>
      <c r="G96" s="69"/>
      <c r="H96" s="69"/>
    </row>
    <row r="97" spans="1:8" ht="15.75" thickBot="1" x14ac:dyDescent="0.3">
      <c r="A97" s="109"/>
      <c r="B97" s="109"/>
      <c r="C97" s="110"/>
      <c r="D97" s="70"/>
      <c r="E97" s="69"/>
      <c r="F97" s="69"/>
      <c r="G97" s="69"/>
      <c r="H97" s="69"/>
    </row>
    <row r="98" spans="1:8" ht="15.75" thickBot="1" x14ac:dyDescent="0.3">
      <c r="A98" s="82" t="s">
        <v>121</v>
      </c>
      <c r="B98" s="82"/>
      <c r="C98" s="83">
        <f>ROUND(C96*2,2)</f>
        <v>11799.01</v>
      </c>
      <c r="D98" s="69"/>
      <c r="E98" s="69"/>
      <c r="F98" s="69"/>
      <c r="G98" s="69"/>
      <c r="H98" s="69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4:B84"/>
    <mergeCell ref="A95:B95"/>
    <mergeCell ref="A11:C11"/>
    <mergeCell ref="A12:B12"/>
    <mergeCell ref="A14:C14"/>
    <mergeCell ref="A15:B15"/>
    <mergeCell ref="A24:C24"/>
    <mergeCell ref="A70:B70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topLeftCell="A67" workbookViewId="0">
      <selection activeCell="C76" sqref="C76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85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122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7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73">
        <f>base!E2</f>
        <v>1561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69"/>
      <c r="F14" s="69"/>
      <c r="G14" s="69"/>
      <c r="H14" s="69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69"/>
      <c r="G16" s="69"/>
      <c r="H16" s="69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325" t="s">
        <v>116</v>
      </c>
      <c r="E17" s="69"/>
      <c r="F17" s="69"/>
      <c r="G17" s="69"/>
      <c r="H17" s="69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69"/>
      <c r="G18" s="69"/>
      <c r="H18" s="69"/>
    </row>
    <row r="19" spans="1:8" x14ac:dyDescent="0.25">
      <c r="A19" s="57" t="s">
        <v>14</v>
      </c>
      <c r="B19" s="58"/>
      <c r="C19" s="126">
        <v>0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69"/>
      <c r="G20" s="69"/>
      <c r="H20" s="69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69"/>
      <c r="G62" s="69"/>
      <c r="H62" s="69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customHeight="1" thickBot="1" x14ac:dyDescent="0.3">
      <c r="A69" s="323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232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v>0</v>
      </c>
      <c r="D76" s="69" t="s">
        <v>309</v>
      </c>
      <c r="E76" s="69"/>
      <c r="F76" s="69"/>
      <c r="G76" s="69"/>
      <c r="H76" s="69"/>
    </row>
    <row r="77" spans="1:8" x14ac:dyDescent="0.25">
      <c r="A77" s="79" t="s">
        <v>62</v>
      </c>
      <c r="B77" s="69"/>
      <c r="C77" s="232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112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232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123"/>
      <c r="F81" s="69"/>
      <c r="G81" s="69"/>
      <c r="H81" s="69"/>
    </row>
    <row r="82" spans="1:8" ht="15.75" thickBot="1" x14ac:dyDescent="0.3">
      <c r="A82" s="69"/>
      <c r="B82" s="102"/>
      <c r="C82" s="103"/>
      <c r="D82" s="70"/>
      <c r="E82" s="69"/>
      <c r="F82" s="69"/>
      <c r="G82" s="69"/>
      <c r="H82" s="69"/>
    </row>
    <row r="83" spans="1:8" ht="15.7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/>
      <c r="F83" s="69"/>
      <c r="G83" s="69"/>
      <c r="H83" s="69"/>
    </row>
    <row r="84" spans="1:8" ht="15.75" thickBot="1" x14ac:dyDescent="0.3">
      <c r="A84" s="69"/>
      <c r="B84" s="102"/>
      <c r="C84" s="103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f>base!$E$14</f>
        <v>6.9295020999999998E-2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f>+iss!D16</f>
        <v>0.03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23" t="s">
        <v>74</v>
      </c>
      <c r="B93" s="97"/>
      <c r="C93" s="97">
        <f>SUM(C88:C92)</f>
        <v>0.20579502100000002</v>
      </c>
      <c r="D93" s="70"/>
      <c r="E93" s="69"/>
      <c r="F93" s="69"/>
      <c r="G93" s="69"/>
      <c r="H93" s="69"/>
    </row>
    <row r="94" spans="1:8" ht="15.75" thickBot="1" x14ac:dyDescent="0.3">
      <c r="A94" s="238"/>
      <c r="B94" s="239">
        <f>+C93*100</f>
        <v>20.579502100000003</v>
      </c>
      <c r="C94" s="240">
        <f>100-B94</f>
        <v>79.420497900000001</v>
      </c>
      <c r="D94" s="70"/>
      <c r="E94" s="69"/>
      <c r="F94" s="69"/>
      <c r="G94" s="69"/>
      <c r="H94" s="69"/>
    </row>
    <row r="95" spans="1:8" ht="15.75" thickBot="1" x14ac:dyDescent="0.3">
      <c r="A95" s="82" t="s">
        <v>75</v>
      </c>
      <c r="B95" s="82"/>
      <c r="C95" s="234">
        <f>SUM(C85*B94/C94)</f>
        <v>1376.9036061874392</v>
      </c>
      <c r="D95" s="70"/>
      <c r="E95" s="69"/>
      <c r="F95" s="69"/>
      <c r="G95" s="50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241" t="s">
        <v>76</v>
      </c>
      <c r="B97" s="323"/>
      <c r="C97" s="242">
        <f>C85+C95</f>
        <v>6690.6555829037243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70"/>
      <c r="E98" s="69"/>
      <c r="F98" s="69"/>
      <c r="G98" s="69"/>
      <c r="H98" s="69"/>
    </row>
    <row r="99" spans="1:8" ht="16.5" thickBot="1" x14ac:dyDescent="0.3">
      <c r="A99" s="241" t="s">
        <v>121</v>
      </c>
      <c r="B99" s="323"/>
      <c r="C99" s="242">
        <f>ROUND(C97*2,2)</f>
        <v>13381.31</v>
      </c>
      <c r="D99" s="70"/>
      <c r="E99" s="324"/>
      <c r="F99" s="324"/>
      <c r="G99" s="324"/>
      <c r="H99" s="324"/>
    </row>
    <row r="100" spans="1:8" ht="15.75" x14ac:dyDescent="0.25">
      <c r="A100" s="69"/>
      <c r="B100" s="69"/>
      <c r="C100" s="69"/>
      <c r="D100" s="324"/>
      <c r="E100" s="324"/>
      <c r="F100" s="324"/>
      <c r="G100" s="324"/>
      <c r="H100" s="324"/>
    </row>
  </sheetData>
  <mergeCells count="16">
    <mergeCell ref="A8:A9"/>
    <mergeCell ref="B8:B9"/>
    <mergeCell ref="C8:C9"/>
    <mergeCell ref="A2:C2"/>
    <mergeCell ref="A3:C3"/>
    <mergeCell ref="A4:C4"/>
    <mergeCell ref="A5:C5"/>
    <mergeCell ref="A6:C6"/>
    <mergeCell ref="A85:B85"/>
    <mergeCell ref="A96:B96"/>
    <mergeCell ref="A11:C11"/>
    <mergeCell ref="A12:B12"/>
    <mergeCell ref="A14:C14"/>
    <mergeCell ref="A15:B15"/>
    <mergeCell ref="A25:C25"/>
    <mergeCell ref="A71:B71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100"/>
  <sheetViews>
    <sheetView workbookViewId="0">
      <selection activeCell="C91" sqref="C91"/>
    </sheetView>
  </sheetViews>
  <sheetFormatPr defaultRowHeight="15" x14ac:dyDescent="0.25"/>
  <cols>
    <col min="1" max="1" width="50.140625" style="68" customWidth="1"/>
    <col min="2" max="2" width="18.85546875" style="68" customWidth="1"/>
    <col min="3" max="3" width="20.28515625" style="68" customWidth="1"/>
    <col min="4" max="5" width="12" style="68" customWidth="1"/>
    <col min="6" max="6" width="16.140625" style="68" customWidth="1"/>
    <col min="7" max="7" width="15.42578125" style="68" customWidth="1"/>
    <col min="8" max="8" width="14.5703125" style="68" customWidth="1"/>
    <col min="9" max="16384" width="9.140625" style="68"/>
  </cols>
  <sheetData>
    <row r="1" spans="1:8" ht="15.75" thickBot="1" x14ac:dyDescent="0.3">
      <c r="A1" s="132" t="s">
        <v>78</v>
      </c>
      <c r="D1" s="69"/>
      <c r="E1" s="69"/>
      <c r="F1" s="69"/>
      <c r="G1" s="69"/>
      <c r="H1" s="69"/>
    </row>
    <row r="2" spans="1:8" ht="15.75" thickBot="1" x14ac:dyDescent="0.3">
      <c r="A2" s="550" t="s">
        <v>80</v>
      </c>
      <c r="B2" s="551"/>
      <c r="C2" s="552"/>
      <c r="D2" s="70"/>
      <c r="E2" s="69"/>
      <c r="F2" s="69"/>
      <c r="G2" s="69"/>
      <c r="H2" s="69"/>
    </row>
    <row r="3" spans="1:8" ht="15.75" x14ac:dyDescent="0.25">
      <c r="A3" s="548" t="s">
        <v>1</v>
      </c>
      <c r="B3" s="548"/>
      <c r="C3" s="548"/>
      <c r="D3" s="70"/>
      <c r="E3" s="69"/>
      <c r="F3" s="69"/>
      <c r="G3" s="69"/>
      <c r="H3" s="69"/>
    </row>
    <row r="4" spans="1:8" ht="15.75" x14ac:dyDescent="0.25">
      <c r="A4" s="548" t="s">
        <v>123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70"/>
      <c r="E5" s="69"/>
      <c r="F5" s="69"/>
      <c r="G5" s="69"/>
      <c r="H5" s="69"/>
    </row>
    <row r="6" spans="1:8" x14ac:dyDescent="0.25">
      <c r="A6" s="383" t="s">
        <v>4</v>
      </c>
      <c r="B6" s="383"/>
      <c r="C6" s="383"/>
      <c r="D6" s="70"/>
      <c r="E6" s="69"/>
      <c r="F6" s="69"/>
      <c r="G6" s="69"/>
      <c r="H6" s="69"/>
    </row>
    <row r="7" spans="1:8" x14ac:dyDescent="0.25">
      <c r="A7" s="71" t="s">
        <v>5</v>
      </c>
      <c r="B7" s="72" t="s">
        <v>6</v>
      </c>
      <c r="C7" s="70"/>
      <c r="D7" s="70"/>
      <c r="E7" s="69"/>
      <c r="F7" s="69"/>
      <c r="G7" s="69"/>
      <c r="H7" s="69"/>
    </row>
    <row r="8" spans="1:8" x14ac:dyDescent="0.25">
      <c r="A8" s="543" t="s">
        <v>102</v>
      </c>
      <c r="B8" s="545" t="s">
        <v>8</v>
      </c>
      <c r="C8" s="545"/>
      <c r="D8" s="70"/>
      <c r="E8" s="69"/>
      <c r="F8" s="69"/>
      <c r="G8" s="69"/>
      <c r="H8" s="69"/>
    </row>
    <row r="9" spans="1:8" ht="15.75" thickBot="1" x14ac:dyDescent="0.3">
      <c r="A9" s="544"/>
      <c r="B9" s="546"/>
      <c r="C9" s="546"/>
      <c r="D9" s="70"/>
      <c r="E9" s="69"/>
      <c r="F9" s="69"/>
      <c r="G9" s="69"/>
      <c r="H9" s="69"/>
    </row>
    <row r="10" spans="1:8" ht="15.75" thickBot="1" x14ac:dyDescent="0.3">
      <c r="A10" s="70"/>
      <c r="B10" s="69"/>
      <c r="C10" s="69"/>
      <c r="D10" s="70"/>
      <c r="E10" s="69"/>
      <c r="F10" s="69"/>
      <c r="G10" s="69"/>
      <c r="H10" s="69"/>
    </row>
    <row r="11" spans="1:8" x14ac:dyDescent="0.25">
      <c r="A11" s="547" t="s">
        <v>9</v>
      </c>
      <c r="B11" s="547"/>
      <c r="C11" s="547"/>
      <c r="D11" s="70"/>
      <c r="E11" s="69"/>
      <c r="F11" s="69"/>
      <c r="G11" s="69"/>
      <c r="H11" s="69"/>
    </row>
    <row r="12" spans="1:8" ht="15.75" thickBot="1" x14ac:dyDescent="0.3">
      <c r="A12" s="382" t="s">
        <v>10</v>
      </c>
      <c r="B12" s="382"/>
      <c r="C12" s="119">
        <f>base!E3</f>
        <v>631.5</v>
      </c>
      <c r="D12" s="70"/>
      <c r="E12" s="69"/>
      <c r="F12" s="69"/>
      <c r="G12" s="69"/>
      <c r="H12" s="69"/>
    </row>
    <row r="13" spans="1:8" ht="15.75" thickBot="1" x14ac:dyDescent="0.3">
      <c r="A13" s="70"/>
      <c r="B13" s="70"/>
      <c r="C13" s="69"/>
      <c r="D13" s="70"/>
      <c r="E13" s="69"/>
      <c r="F13" s="69"/>
      <c r="G13" s="69"/>
      <c r="H13" s="69"/>
    </row>
    <row r="14" spans="1:8" x14ac:dyDescent="0.25">
      <c r="A14" s="547" t="s">
        <v>11</v>
      </c>
      <c r="B14" s="547"/>
      <c r="C14" s="547"/>
      <c r="D14" s="70"/>
      <c r="E14" s="123"/>
      <c r="F14" s="69"/>
      <c r="G14" s="69"/>
      <c r="H14" s="69"/>
    </row>
    <row r="15" spans="1:8" x14ac:dyDescent="0.25">
      <c r="A15" s="549" t="s">
        <v>12</v>
      </c>
      <c r="B15" s="549"/>
      <c r="C15" s="246">
        <f>C12</f>
        <v>631.5</v>
      </c>
      <c r="D15" s="129"/>
      <c r="E15" s="69"/>
      <c r="F15" s="69"/>
      <c r="G15" s="69"/>
      <c r="H15" s="69"/>
    </row>
    <row r="16" spans="1:8" x14ac:dyDescent="0.25">
      <c r="A16" s="75" t="s">
        <v>13</v>
      </c>
      <c r="B16" s="76">
        <v>0.3</v>
      </c>
      <c r="C16" s="249">
        <f>C15*B16</f>
        <v>189.45</v>
      </c>
      <c r="D16" s="70"/>
      <c r="E16" s="69"/>
      <c r="F16" s="69"/>
      <c r="G16" s="69"/>
      <c r="H16" s="69"/>
    </row>
    <row r="17" spans="1:8" x14ac:dyDescent="0.25">
      <c r="A17" s="79" t="s">
        <v>113</v>
      </c>
      <c r="B17" s="80"/>
      <c r="C17" s="247">
        <f>(((C15+C16)/89)*38)*1.5</f>
        <v>525.77696629213483</v>
      </c>
      <c r="D17" s="70"/>
      <c r="E17" s="69"/>
      <c r="F17" s="69"/>
      <c r="G17" s="69"/>
      <c r="H17" s="69"/>
    </row>
    <row r="18" spans="1:8" x14ac:dyDescent="0.25">
      <c r="A18" s="79" t="s">
        <v>114</v>
      </c>
      <c r="B18" s="80"/>
      <c r="C18" s="248">
        <f>base!E9</f>
        <v>87.63</v>
      </c>
      <c r="D18" s="70"/>
      <c r="E18" s="69"/>
      <c r="F18" s="69"/>
      <c r="G18" s="69"/>
      <c r="H18" s="69"/>
    </row>
    <row r="19" spans="1:8" x14ac:dyDescent="0.25">
      <c r="A19" s="79" t="s">
        <v>115</v>
      </c>
      <c r="B19" s="80"/>
      <c r="C19" s="248">
        <f>base!E10</f>
        <v>16.850000000000001</v>
      </c>
      <c r="D19" s="70"/>
      <c r="E19" s="69"/>
      <c r="F19" s="69"/>
      <c r="G19" s="69"/>
      <c r="H19" s="69"/>
    </row>
    <row r="20" spans="1:8" x14ac:dyDescent="0.25">
      <c r="A20" s="75" t="s">
        <v>16</v>
      </c>
      <c r="B20" s="78"/>
      <c r="C20" s="250">
        <v>0</v>
      </c>
      <c r="D20" s="70"/>
      <c r="E20" s="69"/>
      <c r="F20" s="69"/>
      <c r="G20" s="69"/>
      <c r="H20" s="69"/>
    </row>
    <row r="21" spans="1:8" x14ac:dyDescent="0.25">
      <c r="A21" s="75" t="s">
        <v>228</v>
      </c>
      <c r="B21" s="78"/>
      <c r="C21" s="251">
        <f>base!E11</f>
        <v>101.11</v>
      </c>
      <c r="D21" s="70"/>
      <c r="E21" s="69"/>
      <c r="F21" s="69"/>
      <c r="G21" s="69"/>
      <c r="H21" s="69"/>
    </row>
    <row r="22" spans="1:8" x14ac:dyDescent="0.25">
      <c r="A22" s="79"/>
      <c r="B22" s="80"/>
      <c r="C22" s="81"/>
      <c r="D22" s="70"/>
      <c r="E22" s="69"/>
      <c r="F22" s="69"/>
      <c r="G22" s="69"/>
      <c r="H22" s="69"/>
    </row>
    <row r="23" spans="1:8" ht="15.75" thickBot="1" x14ac:dyDescent="0.3">
      <c r="A23" s="82" t="s">
        <v>18</v>
      </c>
      <c r="B23" s="82"/>
      <c r="C23" s="83">
        <f>SUM(C15:C21)</f>
        <v>1552.3169662921348</v>
      </c>
      <c r="D23" s="70"/>
      <c r="E23" s="69"/>
      <c r="F23" s="69"/>
      <c r="G23" s="69"/>
      <c r="H23" s="69"/>
    </row>
    <row r="24" spans="1:8" ht="15.75" thickBot="1" x14ac:dyDescent="0.3">
      <c r="A24" s="70"/>
      <c r="B24" s="70"/>
      <c r="C24" s="69"/>
      <c r="D24" s="70"/>
      <c r="E24" s="69"/>
      <c r="F24" s="69"/>
      <c r="G24" s="69"/>
      <c r="H24" s="69"/>
    </row>
    <row r="25" spans="1:8" x14ac:dyDescent="0.25">
      <c r="A25" s="547" t="s">
        <v>19</v>
      </c>
      <c r="B25" s="547"/>
      <c r="C25" s="547"/>
      <c r="D25" s="70"/>
      <c r="E25" s="69"/>
      <c r="F25" s="69"/>
      <c r="G25" s="69"/>
      <c r="H25" s="69"/>
    </row>
    <row r="26" spans="1:8" x14ac:dyDescent="0.25">
      <c r="A26" s="71" t="s">
        <v>20</v>
      </c>
      <c r="B26" s="70"/>
      <c r="C26" s="111"/>
      <c r="D26" s="70"/>
      <c r="E26" s="69"/>
      <c r="F26" s="69"/>
      <c r="G26" s="69"/>
      <c r="H26" s="69"/>
    </row>
    <row r="27" spans="1: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70"/>
      <c r="E27" s="69"/>
      <c r="F27" s="69"/>
      <c r="G27" s="69"/>
      <c r="H27" s="69"/>
    </row>
    <row r="28" spans="1:8" x14ac:dyDescent="0.25">
      <c r="A28" s="86" t="s">
        <v>22</v>
      </c>
      <c r="B28" s="87">
        <v>0.08</v>
      </c>
      <c r="C28" s="113">
        <f t="shared" si="0"/>
        <v>124.18535730337079</v>
      </c>
      <c r="D28" s="70"/>
      <c r="E28" s="69"/>
      <c r="F28" s="69"/>
      <c r="G28" s="69"/>
      <c r="H28" s="69"/>
    </row>
    <row r="29" spans="1: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70"/>
      <c r="E29" s="69"/>
      <c r="F29" s="69"/>
      <c r="G29" s="69"/>
      <c r="H29" s="69"/>
    </row>
    <row r="30" spans="1:8" x14ac:dyDescent="0.25">
      <c r="A30" s="86" t="s">
        <v>24</v>
      </c>
      <c r="B30" s="87">
        <v>0.01</v>
      </c>
      <c r="C30" s="113">
        <f t="shared" si="0"/>
        <v>15.523169662921349</v>
      </c>
      <c r="D30" s="70"/>
      <c r="E30" s="69"/>
      <c r="F30" s="69"/>
      <c r="G30" s="69"/>
      <c r="H30" s="69"/>
    </row>
    <row r="31" spans="1:8" x14ac:dyDescent="0.25">
      <c r="A31" s="84" t="s">
        <v>25</v>
      </c>
      <c r="B31" s="85">
        <v>2E-3</v>
      </c>
      <c r="C31" s="112">
        <f t="shared" si="0"/>
        <v>3.1046339325842696</v>
      </c>
      <c r="D31" s="70"/>
      <c r="E31" s="69"/>
      <c r="F31" s="69"/>
      <c r="G31" s="69"/>
      <c r="H31" s="69"/>
    </row>
    <row r="32" spans="1: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70"/>
      <c r="E32" s="69"/>
      <c r="F32" s="69"/>
      <c r="G32" s="69"/>
      <c r="H32" s="69"/>
    </row>
    <row r="33" spans="1: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70"/>
      <c r="E33" s="69"/>
      <c r="F33" s="69"/>
      <c r="G33" s="69"/>
      <c r="H33" s="69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70"/>
      <c r="E34" s="69"/>
      <c r="F34" s="69"/>
      <c r="G34" s="69"/>
      <c r="H34" s="69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70"/>
      <c r="E35" s="69"/>
      <c r="F35" s="69"/>
      <c r="G35" s="69"/>
      <c r="H35" s="69"/>
    </row>
    <row r="36" spans="1:8" x14ac:dyDescent="0.25">
      <c r="A36" s="70"/>
      <c r="B36" s="70"/>
      <c r="C36" s="69"/>
      <c r="D36" s="70"/>
      <c r="E36" s="69"/>
      <c r="F36" s="69"/>
      <c r="G36" s="69"/>
      <c r="H36" s="69"/>
    </row>
    <row r="37" spans="1:8" x14ac:dyDescent="0.25">
      <c r="A37" s="88" t="s">
        <v>30</v>
      </c>
      <c r="B37" s="88"/>
      <c r="C37" s="90"/>
      <c r="D37" s="70"/>
      <c r="E37" s="69"/>
      <c r="F37" s="69"/>
      <c r="G37" s="69"/>
      <c r="H37" s="69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70"/>
      <c r="E38" s="69"/>
      <c r="F38" s="69"/>
      <c r="G38" s="69"/>
      <c r="H38" s="69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70"/>
      <c r="E39" s="69"/>
      <c r="F39" s="69"/>
      <c r="G39" s="69"/>
      <c r="H39" s="69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70"/>
      <c r="E40" s="69"/>
      <c r="F40" s="69"/>
      <c r="G40" s="69"/>
      <c r="H40" s="69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70"/>
      <c r="E41" s="69"/>
      <c r="F41" s="69"/>
      <c r="G41" s="69"/>
      <c r="H41" s="69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70"/>
      <c r="E42" s="69"/>
      <c r="F42" s="69"/>
      <c r="G42" s="69"/>
      <c r="H42" s="69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70"/>
      <c r="E43" s="69"/>
      <c r="F43" s="69"/>
      <c r="G43" s="69"/>
      <c r="H43" s="69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70"/>
      <c r="E44" s="69"/>
      <c r="F44" s="69"/>
      <c r="G44" s="69"/>
      <c r="H44" s="69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70"/>
      <c r="E45" s="69"/>
      <c r="F45" s="69"/>
      <c r="G45" s="69"/>
      <c r="H45" s="69"/>
    </row>
    <row r="46" spans="1:8" x14ac:dyDescent="0.25">
      <c r="A46" s="70" t="s">
        <v>17</v>
      </c>
      <c r="B46" s="70"/>
      <c r="C46" s="69"/>
      <c r="D46" s="70"/>
      <c r="E46" s="69"/>
      <c r="F46" s="69"/>
      <c r="G46" s="69"/>
      <c r="H46" s="69"/>
    </row>
    <row r="47" spans="1: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70"/>
      <c r="E47" s="69"/>
      <c r="F47" s="69"/>
      <c r="G47" s="69"/>
      <c r="H47" s="69"/>
    </row>
    <row r="48" spans="1:8" x14ac:dyDescent="0.25">
      <c r="A48" s="70"/>
      <c r="B48" s="70"/>
      <c r="C48" s="69"/>
      <c r="D48" s="70"/>
      <c r="E48" s="69"/>
      <c r="F48" s="69"/>
      <c r="G48" s="69"/>
      <c r="H48" s="69"/>
    </row>
    <row r="49" spans="1:8" x14ac:dyDescent="0.25">
      <c r="A49" s="88" t="s">
        <v>40</v>
      </c>
      <c r="B49" s="88"/>
      <c r="C49" s="90"/>
      <c r="D49" s="70"/>
      <c r="E49" s="69"/>
      <c r="F49" s="69"/>
      <c r="G49" s="69"/>
      <c r="H49" s="69"/>
    </row>
    <row r="50" spans="1: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70"/>
      <c r="E50" s="69"/>
      <c r="F50" s="69"/>
      <c r="G50" s="69"/>
      <c r="H50" s="69"/>
    </row>
    <row r="51" spans="1: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70"/>
      <c r="E51" s="69"/>
      <c r="F51" s="69"/>
      <c r="G51" s="69"/>
      <c r="H51" s="69"/>
    </row>
    <row r="52" spans="1: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70"/>
      <c r="E52" s="69"/>
      <c r="F52" s="69"/>
      <c r="G52" s="69"/>
      <c r="H52" s="69"/>
    </row>
    <row r="53" spans="1: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70"/>
      <c r="E53" s="69"/>
      <c r="F53" s="69"/>
      <c r="G53" s="69"/>
      <c r="H53" s="69"/>
    </row>
    <row r="54" spans="1: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70"/>
      <c r="E54" s="69"/>
      <c r="F54" s="69"/>
      <c r="G54" s="69"/>
      <c r="H54" s="69"/>
    </row>
    <row r="55" spans="1:8" x14ac:dyDescent="0.25">
      <c r="A55" s="70"/>
      <c r="B55" s="70"/>
      <c r="C55" s="69"/>
      <c r="D55" s="70"/>
      <c r="E55" s="69"/>
      <c r="F55" s="69"/>
      <c r="G55" s="69"/>
      <c r="H55" s="69"/>
    </row>
    <row r="56" spans="1:8" x14ac:dyDescent="0.25">
      <c r="A56" s="88" t="s">
        <v>46</v>
      </c>
      <c r="B56" s="88"/>
      <c r="C56" s="90"/>
      <c r="D56" s="70"/>
      <c r="E56" s="69"/>
      <c r="F56" s="69"/>
      <c r="G56" s="69"/>
      <c r="H56" s="69"/>
    </row>
    <row r="57" spans="1: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70"/>
      <c r="E57" s="69"/>
      <c r="F57" s="69"/>
      <c r="G57" s="69"/>
      <c r="H57" s="69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70"/>
      <c r="E58" s="69"/>
      <c r="F58" s="69"/>
      <c r="G58" s="69"/>
      <c r="H58" s="69"/>
    </row>
    <row r="59" spans="1:8" x14ac:dyDescent="0.25">
      <c r="A59" s="70"/>
      <c r="B59" s="70"/>
      <c r="C59" s="69"/>
      <c r="D59" s="70"/>
      <c r="E59" s="69"/>
      <c r="F59" s="69"/>
      <c r="G59" s="69"/>
      <c r="H59" s="69"/>
    </row>
    <row r="60" spans="1:8" x14ac:dyDescent="0.25">
      <c r="A60" s="88" t="s">
        <v>49</v>
      </c>
      <c r="B60" s="88"/>
      <c r="C60" s="77"/>
      <c r="D60" s="70"/>
      <c r="E60" s="69"/>
      <c r="F60" s="69"/>
      <c r="G60" s="69"/>
      <c r="H60" s="69"/>
    </row>
    <row r="61" spans="1: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70"/>
      <c r="E61" s="69"/>
      <c r="F61" s="69"/>
      <c r="G61" s="69"/>
      <c r="H61" s="69"/>
    </row>
    <row r="62" spans="1: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70"/>
      <c r="E62" s="69"/>
      <c r="F62" s="69"/>
      <c r="G62" s="69"/>
      <c r="H62" s="69"/>
    </row>
    <row r="63" spans="1: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70"/>
      <c r="E63" s="69"/>
      <c r="F63" s="69"/>
      <c r="G63" s="69"/>
      <c r="H63" s="69"/>
    </row>
    <row r="64" spans="1:8" x14ac:dyDescent="0.25">
      <c r="A64" s="70"/>
      <c r="B64" s="70"/>
      <c r="C64" s="69"/>
      <c r="D64" s="70"/>
      <c r="E64" s="69"/>
      <c r="F64" s="69"/>
      <c r="G64" s="69"/>
      <c r="H64" s="69"/>
    </row>
    <row r="65" spans="1:8" x14ac:dyDescent="0.25">
      <c r="A65" s="88" t="s">
        <v>53</v>
      </c>
      <c r="B65" s="88"/>
      <c r="C65" s="90"/>
      <c r="D65" s="70"/>
      <c r="E65" s="69"/>
      <c r="F65" s="69"/>
      <c r="G65" s="69"/>
      <c r="H65" s="69"/>
    </row>
    <row r="66" spans="1: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70"/>
      <c r="E66" s="69"/>
      <c r="F66" s="69"/>
      <c r="G66" s="69"/>
      <c r="H66" s="69"/>
    </row>
    <row r="67" spans="1: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70"/>
      <c r="E67" s="69"/>
      <c r="F67" s="69"/>
      <c r="G67" s="69"/>
      <c r="H67" s="69"/>
    </row>
    <row r="68" spans="1:8" ht="15.75" thickBot="1" x14ac:dyDescent="0.3">
      <c r="A68" s="70"/>
      <c r="B68" s="69"/>
      <c r="C68" s="95"/>
      <c r="D68" s="70"/>
      <c r="E68" s="69"/>
      <c r="F68" s="69"/>
      <c r="G68" s="69"/>
      <c r="H68" s="69"/>
    </row>
    <row r="69" spans="1:8" ht="15.75" thickBot="1" x14ac:dyDescent="0.3">
      <c r="A69" s="318" t="s">
        <v>56</v>
      </c>
      <c r="B69" s="97">
        <f>B67+B63+B58+B54+B47+B35</f>
        <v>0.7530985803200223</v>
      </c>
      <c r="C69" s="83">
        <f>C67+C63+C58+C54+C47+C35</f>
        <v>1169.0477035212905</v>
      </c>
      <c r="D69" s="70"/>
      <c r="E69" s="69"/>
      <c r="F69" s="69"/>
      <c r="G69" s="69"/>
      <c r="H69" s="69"/>
    </row>
    <row r="70" spans="1:8" ht="15.75" thickBot="1" x14ac:dyDescent="0.3">
      <c r="A70" s="70"/>
      <c r="B70" s="70"/>
      <c r="C70" s="98"/>
      <c r="D70" s="70"/>
      <c r="E70" s="69"/>
      <c r="F70" s="69"/>
      <c r="G70" s="69"/>
      <c r="H70" s="69"/>
    </row>
    <row r="71" spans="1:8" ht="15.75" customHeight="1" thickBot="1" x14ac:dyDescent="0.3">
      <c r="A71" s="541" t="s">
        <v>57</v>
      </c>
      <c r="B71" s="541"/>
      <c r="C71" s="83">
        <f>C69+C23</f>
        <v>2721.3646698134253</v>
      </c>
      <c r="D71" s="70"/>
      <c r="E71" s="69"/>
      <c r="F71" s="69"/>
      <c r="G71" s="69"/>
      <c r="H71" s="69"/>
    </row>
    <row r="72" spans="1:8" ht="15.75" thickBot="1" x14ac:dyDescent="0.3">
      <c r="A72" s="70"/>
      <c r="B72" s="70"/>
      <c r="C72" s="95"/>
      <c r="D72" s="70"/>
      <c r="E72" s="69"/>
      <c r="F72" s="69"/>
      <c r="G72" s="69"/>
      <c r="H72" s="69"/>
    </row>
    <row r="73" spans="1:8" x14ac:dyDescent="0.25">
      <c r="A73" s="99" t="s">
        <v>58</v>
      </c>
      <c r="B73" s="99"/>
      <c r="C73" s="90"/>
      <c r="D73" s="70"/>
      <c r="E73" s="69"/>
      <c r="F73" s="69"/>
      <c r="G73" s="69"/>
      <c r="H73" s="69"/>
    </row>
    <row r="74" spans="1:8" x14ac:dyDescent="0.25">
      <c r="A74" s="79" t="s">
        <v>59</v>
      </c>
      <c r="B74" s="69"/>
      <c r="C74" s="190">
        <f>Uniforme!F28</f>
        <v>107.61381033333335</v>
      </c>
      <c r="D74" s="70"/>
      <c r="E74" s="69"/>
      <c r="F74" s="69"/>
      <c r="G74" s="69"/>
      <c r="H74" s="69"/>
    </row>
    <row r="75" spans="1:8" x14ac:dyDescent="0.25">
      <c r="A75" s="84" t="s">
        <v>60</v>
      </c>
      <c r="B75" s="230">
        <v>9.5</v>
      </c>
      <c r="C75" s="112">
        <f>+B75*base!F6</f>
        <v>190.304</v>
      </c>
      <c r="D75" s="70"/>
      <c r="E75" s="69"/>
      <c r="F75" s="69"/>
      <c r="G75" s="69"/>
      <c r="H75" s="69"/>
    </row>
    <row r="76" spans="1:8" x14ac:dyDescent="0.25">
      <c r="A76" s="79" t="s">
        <v>61</v>
      </c>
      <c r="B76" s="69"/>
      <c r="C76" s="111">
        <f>(2.95*2*B75)-C15*6%</f>
        <v>18.160000000000004</v>
      </c>
      <c r="D76" s="70"/>
      <c r="E76" s="69"/>
      <c r="F76" s="69"/>
      <c r="G76" s="69"/>
      <c r="H76" s="69"/>
    </row>
    <row r="77" spans="1:8" x14ac:dyDescent="0.25">
      <c r="A77" s="79" t="s">
        <v>62</v>
      </c>
      <c r="B77" s="69"/>
      <c r="C77" s="190">
        <f>'depreciação de equipamento'!F11</f>
        <v>29.778499024999999</v>
      </c>
      <c r="D77" s="70"/>
      <c r="E77" s="69"/>
      <c r="F77" s="69"/>
      <c r="G77" s="69"/>
      <c r="H77" s="69"/>
    </row>
    <row r="78" spans="1:8" x14ac:dyDescent="0.25">
      <c r="A78" s="84" t="s">
        <v>63</v>
      </c>
      <c r="B78" s="84"/>
      <c r="C78" s="77"/>
      <c r="D78" s="70"/>
      <c r="E78" s="69"/>
      <c r="F78" s="69"/>
      <c r="G78" s="69"/>
      <c r="H78" s="69"/>
    </row>
    <row r="79" spans="1:8" x14ac:dyDescent="0.25">
      <c r="A79" s="79" t="s">
        <v>64</v>
      </c>
      <c r="B79" s="69"/>
      <c r="C79" s="190">
        <f>'depreciação de equipamento'!F13</f>
        <v>10.827437999999999</v>
      </c>
      <c r="D79" s="70"/>
      <c r="E79" s="69"/>
      <c r="F79" s="69"/>
      <c r="G79" s="69"/>
      <c r="H79" s="69"/>
    </row>
    <row r="80" spans="1:8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69"/>
      <c r="G80" s="69"/>
      <c r="H80" s="69"/>
    </row>
    <row r="81" spans="1:8" ht="15.75" thickBot="1" x14ac:dyDescent="0.3">
      <c r="A81" s="100" t="s">
        <v>65</v>
      </c>
      <c r="B81" s="128"/>
      <c r="C81" s="208">
        <f>SUM(C74:C80)</f>
        <v>508.07374735833332</v>
      </c>
      <c r="D81" s="70"/>
      <c r="E81" s="69"/>
      <c r="F81" s="69"/>
      <c r="G81" s="69"/>
      <c r="H81" s="69"/>
    </row>
    <row r="82" spans="1:8" ht="15.75" thickBot="1" x14ac:dyDescent="0.3">
      <c r="A82" s="79"/>
      <c r="B82" s="69"/>
      <c r="C82" s="81"/>
      <c r="D82" s="70"/>
      <c r="E82" s="69"/>
      <c r="F82" s="69"/>
      <c r="G82" s="69"/>
      <c r="H82" s="69"/>
    </row>
    <row r="83" spans="1:8" ht="15.75" thickBot="1" x14ac:dyDescent="0.3">
      <c r="A83" s="100"/>
      <c r="B83" s="128"/>
      <c r="C83" s="130"/>
      <c r="D83" s="70"/>
      <c r="E83" s="69"/>
      <c r="F83" s="69"/>
      <c r="G83" s="69"/>
      <c r="H83" s="69"/>
    </row>
    <row r="84" spans="1:8" ht="15.75" thickBot="1" x14ac:dyDescent="0.3">
      <c r="A84" s="79"/>
      <c r="B84" s="69"/>
      <c r="C84" s="81"/>
      <c r="D84" s="70"/>
      <c r="E84" s="69"/>
      <c r="F84" s="69"/>
      <c r="G84" s="69"/>
      <c r="H84" s="69"/>
    </row>
    <row r="85" spans="1:8" ht="15.75" customHeight="1" thickBot="1" x14ac:dyDescent="0.3">
      <c r="A85" s="541" t="s">
        <v>67</v>
      </c>
      <c r="B85" s="541"/>
      <c r="C85" s="118">
        <f>C81+C69+C23+C83</f>
        <v>3229.4384171717584</v>
      </c>
      <c r="D85" s="70"/>
      <c r="E85" s="69"/>
      <c r="F85" s="69"/>
      <c r="G85" s="69"/>
      <c r="H85" s="69"/>
    </row>
    <row r="86" spans="1:8" ht="15.75" customHeight="1" thickBot="1" x14ac:dyDescent="0.3">
      <c r="A86" s="70"/>
      <c r="B86" s="70"/>
      <c r="C86" s="95"/>
      <c r="D86" s="70"/>
      <c r="E86" s="69"/>
      <c r="F86" s="69"/>
      <c r="G86" s="69"/>
      <c r="H86" s="69"/>
    </row>
    <row r="87" spans="1:8" x14ac:dyDescent="0.25">
      <c r="A87" s="99" t="s">
        <v>68</v>
      </c>
      <c r="B87" s="105"/>
      <c r="C87" s="90"/>
      <c r="D87" s="70"/>
      <c r="E87" s="69"/>
      <c r="F87" s="69"/>
      <c r="G87" s="69"/>
      <c r="H87" s="69"/>
    </row>
    <row r="88" spans="1:8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69"/>
      <c r="G88" s="69"/>
      <c r="H88" s="69"/>
    </row>
    <row r="89" spans="1:8" x14ac:dyDescent="0.25">
      <c r="A89" s="84" t="s">
        <v>70</v>
      </c>
      <c r="B89" s="78"/>
      <c r="C89" s="237">
        <v>9.7044000000000005E-2</v>
      </c>
      <c r="D89" s="70"/>
      <c r="E89" s="69"/>
      <c r="F89" s="69"/>
      <c r="G89" s="69"/>
      <c r="H89" s="69"/>
    </row>
    <row r="90" spans="1:8" x14ac:dyDescent="0.25">
      <c r="A90" s="86" t="s">
        <v>71</v>
      </c>
      <c r="B90" s="70"/>
      <c r="C90" s="106">
        <v>0.05</v>
      </c>
      <c r="D90" s="70"/>
      <c r="E90" s="69"/>
      <c r="F90" s="69"/>
      <c r="G90" s="69"/>
      <c r="H90" s="69"/>
    </row>
    <row r="91" spans="1:8" x14ac:dyDescent="0.25">
      <c r="A91" s="84" t="s">
        <v>72</v>
      </c>
      <c r="B91" s="107"/>
      <c r="C91" s="108">
        <v>0.03</v>
      </c>
      <c r="D91" s="70"/>
      <c r="E91" s="69"/>
      <c r="F91" s="69"/>
      <c r="G91" s="69"/>
      <c r="H91" s="69"/>
    </row>
    <row r="92" spans="1:8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69"/>
      <c r="G92" s="69"/>
      <c r="H92" s="69"/>
    </row>
    <row r="93" spans="1:8" ht="15.75" thickBot="1" x14ac:dyDescent="0.3">
      <c r="A93" s="318" t="s">
        <v>74</v>
      </c>
      <c r="B93" s="104"/>
      <c r="C93" s="97">
        <f>SUM(C88:C92)</f>
        <v>0.25354399999999999</v>
      </c>
      <c r="D93" s="70"/>
      <c r="E93" s="69"/>
      <c r="F93" s="69"/>
      <c r="G93" s="69"/>
      <c r="H93" s="69"/>
    </row>
    <row r="94" spans="1:8" ht="15.75" thickBot="1" x14ac:dyDescent="0.3">
      <c r="A94" s="244"/>
      <c r="B94" s="239">
        <f>+C93*100</f>
        <v>25.354399999999998</v>
      </c>
      <c r="C94" s="240">
        <f>100-B94</f>
        <v>74.645600000000002</v>
      </c>
      <c r="D94" s="70"/>
      <c r="E94" s="69"/>
      <c r="F94" s="69"/>
      <c r="G94" s="69"/>
      <c r="H94" s="69"/>
    </row>
    <row r="95" spans="1:8" ht="15.75" thickBot="1" x14ac:dyDescent="0.3">
      <c r="A95" s="318" t="s">
        <v>75</v>
      </c>
      <c r="B95" s="104"/>
      <c r="C95" s="234">
        <f>SUM(C85*B94/C94)</f>
        <v>1096.9229720752412</v>
      </c>
      <c r="D95" s="70"/>
      <c r="E95" s="69"/>
      <c r="F95" s="69"/>
      <c r="G95" s="69"/>
      <c r="H95" s="69"/>
    </row>
    <row r="96" spans="1:8" ht="15.75" thickBot="1" x14ac:dyDescent="0.3">
      <c r="A96" s="539"/>
      <c r="B96" s="539"/>
      <c r="C96" s="95"/>
      <c r="D96" s="70"/>
      <c r="E96" s="69"/>
      <c r="F96" s="69"/>
      <c r="G96" s="69"/>
      <c r="H96" s="69"/>
    </row>
    <row r="97" spans="1:8" ht="15.75" thickBot="1" x14ac:dyDescent="0.3">
      <c r="A97" s="82" t="s">
        <v>76</v>
      </c>
      <c r="B97" s="82"/>
      <c r="C97" s="83">
        <f>C85+C95</f>
        <v>4326.3613892469994</v>
      </c>
      <c r="D97" s="70"/>
      <c r="E97" s="69"/>
      <c r="F97" s="69"/>
      <c r="G97" s="69"/>
      <c r="H97" s="69"/>
    </row>
    <row r="98" spans="1:8" ht="15.75" thickBot="1" x14ac:dyDescent="0.3">
      <c r="A98" s="109"/>
      <c r="B98" s="109"/>
      <c r="C98" s="110"/>
      <c r="D98" s="69"/>
      <c r="E98" s="69"/>
      <c r="F98" s="69"/>
      <c r="G98" s="69"/>
      <c r="H98" s="69"/>
    </row>
    <row r="99" spans="1:8" ht="16.5" thickBot="1" x14ac:dyDescent="0.3">
      <c r="A99" s="82" t="s">
        <v>121</v>
      </c>
      <c r="B99" s="82"/>
      <c r="C99" s="83">
        <f>ROUND(C97,2)</f>
        <v>4326.3599999999997</v>
      </c>
      <c r="D99" s="317"/>
      <c r="E99" s="317"/>
      <c r="F99" s="317"/>
      <c r="G99" s="317"/>
      <c r="H99" s="317"/>
    </row>
    <row r="100" spans="1:8" ht="15.75" x14ac:dyDescent="0.25">
      <c r="A100" s="69"/>
      <c r="B100" s="69"/>
      <c r="C100" s="69"/>
      <c r="D100" s="317"/>
      <c r="E100" s="317"/>
      <c r="F100" s="317"/>
      <c r="G100" s="317"/>
      <c r="H100" s="317"/>
    </row>
  </sheetData>
  <mergeCells count="16">
    <mergeCell ref="A85:B85"/>
    <mergeCell ref="A96:B96"/>
    <mergeCell ref="A11:C11"/>
    <mergeCell ref="A12:B12"/>
    <mergeCell ref="A14:C14"/>
    <mergeCell ref="A15:B15"/>
    <mergeCell ref="A25:C25"/>
    <mergeCell ref="A71:B71"/>
    <mergeCell ref="A8:A9"/>
    <mergeCell ref="B8:B9"/>
    <mergeCell ref="C8:C9"/>
    <mergeCell ref="A2:C2"/>
    <mergeCell ref="A3:C3"/>
    <mergeCell ref="A4:C4"/>
    <mergeCell ref="A5:C5"/>
    <mergeCell ref="A6:C6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J12" sqref="J12"/>
    </sheetView>
  </sheetViews>
  <sheetFormatPr defaultRowHeight="15" x14ac:dyDescent="0.25"/>
  <cols>
    <col min="2" max="2" width="13.42578125" customWidth="1"/>
    <col min="3" max="3" width="10" customWidth="1"/>
    <col min="4" max="4" width="10.7109375" customWidth="1"/>
    <col min="5" max="5" width="12.85546875" style="212" bestFit="1" customWidth="1"/>
    <col min="6" max="6" width="22.42578125" customWidth="1"/>
  </cols>
  <sheetData>
    <row r="1" spans="1:6" ht="15.75" thickBot="1" x14ac:dyDescent="0.3"/>
    <row r="2" spans="1:6" ht="15.75" thickBot="1" x14ac:dyDescent="0.3">
      <c r="A2" s="555" t="s">
        <v>148</v>
      </c>
      <c r="B2" s="555"/>
      <c r="C2" s="555"/>
      <c r="D2" s="555"/>
      <c r="E2" s="555"/>
      <c r="F2" s="555"/>
    </row>
    <row r="3" spans="1:6" ht="60.75" thickBot="1" x14ac:dyDescent="0.3">
      <c r="A3" s="158" t="s">
        <v>149</v>
      </c>
      <c r="B3" s="158" t="s">
        <v>150</v>
      </c>
      <c r="C3" s="158" t="s">
        <v>151</v>
      </c>
      <c r="D3" s="158" t="s">
        <v>152</v>
      </c>
      <c r="E3" s="335" t="s">
        <v>153</v>
      </c>
      <c r="F3" s="158" t="s">
        <v>340</v>
      </c>
    </row>
    <row r="4" spans="1:6" ht="15.75" thickBot="1" x14ac:dyDescent="0.3">
      <c r="A4" s="159" t="s">
        <v>154</v>
      </c>
      <c r="B4" s="160">
        <v>87.93</v>
      </c>
      <c r="C4" s="161">
        <v>2</v>
      </c>
      <c r="D4" s="160">
        <f>B4*C4</f>
        <v>175.86</v>
      </c>
      <c r="E4" s="336">
        <v>14.655000000000001</v>
      </c>
      <c r="F4" s="196">
        <f>(D4/12)+((D4/12)*10.71%)</f>
        <v>16.224550500000003</v>
      </c>
    </row>
    <row r="5" spans="1:6" ht="30.75" thickBot="1" x14ac:dyDescent="0.3">
      <c r="A5" s="159" t="s">
        <v>155</v>
      </c>
      <c r="B5" s="160">
        <v>7.95</v>
      </c>
      <c r="C5" s="161">
        <v>2</v>
      </c>
      <c r="D5" s="160">
        <f t="shared" ref="D5:D13" si="0">B5*C5</f>
        <v>15.9</v>
      </c>
      <c r="E5" s="336">
        <v>1.325</v>
      </c>
      <c r="F5" s="196">
        <f t="shared" ref="F5:F13" si="1">(D5/12)+((D5/12)*10.71%)</f>
        <v>1.4669075</v>
      </c>
    </row>
    <row r="6" spans="1:6" ht="15.75" thickBot="1" x14ac:dyDescent="0.3">
      <c r="A6" s="159" t="s">
        <v>156</v>
      </c>
      <c r="B6" s="160">
        <v>65.2</v>
      </c>
      <c r="C6" s="161">
        <v>4</v>
      </c>
      <c r="D6" s="160">
        <f t="shared" si="0"/>
        <v>260.8</v>
      </c>
      <c r="E6" s="336">
        <v>21.733333333333334</v>
      </c>
      <c r="F6" s="196">
        <f t="shared" si="1"/>
        <v>24.060973333333337</v>
      </c>
    </row>
    <row r="7" spans="1:6" ht="15.75" thickBot="1" x14ac:dyDescent="0.3">
      <c r="A7" s="159" t="s">
        <v>157</v>
      </c>
      <c r="B7" s="160">
        <v>41.83</v>
      </c>
      <c r="C7" s="161">
        <v>8</v>
      </c>
      <c r="D7" s="160">
        <f t="shared" si="0"/>
        <v>334.64</v>
      </c>
      <c r="E7" s="336">
        <v>27.886666666666667</v>
      </c>
      <c r="F7" s="196">
        <f t="shared" si="1"/>
        <v>30.873328666666666</v>
      </c>
    </row>
    <row r="8" spans="1:6" ht="15.75" thickBot="1" x14ac:dyDescent="0.3">
      <c r="A8" s="159" t="s">
        <v>158</v>
      </c>
      <c r="B8" s="160">
        <v>8.18</v>
      </c>
      <c r="C8" s="161">
        <v>8</v>
      </c>
      <c r="D8" s="160">
        <f t="shared" si="0"/>
        <v>65.44</v>
      </c>
      <c r="E8" s="336">
        <v>5.4533333333333331</v>
      </c>
      <c r="F8" s="196">
        <f t="shared" si="1"/>
        <v>6.0373853333333329</v>
      </c>
    </row>
    <row r="9" spans="1:6" ht="15.75" thickBot="1" x14ac:dyDescent="0.3">
      <c r="A9" s="159" t="s">
        <v>159</v>
      </c>
      <c r="B9" s="160">
        <v>23.7</v>
      </c>
      <c r="C9" s="161">
        <v>2</v>
      </c>
      <c r="D9" s="160">
        <f t="shared" si="0"/>
        <v>47.4</v>
      </c>
      <c r="E9" s="336">
        <v>3.9499999999999997</v>
      </c>
      <c r="F9" s="196">
        <f t="shared" si="1"/>
        <v>4.3730449999999994</v>
      </c>
    </row>
    <row r="10" spans="1:6" ht="15.75" thickBot="1" x14ac:dyDescent="0.3">
      <c r="A10" s="159" t="s">
        <v>160</v>
      </c>
      <c r="B10" s="160">
        <v>10.19</v>
      </c>
      <c r="C10" s="161">
        <v>4</v>
      </c>
      <c r="D10" s="160">
        <f t="shared" si="0"/>
        <v>40.76</v>
      </c>
      <c r="E10" s="336">
        <v>3.3966666666666665</v>
      </c>
      <c r="F10" s="196">
        <f t="shared" si="1"/>
        <v>3.7604496666666667</v>
      </c>
    </row>
    <row r="11" spans="1:6" ht="15.75" thickBot="1" x14ac:dyDescent="0.3">
      <c r="A11" s="159" t="s">
        <v>161</v>
      </c>
      <c r="B11" s="160">
        <v>87.4</v>
      </c>
      <c r="C11" s="161">
        <v>2</v>
      </c>
      <c r="D11" s="160">
        <f t="shared" si="0"/>
        <v>174.8</v>
      </c>
      <c r="E11" s="336">
        <v>14.566666666666668</v>
      </c>
      <c r="F11" s="196">
        <f t="shared" si="1"/>
        <v>16.126756666666669</v>
      </c>
    </row>
    <row r="12" spans="1:6" ht="30.75" thickBot="1" x14ac:dyDescent="0.3">
      <c r="A12" s="159" t="s">
        <v>162</v>
      </c>
      <c r="B12" s="160">
        <v>30.68</v>
      </c>
      <c r="C12" s="161">
        <v>1</v>
      </c>
      <c r="D12" s="160">
        <f t="shared" si="0"/>
        <v>30.68</v>
      </c>
      <c r="E12" s="336">
        <v>2.5566666666666666</v>
      </c>
      <c r="F12" s="196">
        <f t="shared" si="1"/>
        <v>2.8304856666666667</v>
      </c>
    </row>
    <row r="13" spans="1:6" ht="15.75" thickBot="1" x14ac:dyDescent="0.3">
      <c r="A13" s="159" t="s">
        <v>163</v>
      </c>
      <c r="B13" s="160">
        <v>9</v>
      </c>
      <c r="C13" s="161">
        <v>1</v>
      </c>
      <c r="D13" s="160">
        <f t="shared" si="0"/>
        <v>9</v>
      </c>
      <c r="E13" s="336">
        <v>0.75</v>
      </c>
      <c r="F13" s="196">
        <f t="shared" si="1"/>
        <v>0.83032499999999998</v>
      </c>
    </row>
    <row r="14" spans="1:6" ht="15.75" thickBot="1" x14ac:dyDescent="0.3">
      <c r="A14" s="556" t="s">
        <v>164</v>
      </c>
      <c r="B14" s="556"/>
      <c r="C14" s="556"/>
      <c r="D14" s="162">
        <f>SUM(D4:D13)</f>
        <v>1155.2800000000002</v>
      </c>
      <c r="E14" s="337">
        <v>96.273333333333341</v>
      </c>
      <c r="F14" s="197">
        <f>SUM(F4:F13)</f>
        <v>106.58420733333335</v>
      </c>
    </row>
    <row r="15" spans="1:6" ht="15.75" thickBot="1" x14ac:dyDescent="0.3">
      <c r="A15" s="555" t="s">
        <v>165</v>
      </c>
      <c r="B15" s="555"/>
      <c r="C15" s="555"/>
      <c r="D15" s="555"/>
      <c r="E15" s="555"/>
      <c r="F15" s="555"/>
    </row>
    <row r="16" spans="1:6" ht="60.75" thickBot="1" x14ac:dyDescent="0.3">
      <c r="A16" s="158" t="s">
        <v>166</v>
      </c>
      <c r="B16" s="158" t="s">
        <v>150</v>
      </c>
      <c r="C16" s="158" t="s">
        <v>151</v>
      </c>
      <c r="D16" s="158" t="s">
        <v>152</v>
      </c>
      <c r="E16" s="335"/>
      <c r="F16" s="158" t="s">
        <v>153</v>
      </c>
    </row>
    <row r="17" spans="1:6" ht="15.75" thickBot="1" x14ac:dyDescent="0.3">
      <c r="A17" s="159" t="s">
        <v>154</v>
      </c>
      <c r="B17" s="160">
        <v>87.93</v>
      </c>
      <c r="C17" s="161">
        <v>2</v>
      </c>
      <c r="D17" s="160">
        <f>B17*C17</f>
        <v>175.86</v>
      </c>
      <c r="E17" s="336">
        <v>14.655000000000001</v>
      </c>
      <c r="F17" s="196">
        <f>(D17/12)+((D17/12)*10.71%)</f>
        <v>16.224550500000003</v>
      </c>
    </row>
    <row r="18" spans="1:6" ht="30.75" thickBot="1" x14ac:dyDescent="0.3">
      <c r="A18" s="159" t="s">
        <v>155</v>
      </c>
      <c r="B18" s="160">
        <v>7.95</v>
      </c>
      <c r="C18" s="161">
        <v>2</v>
      </c>
      <c r="D18" s="160">
        <f>B18*C18</f>
        <v>15.9</v>
      </c>
      <c r="E18" s="336">
        <v>1.325</v>
      </c>
      <c r="F18" s="196">
        <f t="shared" ref="F18:F26" si="2">(D18/12)+((D18/12)*10.71%)</f>
        <v>1.4669075</v>
      </c>
    </row>
    <row r="19" spans="1:6" ht="15.75" thickBot="1" x14ac:dyDescent="0.3">
      <c r="A19" s="159" t="s">
        <v>156</v>
      </c>
      <c r="B19" s="160">
        <v>65.2</v>
      </c>
      <c r="C19" s="161">
        <v>4</v>
      </c>
      <c r="D19" s="160">
        <f>B19*C19</f>
        <v>260.8</v>
      </c>
      <c r="E19" s="336">
        <v>21.733333333333334</v>
      </c>
      <c r="F19" s="196">
        <f t="shared" si="2"/>
        <v>24.060973333333337</v>
      </c>
    </row>
    <row r="20" spans="1:6" ht="15.75" thickBot="1" x14ac:dyDescent="0.3">
      <c r="A20" s="159" t="s">
        <v>157</v>
      </c>
      <c r="B20" s="160">
        <v>41.83</v>
      </c>
      <c r="C20" s="161">
        <v>8</v>
      </c>
      <c r="D20" s="160">
        <f t="shared" ref="D20:D26" si="3">B20*C20</f>
        <v>334.64</v>
      </c>
      <c r="E20" s="336">
        <v>27.886666666666667</v>
      </c>
      <c r="F20" s="196">
        <f t="shared" si="2"/>
        <v>30.873328666666666</v>
      </c>
    </row>
    <row r="21" spans="1:6" ht="15.75" thickBot="1" x14ac:dyDescent="0.3">
      <c r="A21" s="159" t="s">
        <v>158</v>
      </c>
      <c r="B21" s="160">
        <v>8.18</v>
      </c>
      <c r="C21" s="161">
        <v>8</v>
      </c>
      <c r="D21" s="160">
        <f t="shared" si="3"/>
        <v>65.44</v>
      </c>
      <c r="E21" s="336">
        <v>5.4533333333333331</v>
      </c>
      <c r="F21" s="196">
        <f t="shared" si="2"/>
        <v>6.0373853333333329</v>
      </c>
    </row>
    <row r="22" spans="1:6" ht="15.75" thickBot="1" x14ac:dyDescent="0.3">
      <c r="A22" s="159" t="s">
        <v>159</v>
      </c>
      <c r="B22" s="160">
        <v>23.7</v>
      </c>
      <c r="C22" s="161">
        <v>2</v>
      </c>
      <c r="D22" s="160">
        <f t="shared" si="3"/>
        <v>47.4</v>
      </c>
      <c r="E22" s="336">
        <v>3.9499999999999997</v>
      </c>
      <c r="F22" s="196">
        <f t="shared" si="2"/>
        <v>4.3730449999999994</v>
      </c>
    </row>
    <row r="23" spans="1:6" ht="15.75" thickBot="1" x14ac:dyDescent="0.3">
      <c r="A23" s="159" t="s">
        <v>160</v>
      </c>
      <c r="B23" s="160">
        <v>9.93</v>
      </c>
      <c r="C23" s="161">
        <v>4</v>
      </c>
      <c r="D23" s="160">
        <f t="shared" si="3"/>
        <v>39.72</v>
      </c>
      <c r="E23" s="336">
        <v>3.31</v>
      </c>
      <c r="F23" s="196">
        <f t="shared" si="2"/>
        <v>3.664501</v>
      </c>
    </row>
    <row r="24" spans="1:6" ht="15.75" thickBot="1" x14ac:dyDescent="0.3">
      <c r="A24" s="159" t="s">
        <v>167</v>
      </c>
      <c r="B24" s="160">
        <v>100.52</v>
      </c>
      <c r="C24" s="161">
        <v>2</v>
      </c>
      <c r="D24" s="160">
        <f t="shared" si="3"/>
        <v>201.04</v>
      </c>
      <c r="E24" s="336">
        <v>16.753333333333334</v>
      </c>
      <c r="F24" s="196">
        <f t="shared" si="2"/>
        <v>18.547615333333333</v>
      </c>
    </row>
    <row r="25" spans="1:6" ht="30.75" thickBot="1" x14ac:dyDescent="0.3">
      <c r="A25" s="159" t="s">
        <v>162</v>
      </c>
      <c r="B25" s="160">
        <v>27.8</v>
      </c>
      <c r="C25" s="161">
        <v>1</v>
      </c>
      <c r="D25" s="160">
        <f t="shared" si="3"/>
        <v>27.8</v>
      </c>
      <c r="E25" s="336">
        <v>2.3166666666666669</v>
      </c>
      <c r="F25" s="196">
        <f t="shared" si="2"/>
        <v>2.5647816666666667</v>
      </c>
    </row>
    <row r="26" spans="1:6" ht="15.75" thickBot="1" x14ac:dyDescent="0.3">
      <c r="A26" s="159" t="s">
        <v>163</v>
      </c>
      <c r="B26" s="160">
        <v>9</v>
      </c>
      <c r="C26" s="161">
        <v>1</v>
      </c>
      <c r="D26" s="160">
        <f t="shared" si="3"/>
        <v>9</v>
      </c>
      <c r="E26" s="336">
        <v>0.75</v>
      </c>
      <c r="F26" s="196">
        <f t="shared" si="2"/>
        <v>0.83032499999999998</v>
      </c>
    </row>
    <row r="27" spans="1:6" ht="15.75" thickBot="1" x14ac:dyDescent="0.3">
      <c r="A27" s="556" t="s">
        <v>168</v>
      </c>
      <c r="B27" s="556"/>
      <c r="C27" s="556"/>
      <c r="D27" s="162">
        <f>SUM(D17:D26)</f>
        <v>1177.6000000000001</v>
      </c>
      <c r="E27" s="337">
        <v>98.13333333333334</v>
      </c>
      <c r="F27" s="162">
        <f>SUM(F17:F26)</f>
        <v>108.64341333333334</v>
      </c>
    </row>
    <row r="28" spans="1:6" ht="30" customHeight="1" thickBot="1" x14ac:dyDescent="0.3">
      <c r="A28" s="557" t="s">
        <v>169</v>
      </c>
      <c r="B28" s="557"/>
      <c r="C28" s="557"/>
      <c r="D28" s="163">
        <f>(D27+D14)/2</f>
        <v>1166.44</v>
      </c>
      <c r="E28" s="338">
        <v>97.203333333333347</v>
      </c>
      <c r="F28" s="163">
        <f>SUM(F14,F27)/2</f>
        <v>107.61381033333335</v>
      </c>
    </row>
  </sheetData>
  <mergeCells count="5">
    <mergeCell ref="A2:F2"/>
    <mergeCell ref="A14:C14"/>
    <mergeCell ref="A15:F15"/>
    <mergeCell ref="A27:C27"/>
    <mergeCell ref="A28:C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F13" sqref="F13"/>
    </sheetView>
  </sheetViews>
  <sheetFormatPr defaultRowHeight="15" x14ac:dyDescent="0.25"/>
  <cols>
    <col min="1" max="1" width="46.140625" customWidth="1"/>
    <col min="2" max="2" width="18" customWidth="1"/>
    <col min="3" max="3" width="10.7109375" bestFit="1" customWidth="1"/>
    <col min="4" max="5" width="10.7109375" style="68" customWidth="1"/>
    <col min="6" max="6" width="16.28515625" customWidth="1"/>
  </cols>
  <sheetData>
    <row r="1" spans="1:6" ht="45.75" thickBot="1" x14ac:dyDescent="0.3">
      <c r="A1" s="164" t="s">
        <v>170</v>
      </c>
      <c r="B1" s="164" t="s">
        <v>171</v>
      </c>
      <c r="C1" s="165" t="s">
        <v>172</v>
      </c>
      <c r="D1" s="165" t="s">
        <v>173</v>
      </c>
      <c r="E1" s="165"/>
      <c r="F1" s="164" t="s">
        <v>337</v>
      </c>
    </row>
    <row r="2" spans="1:6" x14ac:dyDescent="0.25">
      <c r="A2" s="166" t="s">
        <v>174</v>
      </c>
      <c r="B2" s="166">
        <v>1</v>
      </c>
      <c r="C2" s="167">
        <v>1290</v>
      </c>
      <c r="D2" s="167">
        <v>1290</v>
      </c>
      <c r="E2" s="167"/>
      <c r="F2" s="167">
        <f>(C2*B2)+((C2*B2)*10.71%)</f>
        <v>1428.1590000000001</v>
      </c>
    </row>
    <row r="3" spans="1:6" x14ac:dyDescent="0.25">
      <c r="A3" s="166" t="s">
        <v>175</v>
      </c>
      <c r="B3" s="166">
        <v>1</v>
      </c>
      <c r="C3" s="168">
        <v>26.3</v>
      </c>
      <c r="D3" s="168">
        <v>26.3</v>
      </c>
      <c r="E3" s="168"/>
      <c r="F3" s="167">
        <f t="shared" ref="F3:F7" si="0">(C3*B3)+((C3*B3)*10.71%)</f>
        <v>29.11673</v>
      </c>
    </row>
    <row r="4" spans="1:6" x14ac:dyDescent="0.25">
      <c r="A4" s="166" t="s">
        <v>176</v>
      </c>
      <c r="B4" s="166">
        <v>1</v>
      </c>
      <c r="C4" s="168">
        <v>18.79</v>
      </c>
      <c r="D4" s="168">
        <v>18.79</v>
      </c>
      <c r="E4" s="168"/>
      <c r="F4" s="167">
        <f t="shared" si="0"/>
        <v>20.802409000000001</v>
      </c>
    </row>
    <row r="5" spans="1:6" x14ac:dyDescent="0.25">
      <c r="A5" s="166" t="s">
        <v>177</v>
      </c>
      <c r="B5" s="166">
        <v>1</v>
      </c>
      <c r="C5" s="168">
        <v>22.57</v>
      </c>
      <c r="D5" s="168">
        <v>22.57</v>
      </c>
      <c r="E5" s="168"/>
      <c r="F5" s="167">
        <f t="shared" si="0"/>
        <v>24.987247</v>
      </c>
    </row>
    <row r="6" spans="1:6" x14ac:dyDescent="0.25">
      <c r="A6" s="166" t="s">
        <v>178</v>
      </c>
      <c r="B6" s="166">
        <v>1</v>
      </c>
      <c r="C6" s="168">
        <v>66.73</v>
      </c>
      <c r="D6" s="168">
        <v>66.73</v>
      </c>
      <c r="E6" s="168"/>
      <c r="F6" s="167">
        <f t="shared" si="0"/>
        <v>73.876783000000003</v>
      </c>
    </row>
    <row r="7" spans="1:6" x14ac:dyDescent="0.25">
      <c r="A7" s="194" t="s">
        <v>179</v>
      </c>
      <c r="B7" s="166">
        <v>2</v>
      </c>
      <c r="C7" s="168">
        <v>901.67</v>
      </c>
      <c r="D7" s="168">
        <v>1803.34</v>
      </c>
      <c r="E7" s="168"/>
      <c r="F7" s="167">
        <f t="shared" si="0"/>
        <v>1996.4777139999999</v>
      </c>
    </row>
    <row r="8" spans="1:6" ht="15.75" thickBot="1" x14ac:dyDescent="0.3">
      <c r="A8" s="560" t="s">
        <v>180</v>
      </c>
      <c r="B8" s="560"/>
      <c r="C8" s="560"/>
      <c r="D8" s="333">
        <v>3227.7299999999996</v>
      </c>
      <c r="E8" s="212">
        <f>+F6+F5</f>
        <v>98.86403</v>
      </c>
      <c r="F8" s="195">
        <f>SUM(F2:F7)</f>
        <v>3573.4198829999996</v>
      </c>
    </row>
    <row r="9" spans="1:6" ht="15.75" thickBot="1" x14ac:dyDescent="0.3">
      <c r="A9" s="559" t="s">
        <v>181</v>
      </c>
      <c r="B9" s="559"/>
      <c r="C9" s="559"/>
      <c r="D9" s="339">
        <v>53.795499999999997</v>
      </c>
      <c r="E9" s="193">
        <f>(E8*20%)/4</f>
        <v>4.9432015000000007</v>
      </c>
      <c r="F9" s="192">
        <f>(F8*20%)/12</f>
        <v>59.556998049999997</v>
      </c>
    </row>
    <row r="10" spans="1:6" ht="15.75" thickBot="1" x14ac:dyDescent="0.3">
      <c r="A10" s="561" t="s">
        <v>182</v>
      </c>
      <c r="B10" s="561"/>
      <c r="C10" s="561"/>
      <c r="D10" s="340">
        <v>2</v>
      </c>
      <c r="E10" s="171">
        <v>2</v>
      </c>
      <c r="F10" s="171">
        <v>2</v>
      </c>
    </row>
    <row r="11" spans="1:6" ht="15.75" thickBot="1" x14ac:dyDescent="0.3">
      <c r="A11" s="559" t="s">
        <v>183</v>
      </c>
      <c r="B11" s="559"/>
      <c r="C11" s="559"/>
      <c r="D11" s="339">
        <v>26.897749999999998</v>
      </c>
      <c r="E11" s="193">
        <f>(E9/E10)</f>
        <v>2.4716007500000003</v>
      </c>
      <c r="F11" s="172">
        <f>(F9/F10)</f>
        <v>29.778499024999999</v>
      </c>
    </row>
    <row r="12" spans="1:6" ht="15.75" thickBot="1" x14ac:dyDescent="0.3"/>
    <row r="13" spans="1:6" ht="15.75" thickBot="1" x14ac:dyDescent="0.3">
      <c r="A13" s="558" t="s">
        <v>206</v>
      </c>
      <c r="B13" s="559">
        <v>41.28</v>
      </c>
      <c r="C13" s="559"/>
      <c r="D13" s="332">
        <v>9.7799999999999994</v>
      </c>
      <c r="E13" s="332"/>
      <c r="F13" s="188">
        <f>D13+(D13*10.71%)</f>
        <v>10.827437999999999</v>
      </c>
    </row>
    <row r="14" spans="1:6" x14ac:dyDescent="0.25">
      <c r="A14" s="173"/>
    </row>
  </sheetData>
  <mergeCells count="5">
    <mergeCell ref="A13:C13"/>
    <mergeCell ref="A8:C8"/>
    <mergeCell ref="A9:C9"/>
    <mergeCell ref="A10:C10"/>
    <mergeCell ref="A11:C1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workbookViewId="0">
      <selection activeCell="D11" sqref="D11"/>
    </sheetView>
  </sheetViews>
  <sheetFormatPr defaultRowHeight="15" x14ac:dyDescent="0.25"/>
  <cols>
    <col min="1" max="1" width="85.5703125" bestFit="1" customWidth="1"/>
    <col min="2" max="2" width="16.5703125" customWidth="1"/>
    <col min="3" max="3" width="13.7109375" customWidth="1"/>
    <col min="4" max="5" width="13.7109375" style="68" customWidth="1"/>
    <col min="6" max="6" width="17" style="212" customWidth="1"/>
    <col min="7" max="7" width="27.42578125" style="212" bestFit="1" customWidth="1"/>
    <col min="11" max="11" width="85.85546875" bestFit="1" customWidth="1"/>
    <col min="12" max="12" width="11.28515625" bestFit="1" customWidth="1"/>
    <col min="13" max="13" width="9" bestFit="1" customWidth="1"/>
    <col min="14" max="14" width="11.28515625" bestFit="1" customWidth="1"/>
  </cols>
  <sheetData>
    <row r="1" spans="1:7" ht="15.75" thickBot="1" x14ac:dyDescent="0.3">
      <c r="A1" s="563" t="s">
        <v>186</v>
      </c>
      <c r="B1" s="564"/>
      <c r="C1" s="564"/>
      <c r="D1" s="564"/>
      <c r="E1" s="564"/>
      <c r="F1" s="564"/>
      <c r="G1" s="565"/>
    </row>
    <row r="2" spans="1:7" ht="60.75" thickBot="1" x14ac:dyDescent="0.3">
      <c r="A2" s="174" t="s">
        <v>187</v>
      </c>
      <c r="B2" s="175" t="s">
        <v>188</v>
      </c>
      <c r="C2" s="175" t="s">
        <v>151</v>
      </c>
      <c r="D2" s="176" t="s">
        <v>189</v>
      </c>
      <c r="E2" s="176" t="s">
        <v>190</v>
      </c>
      <c r="F2" s="346" t="s">
        <v>189</v>
      </c>
      <c r="G2" s="346" t="s">
        <v>190</v>
      </c>
    </row>
    <row r="3" spans="1:7" ht="15.75" thickBot="1" x14ac:dyDescent="0.3">
      <c r="A3" s="566" t="s">
        <v>191</v>
      </c>
      <c r="B3" s="567"/>
      <c r="C3" s="567"/>
      <c r="D3" s="567"/>
      <c r="E3" s="567"/>
      <c r="F3" s="567"/>
      <c r="G3" s="568"/>
    </row>
    <row r="4" spans="1:7" ht="15.75" thickBot="1" x14ac:dyDescent="0.3">
      <c r="A4" s="177" t="s">
        <v>192</v>
      </c>
      <c r="B4" s="178">
        <v>230</v>
      </c>
      <c r="C4" s="179">
        <v>1</v>
      </c>
      <c r="D4" s="179">
        <v>115</v>
      </c>
      <c r="E4" s="179">
        <v>9.5833333333333339</v>
      </c>
      <c r="F4" s="185">
        <f>(B4/2)+((B4/2)*10.71%)</f>
        <v>127.3165</v>
      </c>
      <c r="G4" s="355">
        <f>F4/12</f>
        <v>10.609708333333334</v>
      </c>
    </row>
    <row r="5" spans="1:7" ht="15.75" thickBot="1" x14ac:dyDescent="0.3">
      <c r="A5" s="180" t="s">
        <v>193</v>
      </c>
      <c r="B5" s="181">
        <v>93</v>
      </c>
      <c r="C5" s="182">
        <v>1</v>
      </c>
      <c r="D5" s="345">
        <v>46.5</v>
      </c>
      <c r="E5" s="345">
        <v>3.875</v>
      </c>
      <c r="F5" s="185">
        <f t="shared" ref="F5:F8" si="0">(B5/2)+((B5/2)*10.71%)</f>
        <v>51.480150000000002</v>
      </c>
      <c r="G5" s="355">
        <f t="shared" ref="G5:G8" si="1">F5/12</f>
        <v>4.2900125000000005</v>
      </c>
    </row>
    <row r="6" spans="1:7" ht="16.5" thickTop="1" thickBot="1" x14ac:dyDescent="0.3">
      <c r="A6" s="177" t="s">
        <v>194</v>
      </c>
      <c r="B6" s="178">
        <v>39</v>
      </c>
      <c r="C6" s="179">
        <v>1</v>
      </c>
      <c r="D6" s="179">
        <v>19.5</v>
      </c>
      <c r="E6" s="179">
        <v>1.625</v>
      </c>
      <c r="F6" s="185">
        <f t="shared" si="0"/>
        <v>21.588450000000002</v>
      </c>
      <c r="G6" s="355">
        <f t="shared" si="1"/>
        <v>1.7990375000000001</v>
      </c>
    </row>
    <row r="7" spans="1:7" ht="15.75" thickBot="1" x14ac:dyDescent="0.3">
      <c r="A7" s="180" t="s">
        <v>195</v>
      </c>
      <c r="B7" s="181">
        <v>120</v>
      </c>
      <c r="C7" s="182">
        <v>1</v>
      </c>
      <c r="D7" s="345">
        <v>60</v>
      </c>
      <c r="E7" s="345">
        <v>5</v>
      </c>
      <c r="F7" s="185">
        <f t="shared" si="0"/>
        <v>66.426000000000002</v>
      </c>
      <c r="G7" s="355">
        <f t="shared" si="1"/>
        <v>5.5354999999999999</v>
      </c>
    </row>
    <row r="8" spans="1:7" ht="16.5" thickTop="1" thickBot="1" x14ac:dyDescent="0.3">
      <c r="A8" s="177" t="s">
        <v>196</v>
      </c>
      <c r="B8" s="178">
        <v>62.5</v>
      </c>
      <c r="C8" s="179">
        <v>12</v>
      </c>
      <c r="D8" s="179">
        <v>375</v>
      </c>
      <c r="E8" s="179">
        <v>31.25</v>
      </c>
      <c r="F8" s="185">
        <f t="shared" si="0"/>
        <v>34.596874999999997</v>
      </c>
      <c r="G8" s="355">
        <f t="shared" si="1"/>
        <v>2.8830729166666664</v>
      </c>
    </row>
    <row r="9" spans="1:7" ht="15.75" thickBot="1" x14ac:dyDescent="0.3">
      <c r="A9" s="183" t="s">
        <v>77</v>
      </c>
      <c r="B9" s="184"/>
      <c r="C9" s="184"/>
      <c r="D9" s="184"/>
      <c r="E9" s="184">
        <v>51.333333333333336</v>
      </c>
      <c r="F9" s="347"/>
      <c r="G9" s="356">
        <f>SUM(G4:G8)</f>
        <v>25.117331249999999</v>
      </c>
    </row>
    <row r="10" spans="1:7" ht="16.5" thickTop="1" thickBot="1" x14ac:dyDescent="0.3">
      <c r="A10" s="569" t="s">
        <v>197</v>
      </c>
      <c r="B10" s="570"/>
      <c r="C10" s="570"/>
      <c r="D10" s="570"/>
      <c r="E10" s="570"/>
      <c r="F10" s="570"/>
      <c r="G10" s="571"/>
    </row>
    <row r="11" spans="1:7" ht="15.75" thickBot="1" x14ac:dyDescent="0.3">
      <c r="A11" s="177"/>
      <c r="B11" s="178"/>
      <c r="C11" s="179"/>
      <c r="D11" s="179"/>
      <c r="E11" s="179"/>
      <c r="F11" s="185"/>
      <c r="G11" s="357"/>
    </row>
    <row r="12" spans="1:7" ht="15.75" thickBot="1" x14ac:dyDescent="0.3">
      <c r="A12" s="177" t="s">
        <v>198</v>
      </c>
      <c r="B12" s="178">
        <v>110</v>
      </c>
      <c r="C12" s="179">
        <v>1</v>
      </c>
      <c r="D12" s="179">
        <v>55</v>
      </c>
      <c r="E12" s="179">
        <v>4.583333333333333</v>
      </c>
      <c r="F12" s="185">
        <f>(B12/2)+((B12/2)*10.71%)</f>
        <v>60.890500000000003</v>
      </c>
      <c r="G12" s="355">
        <f>F12/12</f>
        <v>5.0742083333333339</v>
      </c>
    </row>
    <row r="13" spans="1:7" ht="15.75" thickBot="1" x14ac:dyDescent="0.3">
      <c r="A13" s="180" t="s">
        <v>199</v>
      </c>
      <c r="B13" s="181">
        <v>70</v>
      </c>
      <c r="C13" s="182">
        <v>1</v>
      </c>
      <c r="D13" s="345">
        <v>35</v>
      </c>
      <c r="E13" s="345">
        <v>2.9166666666666665</v>
      </c>
      <c r="F13" s="185">
        <f t="shared" ref="F13:F14" si="2">(B13/2)+((B13/2)*10.71%)</f>
        <v>38.7485</v>
      </c>
      <c r="G13" s="355">
        <f>F13/12</f>
        <v>3.2290416666666668</v>
      </c>
    </row>
    <row r="14" spans="1:7" ht="16.5" thickTop="1" thickBot="1" x14ac:dyDescent="0.3">
      <c r="A14" s="177" t="s">
        <v>200</v>
      </c>
      <c r="B14" s="178">
        <v>279.27</v>
      </c>
      <c r="C14" s="179">
        <v>1</v>
      </c>
      <c r="D14" s="179">
        <v>139.63499999999999</v>
      </c>
      <c r="E14" s="179">
        <v>11.636249999999999</v>
      </c>
      <c r="F14" s="185">
        <f t="shared" si="2"/>
        <v>154.58990849999998</v>
      </c>
      <c r="G14" s="355">
        <f>F14/12</f>
        <v>12.882492374999998</v>
      </c>
    </row>
    <row r="15" spans="1:7" ht="16.5" thickTop="1" thickBot="1" x14ac:dyDescent="0.3">
      <c r="A15" s="206" t="s">
        <v>77</v>
      </c>
      <c r="B15" s="206"/>
      <c r="C15" s="206"/>
      <c r="D15" s="206"/>
      <c r="E15" s="206">
        <v>19.136249999999997</v>
      </c>
      <c r="F15" s="348"/>
      <c r="G15" s="358">
        <f>SUM(G12:G14)</f>
        <v>21.185742374999997</v>
      </c>
    </row>
    <row r="16" spans="1:7" ht="16.5" thickTop="1" thickBot="1" x14ac:dyDescent="0.3">
      <c r="A16" s="572" t="s">
        <v>201</v>
      </c>
      <c r="B16" s="573"/>
      <c r="C16" s="573"/>
      <c r="D16" s="573"/>
      <c r="E16" s="573"/>
      <c r="F16" s="573"/>
      <c r="G16" s="574"/>
    </row>
    <row r="17" spans="1:15" ht="15.75" thickBot="1" x14ac:dyDescent="0.3">
      <c r="A17" s="177" t="s">
        <v>202</v>
      </c>
      <c r="B17" s="185">
        <v>1236</v>
      </c>
      <c r="C17" s="179">
        <v>12</v>
      </c>
      <c r="D17" s="178">
        <v>618</v>
      </c>
      <c r="E17" s="179">
        <v>51.5</v>
      </c>
      <c r="F17" s="185">
        <f>(B17/2)+((B17/2)*10.71%)</f>
        <v>684.18780000000004</v>
      </c>
      <c r="G17" s="357">
        <f>F17/12</f>
        <v>57.015650000000001</v>
      </c>
    </row>
    <row r="18" spans="1:15" ht="15.75" thickBot="1" x14ac:dyDescent="0.3">
      <c r="A18" s="575" t="s">
        <v>203</v>
      </c>
      <c r="B18" s="576"/>
      <c r="C18" s="577"/>
      <c r="D18" s="186" t="s">
        <v>204</v>
      </c>
      <c r="E18" s="207">
        <v>51.5</v>
      </c>
      <c r="F18" s="349" t="s">
        <v>204</v>
      </c>
      <c r="G18" s="359">
        <f>G17</f>
        <v>57.015650000000001</v>
      </c>
      <c r="J18" s="68"/>
      <c r="L18" s="68"/>
      <c r="M18" s="68"/>
      <c r="N18" s="68"/>
      <c r="O18" s="68"/>
    </row>
    <row r="19" spans="1:15" ht="15.75" thickBot="1" x14ac:dyDescent="0.3">
      <c r="A19" s="173"/>
      <c r="J19" s="68"/>
      <c r="K19" s="68"/>
      <c r="L19" s="68"/>
      <c r="M19" s="68"/>
      <c r="N19" s="68"/>
      <c r="O19" s="68"/>
    </row>
    <row r="20" spans="1:15" ht="26.25" thickBot="1" x14ac:dyDescent="0.3">
      <c r="A20" s="209" t="s">
        <v>184</v>
      </c>
      <c r="B20" s="209" t="s">
        <v>171</v>
      </c>
      <c r="C20" s="210" t="s">
        <v>172</v>
      </c>
      <c r="D20" s="209" t="s">
        <v>173</v>
      </c>
      <c r="E20" s="210"/>
      <c r="F20" s="350" t="s">
        <v>173</v>
      </c>
      <c r="J20" s="68"/>
      <c r="K20" s="68"/>
      <c r="L20" s="68"/>
      <c r="M20" s="68"/>
      <c r="N20" s="68"/>
      <c r="O20" s="68"/>
    </row>
    <row r="21" spans="1:15" ht="15.75" thickBot="1" x14ac:dyDescent="0.3">
      <c r="A21" s="220" t="s">
        <v>213</v>
      </c>
      <c r="B21" s="217">
        <v>1</v>
      </c>
      <c r="C21" s="212">
        <v>5000</v>
      </c>
      <c r="D21" s="212">
        <v>5000</v>
      </c>
      <c r="E21" s="212"/>
      <c r="F21" s="212">
        <f>D21+(D21*10.71%)</f>
        <v>5535.5</v>
      </c>
      <c r="G21" s="360"/>
      <c r="H21" s="189"/>
      <c r="I21" s="189"/>
      <c r="J21" s="68"/>
      <c r="K21" s="68"/>
      <c r="L21" s="68"/>
      <c r="M21" s="68"/>
      <c r="N21" s="68"/>
      <c r="O21" s="68"/>
    </row>
    <row r="22" spans="1:15" ht="15.75" thickBot="1" x14ac:dyDescent="0.3">
      <c r="A22" s="211" t="s">
        <v>180</v>
      </c>
      <c r="B22" s="209"/>
      <c r="C22" s="209"/>
      <c r="D22" s="218">
        <v>5000</v>
      </c>
      <c r="E22" s="209"/>
      <c r="F22" s="212">
        <f t="shared" ref="F22:F25" si="3">D22+(D22*10.71%)</f>
        <v>5535.5</v>
      </c>
      <c r="J22" s="68"/>
      <c r="K22" s="68"/>
      <c r="L22" s="68"/>
      <c r="M22" s="68"/>
      <c r="N22" s="68"/>
      <c r="O22" s="68"/>
    </row>
    <row r="23" spans="1:15" ht="15.75" thickBot="1" x14ac:dyDescent="0.3">
      <c r="A23" s="213" t="s">
        <v>205</v>
      </c>
      <c r="B23" s="223">
        <f>(F22*25%)/12</f>
        <v>115.32291666666667</v>
      </c>
      <c r="C23" s="215"/>
      <c r="D23" s="221">
        <v>104.16666666666667</v>
      </c>
      <c r="E23" s="215"/>
      <c r="F23" s="212">
        <f t="shared" si="3"/>
        <v>115.32291666666667</v>
      </c>
      <c r="J23" s="68"/>
      <c r="K23" s="68"/>
      <c r="L23" s="68"/>
      <c r="M23" s="68"/>
      <c r="N23" s="68"/>
      <c r="O23" s="68"/>
    </row>
    <row r="24" spans="1:15" ht="15.75" thickBot="1" x14ac:dyDescent="0.3">
      <c r="A24" s="214" t="s">
        <v>182</v>
      </c>
      <c r="B24" s="216"/>
      <c r="C24" s="216"/>
      <c r="D24" s="219">
        <v>2</v>
      </c>
      <c r="E24" s="216"/>
      <c r="F24" s="212">
        <f t="shared" si="3"/>
        <v>2.2141999999999999</v>
      </c>
      <c r="J24" s="68"/>
      <c r="K24" s="68"/>
      <c r="L24" s="68"/>
      <c r="M24" s="68"/>
      <c r="N24" s="68"/>
      <c r="O24" s="68"/>
    </row>
    <row r="25" spans="1:15" ht="15.75" thickBot="1" x14ac:dyDescent="0.3">
      <c r="A25" s="213" t="s">
        <v>183</v>
      </c>
      <c r="B25" s="224">
        <f>F23/F24</f>
        <v>52.083333333333336</v>
      </c>
      <c r="C25" s="215"/>
      <c r="D25" s="222">
        <v>52.083333333333336</v>
      </c>
      <c r="E25" s="215"/>
      <c r="F25" s="212">
        <f t="shared" si="3"/>
        <v>57.661458333333336</v>
      </c>
      <c r="J25" s="68"/>
      <c r="K25" s="68"/>
      <c r="L25" s="68"/>
      <c r="M25" s="68"/>
      <c r="N25" s="68"/>
      <c r="O25" s="68"/>
    </row>
    <row r="26" spans="1:15" x14ac:dyDescent="0.25">
      <c r="J26" s="68"/>
      <c r="K26" s="68"/>
      <c r="L26" s="68"/>
      <c r="M26" s="68"/>
      <c r="N26" s="68"/>
      <c r="O26" s="68"/>
    </row>
    <row r="27" spans="1:15" ht="15.75" thickBot="1" x14ac:dyDescent="0.3">
      <c r="J27" s="68"/>
      <c r="K27" s="68"/>
      <c r="L27" s="68"/>
      <c r="M27" s="68"/>
      <c r="N27" s="68"/>
      <c r="O27" s="68"/>
    </row>
    <row r="28" spans="1:15" ht="30.75" thickBot="1" x14ac:dyDescent="0.3">
      <c r="A28" s="164" t="s">
        <v>184</v>
      </c>
      <c r="B28" s="164" t="s">
        <v>171</v>
      </c>
      <c r="C28" s="165" t="s">
        <v>172</v>
      </c>
      <c r="D28" s="164" t="s">
        <v>173</v>
      </c>
      <c r="E28" s="165"/>
      <c r="F28" s="351" t="s">
        <v>173</v>
      </c>
    </row>
    <row r="29" spans="1:15" x14ac:dyDescent="0.25">
      <c r="A29" s="166" t="s">
        <v>174</v>
      </c>
      <c r="B29" s="166">
        <v>1</v>
      </c>
      <c r="C29" s="167">
        <v>1290</v>
      </c>
      <c r="D29" s="167">
        <v>1290</v>
      </c>
      <c r="E29" s="167"/>
      <c r="F29" s="167">
        <f>D29+(D29*10.71%)</f>
        <v>1428.1590000000001</v>
      </c>
    </row>
    <row r="30" spans="1:15" x14ac:dyDescent="0.25">
      <c r="A30" s="166" t="s">
        <v>175</v>
      </c>
      <c r="B30" s="166">
        <v>1</v>
      </c>
      <c r="C30" s="168">
        <v>26.3</v>
      </c>
      <c r="D30" s="167">
        <v>26.3</v>
      </c>
      <c r="E30" s="168"/>
      <c r="F30" s="167">
        <f t="shared" ref="F30:F35" si="4">D30+(D30*10.71%)</f>
        <v>29.11673</v>
      </c>
    </row>
    <row r="31" spans="1:15" x14ac:dyDescent="0.25">
      <c r="A31" s="166" t="s">
        <v>176</v>
      </c>
      <c r="B31" s="166">
        <v>1</v>
      </c>
      <c r="C31" s="168">
        <v>18.79</v>
      </c>
      <c r="D31" s="167">
        <v>18.79</v>
      </c>
      <c r="E31" s="168"/>
      <c r="F31" s="167">
        <f t="shared" si="4"/>
        <v>20.802409000000001</v>
      </c>
    </row>
    <row r="32" spans="1:15" x14ac:dyDescent="0.25">
      <c r="A32" s="166" t="s">
        <v>177</v>
      </c>
      <c r="B32" s="166">
        <v>1</v>
      </c>
      <c r="C32" s="168">
        <v>22.57</v>
      </c>
      <c r="D32" s="167">
        <v>22.57</v>
      </c>
      <c r="E32" s="168"/>
      <c r="F32" s="167">
        <f t="shared" si="4"/>
        <v>24.987247</v>
      </c>
    </row>
    <row r="33" spans="1:6" x14ac:dyDescent="0.25">
      <c r="A33" s="166" t="s">
        <v>185</v>
      </c>
      <c r="B33" s="166">
        <v>1</v>
      </c>
      <c r="C33" s="168">
        <v>132</v>
      </c>
      <c r="D33" s="167">
        <v>132</v>
      </c>
      <c r="E33" s="168"/>
      <c r="F33" s="167">
        <f t="shared" si="4"/>
        <v>146.13720000000001</v>
      </c>
    </row>
    <row r="34" spans="1:6" x14ac:dyDescent="0.25">
      <c r="A34" s="166" t="s">
        <v>178</v>
      </c>
      <c r="B34" s="166">
        <v>1</v>
      </c>
      <c r="C34" s="168">
        <v>66.73</v>
      </c>
      <c r="D34" s="167">
        <v>66.73</v>
      </c>
      <c r="E34" s="168"/>
      <c r="F34" s="167">
        <f t="shared" si="4"/>
        <v>73.876783000000003</v>
      </c>
    </row>
    <row r="35" spans="1:6" ht="15.75" thickBot="1" x14ac:dyDescent="0.3">
      <c r="A35" s="169" t="s">
        <v>179</v>
      </c>
      <c r="B35" s="166">
        <v>2</v>
      </c>
      <c r="C35" s="168">
        <v>901.67</v>
      </c>
      <c r="D35" s="167">
        <v>1803.34</v>
      </c>
      <c r="E35" s="168"/>
      <c r="F35" s="167">
        <f t="shared" si="4"/>
        <v>1996.4777139999999</v>
      </c>
    </row>
    <row r="36" spans="1:6" ht="15.75" thickBot="1" x14ac:dyDescent="0.3">
      <c r="A36" s="562" t="s">
        <v>180</v>
      </c>
      <c r="B36" s="562"/>
      <c r="C36" s="562"/>
      <c r="D36" s="170">
        <v>3359.7299999999996</v>
      </c>
      <c r="E36" s="334"/>
      <c r="F36" s="170">
        <f>SUM(F29:F35)</f>
        <v>3719.5570829999997</v>
      </c>
    </row>
    <row r="37" spans="1:6" ht="15.75" thickBot="1" x14ac:dyDescent="0.3">
      <c r="A37" s="559" t="s">
        <v>181</v>
      </c>
      <c r="B37" s="559"/>
      <c r="C37" s="559"/>
      <c r="D37" s="193">
        <v>55.995499999999993</v>
      </c>
      <c r="E37" s="339"/>
      <c r="F37" s="352">
        <f>(F36*20%)/12</f>
        <v>61.992618049999997</v>
      </c>
    </row>
    <row r="38" spans="1:6" ht="15.75" thickBot="1" x14ac:dyDescent="0.3">
      <c r="A38" s="561" t="s">
        <v>182</v>
      </c>
      <c r="B38" s="561"/>
      <c r="C38" s="561"/>
      <c r="D38" s="171">
        <v>2</v>
      </c>
      <c r="E38" s="340"/>
      <c r="F38" s="353">
        <v>2</v>
      </c>
    </row>
    <row r="39" spans="1:6" ht="15.75" thickBot="1" x14ac:dyDescent="0.3">
      <c r="A39" s="559" t="s">
        <v>183</v>
      </c>
      <c r="B39" s="559"/>
      <c r="C39" s="559"/>
      <c r="D39" s="172">
        <v>27.997749999999996</v>
      </c>
      <c r="E39" s="339"/>
      <c r="F39" s="354">
        <f>F37/2</f>
        <v>30.996309024999999</v>
      </c>
    </row>
  </sheetData>
  <mergeCells count="9">
    <mergeCell ref="A39:C39"/>
    <mergeCell ref="A36:C36"/>
    <mergeCell ref="A37:C37"/>
    <mergeCell ref="A1:G1"/>
    <mergeCell ref="A3:G3"/>
    <mergeCell ref="A10:G10"/>
    <mergeCell ref="A16:G16"/>
    <mergeCell ref="A18:C18"/>
    <mergeCell ref="A38:C3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opLeftCell="A61" workbookViewId="0">
      <selection activeCell="C75" sqref="C75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  <c r="D1" s="276"/>
    </row>
    <row r="2" spans="1:8" s="68" customFormat="1" ht="15.75" thickBot="1" x14ac:dyDescent="0.3">
      <c r="A2" s="550" t="s">
        <v>124</v>
      </c>
      <c r="B2" s="551"/>
      <c r="C2" s="552"/>
      <c r="D2" s="276"/>
    </row>
    <row r="3" spans="1:8" ht="15.75" x14ac:dyDescent="0.25">
      <c r="A3" s="548" t="s">
        <v>1</v>
      </c>
      <c r="B3" s="548"/>
      <c r="C3" s="548"/>
      <c r="D3" s="277"/>
      <c r="E3" s="1"/>
      <c r="F3" s="1"/>
      <c r="G3" s="1"/>
      <c r="H3" s="1"/>
    </row>
    <row r="4" spans="1:8" ht="15.75" x14ac:dyDescent="0.25">
      <c r="A4" s="548" t="s">
        <v>125</v>
      </c>
      <c r="B4" s="548"/>
      <c r="C4" s="548"/>
      <c r="D4" s="278"/>
      <c r="E4" s="1"/>
      <c r="F4" s="1"/>
      <c r="G4" s="1"/>
      <c r="H4" s="1"/>
    </row>
    <row r="5" spans="1:8" ht="15.75" thickBot="1" x14ac:dyDescent="0.3">
      <c r="A5" s="540" t="s">
        <v>3</v>
      </c>
      <c r="B5" s="540"/>
      <c r="C5" s="540"/>
      <c r="D5" s="278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78"/>
      <c r="E6" s="1"/>
      <c r="F6" s="1"/>
      <c r="G6" s="1"/>
      <c r="H6" s="1"/>
    </row>
    <row r="7" spans="1:8" x14ac:dyDescent="0.25">
      <c r="A7" s="3" t="s">
        <v>5</v>
      </c>
      <c r="B7" s="4" t="s">
        <v>6</v>
      </c>
      <c r="C7" s="2"/>
      <c r="D7" s="278"/>
      <c r="E7" s="1"/>
      <c r="F7" s="1"/>
      <c r="G7" s="1"/>
      <c r="H7" s="1"/>
    </row>
    <row r="8" spans="1:8" x14ac:dyDescent="0.25">
      <c r="A8" s="543" t="s">
        <v>102</v>
      </c>
      <c r="B8" s="545" t="s">
        <v>8</v>
      </c>
      <c r="C8" s="545"/>
      <c r="D8" s="278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78"/>
      <c r="E9" s="1"/>
      <c r="F9" s="1"/>
      <c r="G9" s="1"/>
      <c r="H9" s="1"/>
    </row>
    <row r="10" spans="1:8" ht="15.75" thickBot="1" x14ac:dyDescent="0.3">
      <c r="A10" s="2"/>
      <c r="B10" s="1"/>
      <c r="C10" s="1"/>
      <c r="D10" s="278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78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5">
        <f>base!E2</f>
        <v>1561</v>
      </c>
      <c r="D12" s="278"/>
      <c r="E12" s="1"/>
      <c r="F12" s="1"/>
      <c r="G12" s="1"/>
      <c r="H12" s="1"/>
    </row>
    <row r="13" spans="1:8" ht="15.75" thickBot="1" x14ac:dyDescent="0.3">
      <c r="A13" s="2"/>
      <c r="B13" s="2"/>
      <c r="C13" s="1"/>
      <c r="D13" s="278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278"/>
      <c r="E14" s="1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279"/>
      <c r="E15" s="1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278"/>
      <c r="E16" s="1"/>
      <c r="F16" s="1"/>
      <c r="G16" s="1"/>
      <c r="H16" s="1"/>
    </row>
    <row r="17" spans="1:8" x14ac:dyDescent="0.25">
      <c r="A17" s="70" t="s">
        <v>227</v>
      </c>
      <c r="B17" s="70"/>
      <c r="C17" s="111">
        <f>SUM(C15:C16)/220*1.5*15.21875</f>
        <v>210.56870028409091</v>
      </c>
      <c r="D17" s="280"/>
      <c r="E17" s="1"/>
      <c r="F17" s="1"/>
      <c r="G17" s="1"/>
      <c r="H17" s="1"/>
    </row>
    <row r="18" spans="1:8" x14ac:dyDescent="0.25">
      <c r="A18" s="75" t="s">
        <v>15</v>
      </c>
      <c r="B18" s="76"/>
      <c r="C18" s="125">
        <v>0</v>
      </c>
      <c r="D18" s="281"/>
      <c r="E18" s="1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278"/>
      <c r="E19" s="1"/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278"/>
      <c r="E20" s="1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42.11374005681818</v>
      </c>
      <c r="D21" s="278"/>
      <c r="E21" s="1"/>
      <c r="F21" s="1"/>
      <c r="G21" s="1"/>
      <c r="H21" s="1"/>
    </row>
    <row r="22" spans="1:8" ht="15.75" thickBot="1" x14ac:dyDescent="0.3">
      <c r="A22" s="14" t="s">
        <v>18</v>
      </c>
      <c r="B22" s="14"/>
      <c r="C22" s="15">
        <f>SUM(C15:C21)</f>
        <v>2349.6257736742423</v>
      </c>
      <c r="D22" s="278"/>
      <c r="E22" s="1"/>
      <c r="F22" s="1"/>
      <c r="G22" s="1"/>
      <c r="H22" s="1"/>
    </row>
    <row r="23" spans="1:8" ht="15.75" thickBot="1" x14ac:dyDescent="0.3">
      <c r="A23" s="2"/>
      <c r="B23" s="2"/>
      <c r="C23" s="1"/>
      <c r="D23" s="278"/>
      <c r="E23" s="1"/>
      <c r="F23" s="1"/>
      <c r="G23" s="1"/>
      <c r="H23" s="1"/>
    </row>
    <row r="24" spans="1:8" x14ac:dyDescent="0.25">
      <c r="A24" s="547" t="s">
        <v>19</v>
      </c>
      <c r="B24" s="547"/>
      <c r="C24" s="547"/>
      <c r="D24" s="278"/>
      <c r="E24" s="1"/>
      <c r="F24" s="1"/>
      <c r="G24" s="1"/>
      <c r="H24" s="1"/>
    </row>
    <row r="25" spans="1:8" x14ac:dyDescent="0.25">
      <c r="A25" s="3" t="s">
        <v>20</v>
      </c>
      <c r="B25" s="2"/>
      <c r="C25" s="16"/>
      <c r="D25" s="278"/>
      <c r="E25" s="1"/>
      <c r="F25" s="1"/>
      <c r="G25" s="1"/>
      <c r="H25" s="1"/>
    </row>
    <row r="26" spans="1:8" x14ac:dyDescent="0.25">
      <c r="A26" s="17" t="s">
        <v>21</v>
      </c>
      <c r="B26" s="18">
        <v>0.2</v>
      </c>
      <c r="C26" s="19">
        <f t="shared" ref="C26:C33" si="0">+C$22*B26</f>
        <v>469.92515473484849</v>
      </c>
      <c r="D26" s="278"/>
      <c r="E26" s="1"/>
      <c r="F26" s="1"/>
      <c r="G26" s="1"/>
      <c r="H26" s="1"/>
    </row>
    <row r="27" spans="1:8" x14ac:dyDescent="0.25">
      <c r="A27" s="20" t="s">
        <v>22</v>
      </c>
      <c r="B27" s="21">
        <v>0.08</v>
      </c>
      <c r="C27" s="243">
        <f t="shared" si="0"/>
        <v>187.97006189393937</v>
      </c>
      <c r="D27" s="278"/>
      <c r="E27" s="1"/>
      <c r="F27" s="1"/>
      <c r="G27" s="1"/>
      <c r="H27" s="1"/>
    </row>
    <row r="28" spans="1:8" x14ac:dyDescent="0.25">
      <c r="A28" s="17" t="s">
        <v>23</v>
      </c>
      <c r="B28" s="18">
        <v>1.4999999999999999E-2</v>
      </c>
      <c r="C28" s="112">
        <f t="shared" si="0"/>
        <v>35.244386605113633</v>
      </c>
      <c r="D28" s="278"/>
      <c r="E28" s="1"/>
      <c r="F28" s="1"/>
      <c r="G28" s="1"/>
      <c r="H28" s="1"/>
    </row>
    <row r="29" spans="1:8" x14ac:dyDescent="0.25">
      <c r="A29" s="20" t="s">
        <v>24</v>
      </c>
      <c r="B29" s="21">
        <v>0.01</v>
      </c>
      <c r="C29" s="243">
        <f t="shared" si="0"/>
        <v>23.496257736742422</v>
      </c>
      <c r="D29" s="278"/>
      <c r="E29" s="1"/>
      <c r="F29" s="1"/>
      <c r="G29" s="1"/>
      <c r="H29" s="1"/>
    </row>
    <row r="30" spans="1:8" x14ac:dyDescent="0.25">
      <c r="A30" s="17" t="s">
        <v>25</v>
      </c>
      <c r="B30" s="18">
        <v>2E-3</v>
      </c>
      <c r="C30" s="112">
        <f t="shared" si="0"/>
        <v>4.699251547348485</v>
      </c>
      <c r="D30" s="278"/>
      <c r="E30" s="1"/>
      <c r="F30" s="1"/>
      <c r="G30" s="1"/>
      <c r="H30" s="1"/>
    </row>
    <row r="31" spans="1:8" x14ac:dyDescent="0.25">
      <c r="A31" s="20" t="s">
        <v>26</v>
      </c>
      <c r="B31" s="21">
        <v>6.0000000000000001E-3</v>
      </c>
      <c r="C31" s="243">
        <f t="shared" si="0"/>
        <v>14.097754642045453</v>
      </c>
      <c r="D31" s="278"/>
      <c r="E31" s="1"/>
      <c r="F31" s="1"/>
      <c r="G31" s="1"/>
      <c r="H31" s="1"/>
    </row>
    <row r="32" spans="1:8" x14ac:dyDescent="0.25">
      <c r="A32" s="17" t="s">
        <v>27</v>
      </c>
      <c r="B32" s="18">
        <v>2.5000000000000001E-2</v>
      </c>
      <c r="C32" s="112">
        <f t="shared" si="0"/>
        <v>58.740644341856061</v>
      </c>
      <c r="D32" s="278"/>
      <c r="E32" s="1"/>
      <c r="F32" s="1"/>
      <c r="G32" s="1"/>
      <c r="H32" s="1"/>
    </row>
    <row r="33" spans="1:8" x14ac:dyDescent="0.25">
      <c r="A33" s="20" t="s">
        <v>28</v>
      </c>
      <c r="B33" s="236">
        <f>base!E26</f>
        <v>3.2300000000000002E-2</v>
      </c>
      <c r="C33" s="243">
        <f t="shared" si="0"/>
        <v>75.892912489678025</v>
      </c>
      <c r="D33" s="278"/>
      <c r="E33" s="1"/>
      <c r="F33" s="1"/>
      <c r="G33" s="1"/>
      <c r="H33" s="1"/>
    </row>
    <row r="34" spans="1:8" x14ac:dyDescent="0.25">
      <c r="A34" s="23" t="s">
        <v>29</v>
      </c>
      <c r="B34" s="24">
        <f>SUM(B26:B33)</f>
        <v>0.37030000000000007</v>
      </c>
      <c r="C34" s="25">
        <f>SUM(C26:C33)</f>
        <v>870.06642399157192</v>
      </c>
      <c r="D34" s="278">
        <f>+C22*B34</f>
        <v>870.06642399157204</v>
      </c>
      <c r="E34" s="1"/>
      <c r="F34" s="1"/>
      <c r="G34" s="1"/>
      <c r="H34" s="1"/>
    </row>
    <row r="35" spans="1:8" x14ac:dyDescent="0.25">
      <c r="A35" s="2"/>
      <c r="B35" s="2"/>
      <c r="C35" s="1"/>
      <c r="D35" s="278"/>
      <c r="E35" s="1"/>
      <c r="F35" s="1"/>
      <c r="G35" s="1"/>
      <c r="H35" s="1"/>
    </row>
    <row r="36" spans="1:8" x14ac:dyDescent="0.25">
      <c r="A36" s="23" t="s">
        <v>30</v>
      </c>
      <c r="B36" s="23"/>
      <c r="C36" s="26"/>
      <c r="D36" s="278"/>
      <c r="E36" s="1"/>
      <c r="F36" s="1"/>
      <c r="G36" s="1"/>
      <c r="H36" s="1"/>
    </row>
    <row r="37" spans="1:8" x14ac:dyDescent="0.25">
      <c r="A37" s="20" t="s">
        <v>31</v>
      </c>
      <c r="B37" s="21">
        <f>(1/12)</f>
        <v>8.3333333333333329E-2</v>
      </c>
      <c r="C37" s="243">
        <f t="shared" ref="C37:C44" si="1">+C$22*B37</f>
        <v>195.80214780618684</v>
      </c>
      <c r="D37" s="278"/>
      <c r="E37" s="1"/>
      <c r="F37" s="1"/>
      <c r="G37" s="1"/>
      <c r="H37" s="1"/>
    </row>
    <row r="38" spans="1:8" x14ac:dyDescent="0.25">
      <c r="A38" s="17" t="s">
        <v>32</v>
      </c>
      <c r="B38" s="18">
        <f>((1+1/3)/12)</f>
        <v>0.1111111111111111</v>
      </c>
      <c r="C38" s="112">
        <f t="shared" si="1"/>
        <v>261.06953040824914</v>
      </c>
      <c r="D38" s="278"/>
      <c r="E38" s="1"/>
      <c r="F38" s="1"/>
      <c r="G38" s="1"/>
      <c r="H38" s="1"/>
    </row>
    <row r="39" spans="1:8" x14ac:dyDescent="0.25">
      <c r="A39" s="20" t="s">
        <v>33</v>
      </c>
      <c r="B39" s="21">
        <f>((7/30)/12)</f>
        <v>1.9444444444444445E-2</v>
      </c>
      <c r="C39" s="243">
        <f t="shared" si="1"/>
        <v>45.687167821443602</v>
      </c>
      <c r="D39" s="278"/>
      <c r="E39" s="1"/>
      <c r="F39" s="1"/>
      <c r="G39" s="1"/>
      <c r="H39" s="1"/>
    </row>
    <row r="40" spans="1:8" x14ac:dyDescent="0.25">
      <c r="A40" s="17" t="s">
        <v>34</v>
      </c>
      <c r="B40" s="18">
        <f>((5/30)/12)</f>
        <v>1.3888888888888888E-2</v>
      </c>
      <c r="C40" s="112">
        <f t="shared" si="1"/>
        <v>32.633691301031142</v>
      </c>
      <c r="D40" s="278"/>
      <c r="E40" s="1"/>
      <c r="F40" s="1"/>
      <c r="G40" s="1"/>
      <c r="H40" s="1"/>
    </row>
    <row r="41" spans="1:8" x14ac:dyDescent="0.25">
      <c r="A41" s="20" t="s">
        <v>35</v>
      </c>
      <c r="B41" s="21">
        <f>(((15/30)/12)*0.05)</f>
        <v>2.0833333333333333E-3</v>
      </c>
      <c r="C41" s="243">
        <f t="shared" si="1"/>
        <v>4.8950536951546715</v>
      </c>
      <c r="D41" s="278"/>
      <c r="E41" s="1"/>
      <c r="F41" s="1"/>
      <c r="G41" s="1"/>
      <c r="H41" s="1"/>
    </row>
    <row r="42" spans="1:8" x14ac:dyDescent="0.25">
      <c r="A42" s="17" t="s">
        <v>36</v>
      </c>
      <c r="B42" s="18">
        <f>((2/30)/12)</f>
        <v>5.5555555555555558E-3</v>
      </c>
      <c r="C42" s="112">
        <f t="shared" si="1"/>
        <v>13.053476520412458</v>
      </c>
      <c r="D42" s="278"/>
      <c r="E42" s="1"/>
      <c r="F42" s="1"/>
      <c r="G42" s="1"/>
      <c r="H42" s="1"/>
    </row>
    <row r="43" spans="1:8" x14ac:dyDescent="0.25">
      <c r="A43" s="20" t="s">
        <v>37</v>
      </c>
      <c r="B43" s="21">
        <f>(0.1111*0.02*0.333)</f>
        <v>7.3992600000000002E-4</v>
      </c>
      <c r="C43" s="243">
        <f t="shared" si="1"/>
        <v>1.7385492002116874</v>
      </c>
      <c r="D43" s="278"/>
      <c r="E43" s="1"/>
      <c r="F43" s="1"/>
      <c r="G43" s="1"/>
      <c r="H43" s="1"/>
    </row>
    <row r="44" spans="1:8" x14ac:dyDescent="0.25">
      <c r="A44" s="17" t="s">
        <v>38</v>
      </c>
      <c r="B44" s="18">
        <f>((5/30)/12)*0.015</f>
        <v>2.0833333333333332E-4</v>
      </c>
      <c r="C44" s="112">
        <f t="shared" si="1"/>
        <v>0.48950536951546714</v>
      </c>
      <c r="D44" s="278"/>
      <c r="E44" s="1"/>
      <c r="F44" s="1"/>
      <c r="G44" s="1"/>
      <c r="H44" s="1"/>
    </row>
    <row r="45" spans="1:8" x14ac:dyDescent="0.25">
      <c r="A45" s="2" t="s">
        <v>17</v>
      </c>
      <c r="B45" s="2"/>
      <c r="C45" s="1"/>
      <c r="D45" s="278"/>
      <c r="E45" s="1"/>
      <c r="F45" s="1"/>
      <c r="G45" s="1"/>
      <c r="H45" s="1"/>
    </row>
    <row r="46" spans="1:8" x14ac:dyDescent="0.25">
      <c r="A46" s="23" t="s">
        <v>39</v>
      </c>
      <c r="B46" s="24">
        <f>SUM(B37:B44)</f>
        <v>0.23636492599999998</v>
      </c>
      <c r="C46" s="25">
        <f>SUM(C37:C44)</f>
        <v>555.36912212220489</v>
      </c>
      <c r="D46" s="278">
        <f>+B46*C22</f>
        <v>555.369122122205</v>
      </c>
      <c r="E46" s="1"/>
      <c r="F46" s="1"/>
      <c r="G46" s="1"/>
      <c r="H46" s="1"/>
    </row>
    <row r="47" spans="1:8" x14ac:dyDescent="0.25">
      <c r="A47" s="2"/>
      <c r="B47" s="2"/>
      <c r="C47" s="1"/>
      <c r="D47" s="278"/>
      <c r="E47" s="1"/>
      <c r="F47" s="1"/>
      <c r="G47" s="1"/>
      <c r="H47" s="1"/>
    </row>
    <row r="48" spans="1:8" x14ac:dyDescent="0.25">
      <c r="A48" s="23" t="s">
        <v>40</v>
      </c>
      <c r="B48" s="23"/>
      <c r="C48" s="26"/>
      <c r="D48" s="278"/>
      <c r="E48" s="1"/>
      <c r="F48" s="1"/>
      <c r="G48" s="1"/>
      <c r="H48" s="1"/>
    </row>
    <row r="49" spans="1:8" x14ac:dyDescent="0.25">
      <c r="A49" s="20" t="s">
        <v>41</v>
      </c>
      <c r="B49" s="21">
        <f>(0.16*(1/12))</f>
        <v>1.3333333333333332E-2</v>
      </c>
      <c r="C49" s="243">
        <f>+C$22*B49</f>
        <v>31.328343648989897</v>
      </c>
      <c r="D49" s="278"/>
      <c r="E49" s="1"/>
      <c r="F49" s="1"/>
      <c r="G49" s="1"/>
      <c r="H49" s="1"/>
    </row>
    <row r="50" spans="1:8" x14ac:dyDescent="0.25">
      <c r="A50" s="17" t="s">
        <v>42</v>
      </c>
      <c r="B50" s="18">
        <f>(0.02*(1/12))</f>
        <v>1.6666666666666666E-3</v>
      </c>
      <c r="C50" s="112">
        <f>+C$22*B50</f>
        <v>3.9160429561237371</v>
      </c>
      <c r="D50" s="278"/>
      <c r="E50" s="1"/>
      <c r="F50" s="1"/>
      <c r="G50" s="1"/>
      <c r="H50" s="1"/>
    </row>
    <row r="51" spans="1:8" ht="30" x14ac:dyDescent="0.25">
      <c r="A51" s="20" t="s">
        <v>43</v>
      </c>
      <c r="B51" s="21">
        <f>(1*0.4*0.08)</f>
        <v>3.2000000000000001E-2</v>
      </c>
      <c r="C51" s="243">
        <f>+C$22*B51</f>
        <v>75.188024757575761</v>
      </c>
      <c r="D51" s="278"/>
      <c r="E51" s="1"/>
      <c r="F51" s="1"/>
      <c r="G51" s="1"/>
      <c r="H51" s="1"/>
    </row>
    <row r="52" spans="1:8" ht="30" x14ac:dyDescent="0.25">
      <c r="A52" s="17" t="s">
        <v>44</v>
      </c>
      <c r="B52" s="18">
        <f>(1*0.1*0.08)</f>
        <v>8.0000000000000002E-3</v>
      </c>
      <c r="C52" s="112">
        <f>+C$22*B52</f>
        <v>18.79700618939394</v>
      </c>
      <c r="D52" s="278"/>
      <c r="E52" s="1"/>
      <c r="F52" s="1"/>
      <c r="G52" s="1"/>
      <c r="H52" s="1"/>
    </row>
    <row r="53" spans="1:8" x14ac:dyDescent="0.25">
      <c r="A53" s="3" t="s">
        <v>45</v>
      </c>
      <c r="B53" s="27">
        <f>SUM(B49:B52)</f>
        <v>5.5E-2</v>
      </c>
      <c r="C53" s="28">
        <f>SUM(C49:C52)</f>
        <v>129.22941755208333</v>
      </c>
      <c r="D53" s="278">
        <f>+B53*C22</f>
        <v>129.22941755208333</v>
      </c>
      <c r="E53" s="1"/>
      <c r="F53" s="1"/>
      <c r="G53" s="1"/>
      <c r="H53" s="1"/>
    </row>
    <row r="54" spans="1:8" x14ac:dyDescent="0.25">
      <c r="A54" s="2"/>
      <c r="B54" s="2"/>
      <c r="C54" s="1"/>
      <c r="D54" s="278"/>
      <c r="E54" s="1"/>
      <c r="F54" s="1"/>
      <c r="G54" s="1"/>
      <c r="H54" s="1"/>
    </row>
    <row r="55" spans="1:8" x14ac:dyDescent="0.25">
      <c r="A55" s="23" t="s">
        <v>46</v>
      </c>
      <c r="B55" s="23"/>
      <c r="C55" s="26"/>
      <c r="D55" s="278"/>
      <c r="E55" s="1"/>
      <c r="F55" s="1"/>
      <c r="G55" s="1"/>
      <c r="H55" s="1"/>
    </row>
    <row r="56" spans="1:8" ht="30" x14ac:dyDescent="0.25">
      <c r="A56" s="20" t="s">
        <v>47</v>
      </c>
      <c r="B56" s="21">
        <f>B34*B46</f>
        <v>8.7525932097800005E-2</v>
      </c>
      <c r="C56" s="243">
        <f>+C$22*B56</f>
        <v>205.65318592185253</v>
      </c>
      <c r="D56" s="278"/>
      <c r="E56" s="1"/>
      <c r="F56" s="1"/>
      <c r="G56" s="1"/>
      <c r="H56" s="1"/>
    </row>
    <row r="57" spans="1:8" x14ac:dyDescent="0.25">
      <c r="A57" s="23" t="s">
        <v>48</v>
      </c>
      <c r="B57" s="24">
        <f>B56</f>
        <v>8.7525932097800005E-2</v>
      </c>
      <c r="C57" s="29">
        <f>SUM(C56)</f>
        <v>205.65318592185253</v>
      </c>
      <c r="D57" s="278">
        <f>+B57*C22</f>
        <v>205.65318592185253</v>
      </c>
      <c r="E57" s="1"/>
      <c r="F57" s="1"/>
      <c r="G57" s="1"/>
      <c r="H57" s="1"/>
    </row>
    <row r="58" spans="1:8" x14ac:dyDescent="0.25">
      <c r="A58" s="2"/>
      <c r="B58" s="2"/>
      <c r="C58" s="1"/>
      <c r="D58" s="278"/>
      <c r="E58" s="1"/>
      <c r="F58" s="1"/>
      <c r="G58" s="1"/>
      <c r="H58" s="1"/>
    </row>
    <row r="59" spans="1:8" x14ac:dyDescent="0.25">
      <c r="A59" s="23" t="s">
        <v>49</v>
      </c>
      <c r="B59" s="23"/>
      <c r="C59" s="9"/>
      <c r="D59" s="278"/>
      <c r="E59" s="1"/>
      <c r="F59" s="1"/>
      <c r="G59" s="1"/>
      <c r="H59" s="1"/>
    </row>
    <row r="60" spans="1:8" ht="30" x14ac:dyDescent="0.25">
      <c r="A60" s="30" t="s">
        <v>50</v>
      </c>
      <c r="B60" s="21">
        <f>(B27*B49)</f>
        <v>1.0666666666666667E-3</v>
      </c>
      <c r="C60" s="243">
        <f>+C$22*B60</f>
        <v>2.5062674919191918</v>
      </c>
      <c r="D60" s="278"/>
      <c r="E60" s="1"/>
      <c r="F60" s="1"/>
      <c r="G60" s="1"/>
      <c r="H60" s="1"/>
    </row>
    <row r="61" spans="1:8" ht="45" x14ac:dyDescent="0.25">
      <c r="A61" s="31" t="s">
        <v>51</v>
      </c>
      <c r="B61" s="62">
        <f>(B27*B41)</f>
        <v>1.6666666666666666E-4</v>
      </c>
      <c r="C61" s="112">
        <f>+C$22*B61</f>
        <v>0.3916042956123737</v>
      </c>
      <c r="D61" s="278"/>
      <c r="E61" s="1"/>
      <c r="F61" s="1"/>
      <c r="G61" s="1"/>
      <c r="H61" s="1"/>
    </row>
    <row r="62" spans="1:8" x14ac:dyDescent="0.25">
      <c r="A62" s="3" t="s">
        <v>52</v>
      </c>
      <c r="B62" s="27">
        <f>SUM(B60:B61)</f>
        <v>1.2333333333333335E-3</v>
      </c>
      <c r="C62" s="28">
        <f>SUM(C60:C61)</f>
        <v>2.8978717875315656</v>
      </c>
      <c r="D62" s="278">
        <f>+B62*C22</f>
        <v>2.8978717875315656</v>
      </c>
      <c r="E62" s="1"/>
      <c r="F62" s="1"/>
      <c r="G62" s="1"/>
      <c r="H62" s="1"/>
    </row>
    <row r="63" spans="1:8" x14ac:dyDescent="0.25">
      <c r="A63" s="2"/>
      <c r="B63" s="2"/>
      <c r="C63" s="1"/>
      <c r="D63" s="278"/>
      <c r="E63" s="1"/>
      <c r="F63" s="1"/>
      <c r="G63" s="1"/>
      <c r="H63" s="1"/>
    </row>
    <row r="64" spans="1:8" x14ac:dyDescent="0.25">
      <c r="A64" s="23" t="s">
        <v>53</v>
      </c>
      <c r="B64" s="23"/>
      <c r="C64" s="26"/>
      <c r="D64" s="278"/>
      <c r="E64" s="1"/>
      <c r="F64" s="1"/>
      <c r="G64" s="1"/>
      <c r="H64" s="1"/>
    </row>
    <row r="65" spans="1:8" ht="45" x14ac:dyDescent="0.25">
      <c r="A65" s="20" t="s">
        <v>54</v>
      </c>
      <c r="B65" s="21">
        <f>(B34)*(13/12)*(4/12)*0.02</f>
        <v>2.6743888888888889E-3</v>
      </c>
      <c r="C65" s="243">
        <f>+C$22*B65</f>
        <v>6.2838130621613528</v>
      </c>
      <c r="D65" s="278"/>
      <c r="E65" s="1"/>
      <c r="F65" s="1"/>
      <c r="G65" s="1"/>
      <c r="H65" s="1"/>
    </row>
    <row r="66" spans="1:8" ht="15.75" thickBot="1" x14ac:dyDescent="0.3">
      <c r="A66" s="14" t="s">
        <v>55</v>
      </c>
      <c r="B66" s="32">
        <f>B65</f>
        <v>2.6743888888888889E-3</v>
      </c>
      <c r="C66" s="33">
        <f>C65</f>
        <v>6.2838130621613528</v>
      </c>
      <c r="D66" s="278">
        <f>+B66*C22</f>
        <v>6.2838130621613528</v>
      </c>
      <c r="E66" s="1"/>
      <c r="F66" s="1"/>
      <c r="G66" s="1"/>
      <c r="H66" s="1"/>
    </row>
    <row r="67" spans="1:8" ht="15.75" thickBot="1" x14ac:dyDescent="0.3">
      <c r="A67" s="2"/>
      <c r="B67" s="1"/>
      <c r="C67" s="34"/>
      <c r="D67" s="278"/>
      <c r="E67" s="1"/>
      <c r="F67" s="1"/>
      <c r="G67" s="1"/>
      <c r="H67" s="1"/>
    </row>
    <row r="68" spans="1:8" ht="15.75" thickBot="1" x14ac:dyDescent="0.3">
      <c r="A68" s="52" t="s">
        <v>56</v>
      </c>
      <c r="B68" s="35">
        <f>B66+B62+B57+B53+B46+B34</f>
        <v>0.7530985803200223</v>
      </c>
      <c r="C68" s="15">
        <f>C66+C62+C57+C53+C46+C34</f>
        <v>1769.4998344374058</v>
      </c>
      <c r="D68" s="278">
        <f>+B68*C22</f>
        <v>1769.499834437406</v>
      </c>
      <c r="E68" s="1"/>
      <c r="F68" s="1"/>
      <c r="G68" s="1"/>
      <c r="H68" s="1"/>
    </row>
    <row r="69" spans="1:8" ht="15.75" thickBot="1" x14ac:dyDescent="0.3">
      <c r="A69" s="2"/>
      <c r="B69" s="2"/>
      <c r="C69" s="36"/>
      <c r="D69" s="2"/>
      <c r="E69" s="1"/>
      <c r="F69" s="1"/>
      <c r="G69" s="1"/>
      <c r="H69" s="1"/>
    </row>
    <row r="70" spans="1:8" ht="15.75" thickBot="1" x14ac:dyDescent="0.3">
      <c r="A70" s="541" t="s">
        <v>57</v>
      </c>
      <c r="B70" s="541"/>
      <c r="C70" s="15">
        <f>C68+C22</f>
        <v>4119.125608111648</v>
      </c>
      <c r="D70" s="2"/>
      <c r="E70" s="1"/>
      <c r="F70" s="1"/>
      <c r="G70" s="1"/>
      <c r="H70" s="1"/>
    </row>
    <row r="71" spans="1:8" ht="15.75" thickBot="1" x14ac:dyDescent="0.3">
      <c r="A71" s="2"/>
      <c r="B71" s="2"/>
      <c r="C71" s="34"/>
      <c r="D71" s="2"/>
      <c r="E71" s="1"/>
      <c r="F71" s="1"/>
      <c r="G71" s="1"/>
      <c r="H71" s="1"/>
    </row>
    <row r="72" spans="1:8" ht="15.75" customHeight="1" x14ac:dyDescent="0.25">
      <c r="A72" s="37" t="s">
        <v>58</v>
      </c>
      <c r="B72" s="37"/>
      <c r="C72" s="26"/>
      <c r="D72" s="2"/>
      <c r="E72" s="1"/>
      <c r="F72" s="1"/>
      <c r="G72" s="1"/>
      <c r="H72" s="1"/>
    </row>
    <row r="73" spans="1:8" x14ac:dyDescent="0.25">
      <c r="A73" s="10" t="s">
        <v>59</v>
      </c>
      <c r="B73" s="1"/>
      <c r="C73" s="299">
        <f>Uniforme!F28</f>
        <v>107.61381033333335</v>
      </c>
      <c r="D73" s="2"/>
      <c r="E73" s="1"/>
      <c r="F73" s="1"/>
      <c r="G73" s="1"/>
      <c r="H73" s="1"/>
    </row>
    <row r="74" spans="1:8" x14ac:dyDescent="0.25">
      <c r="A74" s="17" t="s">
        <v>60</v>
      </c>
      <c r="B74" s="230">
        <v>15.2188</v>
      </c>
      <c r="C74" s="300">
        <f>base!E6</f>
        <v>304.81692800000002</v>
      </c>
      <c r="D74" s="2"/>
      <c r="E74" s="1"/>
      <c r="F74" s="1"/>
      <c r="G74" s="1"/>
      <c r="H74" s="1"/>
    </row>
    <row r="75" spans="1:8" x14ac:dyDescent="0.25">
      <c r="A75" s="10" t="s">
        <v>61</v>
      </c>
      <c r="B75" s="69"/>
      <c r="C75" s="301">
        <f>(3.7*2*B74)-C15*6%</f>
        <v>18.959120000000013</v>
      </c>
      <c r="D75" s="2"/>
      <c r="E75" s="1"/>
      <c r="F75" s="1"/>
      <c r="G75" s="1"/>
      <c r="H75" s="1"/>
    </row>
    <row r="76" spans="1:8" x14ac:dyDescent="0.25">
      <c r="A76" s="10" t="s">
        <v>62</v>
      </c>
      <c r="B76" s="1"/>
      <c r="C76" s="299">
        <f>'depreciação de equipamento'!F11</f>
        <v>29.778499024999999</v>
      </c>
      <c r="D76" s="2"/>
      <c r="E76" s="1"/>
      <c r="F76" s="1"/>
      <c r="G76" s="1"/>
      <c r="H76" s="1"/>
    </row>
    <row r="77" spans="1:8" x14ac:dyDescent="0.25">
      <c r="A77" s="17" t="s">
        <v>63</v>
      </c>
      <c r="B77" s="17"/>
      <c r="C77" s="302"/>
      <c r="D77" s="2"/>
      <c r="E77" s="1"/>
      <c r="F77" s="1"/>
      <c r="G77" s="1"/>
      <c r="H77" s="1"/>
    </row>
    <row r="78" spans="1:8" x14ac:dyDescent="0.25">
      <c r="A78" s="10" t="s">
        <v>64</v>
      </c>
      <c r="B78" s="1"/>
      <c r="C78" s="299">
        <f>'depreciação de equipamento'!F13</f>
        <v>10.827437999999999</v>
      </c>
      <c r="D78" s="2"/>
      <c r="E78" s="1"/>
      <c r="F78" s="1"/>
      <c r="G78" s="1"/>
      <c r="H78" s="1"/>
    </row>
    <row r="79" spans="1:8" ht="15.75" thickBot="1" x14ac:dyDescent="0.3">
      <c r="A79" s="79" t="s">
        <v>217</v>
      </c>
      <c r="B79" s="69"/>
      <c r="C79" s="303">
        <f>base!F22</f>
        <v>151.38999999999999</v>
      </c>
      <c r="D79" s="2"/>
      <c r="E79" s="1"/>
      <c r="F79" s="1"/>
      <c r="G79" s="1"/>
      <c r="H79" s="1"/>
    </row>
    <row r="80" spans="1:8" ht="15.75" thickBot="1" x14ac:dyDescent="0.3">
      <c r="A80" s="38" t="s">
        <v>65</v>
      </c>
      <c r="B80" s="39"/>
      <c r="C80" s="208">
        <f>SUM(C73:C79)</f>
        <v>623.38579535833333</v>
      </c>
      <c r="D80" s="2"/>
      <c r="E80" s="1"/>
      <c r="F80" s="1"/>
      <c r="G80" s="1"/>
      <c r="H80" s="1"/>
    </row>
    <row r="81" spans="1:8" ht="15.75" thickBot="1" x14ac:dyDescent="0.3">
      <c r="A81" s="10"/>
      <c r="B81" s="1"/>
      <c r="C81" s="12"/>
      <c r="D81" s="2"/>
      <c r="E81" s="1"/>
      <c r="F81" s="1"/>
      <c r="G81" s="1"/>
      <c r="H81" s="1"/>
    </row>
    <row r="82" spans="1:8" ht="15.75" thickBot="1" x14ac:dyDescent="0.3">
      <c r="A82" s="38" t="s">
        <v>66</v>
      </c>
      <c r="B82" s="64">
        <v>0</v>
      </c>
      <c r="C82" s="65">
        <f>B82*30.42</f>
        <v>0</v>
      </c>
      <c r="D82" s="2"/>
      <c r="E82" s="1"/>
      <c r="F82" s="1"/>
      <c r="G82" s="1"/>
      <c r="H82" s="1"/>
    </row>
    <row r="83" spans="1:8" ht="15.75" thickBot="1" x14ac:dyDescent="0.3">
      <c r="A83" s="10"/>
      <c r="B83" s="1"/>
      <c r="C83" s="12"/>
      <c r="D83" s="2"/>
      <c r="E83" s="1"/>
      <c r="F83" s="1"/>
      <c r="G83" s="1"/>
      <c r="H83" s="1"/>
    </row>
    <row r="84" spans="1:8" ht="15.75" thickBot="1" x14ac:dyDescent="0.3">
      <c r="A84" s="541" t="s">
        <v>67</v>
      </c>
      <c r="B84" s="541"/>
      <c r="C84" s="42">
        <f>C80+C68+C22+C82</f>
        <v>4742.5114034699818</v>
      </c>
      <c r="D84" s="2"/>
      <c r="E84" s="1"/>
      <c r="F84" s="1"/>
      <c r="G84" s="1"/>
      <c r="H84" s="1"/>
    </row>
    <row r="85" spans="1:8" ht="15.75" thickBot="1" x14ac:dyDescent="0.3">
      <c r="A85" s="2"/>
      <c r="B85" s="2"/>
      <c r="C85" s="34"/>
      <c r="D85" s="2"/>
      <c r="E85" s="1"/>
      <c r="F85" s="1"/>
      <c r="G85" s="1"/>
      <c r="H85" s="1"/>
    </row>
    <row r="86" spans="1:8" ht="15.75" customHeight="1" x14ac:dyDescent="0.25">
      <c r="A86" s="37" t="s">
        <v>68</v>
      </c>
      <c r="B86" s="43"/>
      <c r="C86" s="26"/>
      <c r="D86" s="2"/>
      <c r="E86" s="1"/>
      <c r="F86" s="1"/>
      <c r="G86" s="1"/>
      <c r="H86" s="1"/>
    </row>
    <row r="87" spans="1:8" ht="15.75" customHeight="1" x14ac:dyDescent="0.25">
      <c r="A87" s="20" t="s">
        <v>69</v>
      </c>
      <c r="B87" s="69"/>
      <c r="C87" s="87">
        <f>base!$E$13</f>
        <v>7.0000000000000007E-2</v>
      </c>
      <c r="D87" s="2"/>
      <c r="E87" s="1"/>
      <c r="F87" s="1"/>
      <c r="G87" s="1"/>
      <c r="H87" s="1"/>
    </row>
    <row r="88" spans="1:8" x14ac:dyDescent="0.25">
      <c r="A88" s="17" t="s">
        <v>70</v>
      </c>
      <c r="B88" s="78"/>
      <c r="C88" s="237">
        <f>base!$E$14</f>
        <v>6.9295020999999998E-2</v>
      </c>
      <c r="D88" s="2"/>
      <c r="E88" s="1"/>
      <c r="F88" s="1"/>
      <c r="G88" s="1"/>
      <c r="H88" s="1"/>
    </row>
    <row r="89" spans="1:8" x14ac:dyDescent="0.25">
      <c r="A89" s="20" t="s">
        <v>71</v>
      </c>
      <c r="B89" s="70"/>
      <c r="C89" s="106">
        <f>+iss!D5</f>
        <v>2.5000000000000001E-2</v>
      </c>
      <c r="D89" s="2"/>
      <c r="E89" s="1"/>
      <c r="F89" s="1"/>
      <c r="G89" s="1"/>
      <c r="H89" s="1"/>
    </row>
    <row r="90" spans="1:8" x14ac:dyDescent="0.25">
      <c r="A90" s="17" t="s">
        <v>72</v>
      </c>
      <c r="B90" s="107"/>
      <c r="C90" s="108">
        <v>0.03</v>
      </c>
      <c r="D90" s="2"/>
      <c r="E90" s="1"/>
      <c r="F90" s="1"/>
      <c r="G90" s="1"/>
      <c r="H90" s="1"/>
    </row>
    <row r="91" spans="1:8" ht="15.75" thickBot="1" x14ac:dyDescent="0.3">
      <c r="A91" s="20" t="s">
        <v>73</v>
      </c>
      <c r="B91" s="70"/>
      <c r="C91" s="106">
        <v>6.4999999999999997E-3</v>
      </c>
      <c r="D91" s="2"/>
      <c r="E91" s="1"/>
      <c r="F91" s="1"/>
      <c r="G91" s="1"/>
      <c r="H91" s="1"/>
    </row>
    <row r="92" spans="1:8" ht="15.75" thickBot="1" x14ac:dyDescent="0.3">
      <c r="A92" s="52" t="s">
        <v>74</v>
      </c>
      <c r="B92" s="47"/>
      <c r="C92" s="35">
        <f>SUM(C87:C91)</f>
        <v>0.20079502100000002</v>
      </c>
      <c r="D92" s="2"/>
      <c r="E92" s="1"/>
      <c r="F92" s="1"/>
      <c r="G92" s="1"/>
      <c r="H92" s="1"/>
    </row>
    <row r="93" spans="1:8" ht="15.75" thickBot="1" x14ac:dyDescent="0.3">
      <c r="A93" s="244"/>
      <c r="B93" s="239">
        <f>+C92*100</f>
        <v>20.079502100000003</v>
      </c>
      <c r="C93" s="240">
        <f>100-B93</f>
        <v>79.920497900000001</v>
      </c>
      <c r="D93" s="2"/>
      <c r="E93" s="1"/>
      <c r="F93" s="1"/>
      <c r="G93" s="1"/>
      <c r="H93" s="1"/>
    </row>
    <row r="94" spans="1:8" ht="15.75" thickBot="1" x14ac:dyDescent="0.3">
      <c r="A94" s="225" t="s">
        <v>75</v>
      </c>
      <c r="B94" s="82"/>
      <c r="C94" s="234">
        <f>SUM(C84*B93/C93)</f>
        <v>1191.5249552674454</v>
      </c>
      <c r="D94" s="2"/>
      <c r="E94" s="1"/>
      <c r="F94" s="1"/>
      <c r="G94" s="1"/>
      <c r="H94" s="1"/>
    </row>
    <row r="95" spans="1:8" ht="15.75" thickBot="1" x14ac:dyDescent="0.3">
      <c r="A95" s="539"/>
      <c r="B95" s="539"/>
      <c r="C95" s="34"/>
      <c r="D95" s="2"/>
      <c r="E95" s="1"/>
      <c r="F95" s="1"/>
      <c r="G95" s="1"/>
      <c r="H95" s="1"/>
    </row>
    <row r="96" spans="1:8" ht="15.75" thickBot="1" x14ac:dyDescent="0.3">
      <c r="A96" s="14" t="s">
        <v>76</v>
      </c>
      <c r="B96" s="14"/>
      <c r="C96" s="15">
        <f>C84+C94</f>
        <v>5934.0363587374268</v>
      </c>
      <c r="D96" s="2"/>
      <c r="E96" s="1"/>
      <c r="F96" s="1"/>
      <c r="G96" s="1"/>
      <c r="H96" s="1"/>
    </row>
    <row r="97" spans="1:8" ht="15.75" thickBot="1" x14ac:dyDescent="0.3">
      <c r="A97" s="48"/>
      <c r="B97" s="48"/>
      <c r="C97" s="49"/>
      <c r="D97" s="2"/>
      <c r="E97" s="1"/>
      <c r="F97" s="1"/>
      <c r="G97" s="1"/>
      <c r="H97" s="1"/>
    </row>
    <row r="98" spans="1:8" ht="15.75" thickBot="1" x14ac:dyDescent="0.3">
      <c r="A98" s="82" t="s">
        <v>121</v>
      </c>
      <c r="B98" s="14"/>
      <c r="C98" s="15">
        <f>ROUND(C96*2,2)</f>
        <v>11868.07</v>
      </c>
      <c r="D98" s="2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C100" s="212"/>
    </row>
  </sheetData>
  <mergeCells count="16">
    <mergeCell ref="A2:C2"/>
    <mergeCell ref="A4:C4"/>
    <mergeCell ref="A5:C5"/>
    <mergeCell ref="A6:C6"/>
    <mergeCell ref="A95:B95"/>
    <mergeCell ref="A3:C3"/>
    <mergeCell ref="A8:A9"/>
    <mergeCell ref="B8:B9"/>
    <mergeCell ref="C8:C9"/>
    <mergeCell ref="A11:C11"/>
    <mergeCell ref="A12:B12"/>
    <mergeCell ref="A14:C14"/>
    <mergeCell ref="A15:B15"/>
    <mergeCell ref="A24:C24"/>
    <mergeCell ref="A70:B70"/>
    <mergeCell ref="A84:B84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topLeftCell="A55" workbookViewId="0">
      <selection activeCell="C76" sqref="C76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5" width="12" customWidth="1"/>
    <col min="6" max="6" width="16.140625" customWidth="1"/>
    <col min="7" max="7" width="15.42578125" customWidth="1"/>
    <col min="8" max="8" width="14.5703125" customWidth="1"/>
  </cols>
  <sheetData>
    <row r="1" spans="1:18" s="68" customFormat="1" ht="15.75" thickBot="1" x14ac:dyDescent="0.3">
      <c r="A1" s="132" t="s">
        <v>78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s="68" customFormat="1" ht="15.75" thickBot="1" x14ac:dyDescent="0.3">
      <c r="A2" s="550" t="s">
        <v>124</v>
      </c>
      <c r="B2" s="551"/>
      <c r="C2" s="552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15.75" x14ac:dyDescent="0.25">
      <c r="A3" s="548" t="s">
        <v>1</v>
      </c>
      <c r="B3" s="548"/>
      <c r="C3" s="548"/>
      <c r="D3" s="277"/>
      <c r="E3" s="277"/>
      <c r="F3" s="277"/>
      <c r="G3" s="277"/>
      <c r="H3" s="277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ht="15.75" x14ac:dyDescent="0.25">
      <c r="A4" s="548" t="s">
        <v>123</v>
      </c>
      <c r="B4" s="548"/>
      <c r="C4" s="548"/>
      <c r="D4" s="278"/>
      <c r="E4" s="277"/>
      <c r="F4" s="277"/>
      <c r="G4" s="277"/>
      <c r="H4" s="277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15.75" thickBot="1" x14ac:dyDescent="0.3">
      <c r="A5" s="540" t="s">
        <v>3</v>
      </c>
      <c r="B5" s="540"/>
      <c r="C5" s="540"/>
      <c r="D5" s="278"/>
      <c r="E5" s="277"/>
      <c r="F5" s="277"/>
      <c r="G5" s="277"/>
      <c r="H5" s="277"/>
      <c r="I5" s="276"/>
      <c r="J5" s="276"/>
      <c r="K5" s="276"/>
      <c r="L5" s="276"/>
      <c r="M5" s="276"/>
      <c r="N5" s="276"/>
      <c r="O5" s="276"/>
      <c r="P5" s="276"/>
      <c r="Q5" s="276"/>
      <c r="R5" s="276"/>
    </row>
    <row r="6" spans="1:18" x14ac:dyDescent="0.25">
      <c r="A6" s="383" t="s">
        <v>4</v>
      </c>
      <c r="B6" s="383"/>
      <c r="C6" s="383"/>
      <c r="D6" s="278"/>
      <c r="E6" s="277"/>
      <c r="F6" s="277"/>
      <c r="G6" s="277"/>
      <c r="H6" s="277"/>
      <c r="I6" s="276"/>
      <c r="J6" s="276"/>
      <c r="K6" s="276"/>
      <c r="L6" s="276"/>
      <c r="M6" s="276"/>
      <c r="N6" s="276"/>
      <c r="O6" s="276"/>
      <c r="P6" s="276"/>
      <c r="Q6" s="276"/>
      <c r="R6" s="276"/>
    </row>
    <row r="7" spans="1:18" x14ac:dyDescent="0.25">
      <c r="A7" s="71" t="s">
        <v>5</v>
      </c>
      <c r="B7" s="72" t="s">
        <v>6</v>
      </c>
      <c r="C7" s="70"/>
      <c r="D7" s="278"/>
      <c r="E7" s="277"/>
      <c r="F7" s="277"/>
      <c r="G7" s="277"/>
      <c r="H7" s="277"/>
      <c r="I7" s="276"/>
      <c r="J7" s="276"/>
      <c r="K7" s="276"/>
      <c r="L7" s="276"/>
      <c r="M7" s="276"/>
      <c r="N7" s="276"/>
      <c r="O7" s="276"/>
      <c r="P7" s="276"/>
      <c r="Q7" s="276"/>
      <c r="R7" s="276"/>
    </row>
    <row r="8" spans="1:18" x14ac:dyDescent="0.25">
      <c r="A8" s="543" t="s">
        <v>102</v>
      </c>
      <c r="B8" s="545" t="s">
        <v>8</v>
      </c>
      <c r="C8" s="545"/>
      <c r="D8" s="278"/>
      <c r="E8" s="277"/>
      <c r="F8" s="277"/>
      <c r="G8" s="277"/>
      <c r="H8" s="277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8" ht="15.75" thickBot="1" x14ac:dyDescent="0.3">
      <c r="A9" s="544"/>
      <c r="B9" s="546"/>
      <c r="C9" s="546"/>
      <c r="D9" s="278"/>
      <c r="E9" s="277"/>
      <c r="F9" s="277"/>
      <c r="G9" s="277"/>
      <c r="H9" s="277"/>
      <c r="I9" s="276"/>
      <c r="J9" s="276"/>
      <c r="K9" s="276"/>
      <c r="L9" s="276"/>
      <c r="M9" s="276"/>
      <c r="N9" s="276"/>
      <c r="O9" s="276"/>
      <c r="P9" s="276"/>
      <c r="Q9" s="276"/>
      <c r="R9" s="276"/>
    </row>
    <row r="10" spans="1:18" ht="15.75" thickBot="1" x14ac:dyDescent="0.3">
      <c r="A10" s="70"/>
      <c r="B10" s="69"/>
      <c r="C10" s="69"/>
      <c r="D10" s="278"/>
      <c r="E10" s="277"/>
      <c r="F10" s="277"/>
      <c r="G10" s="277"/>
      <c r="H10" s="277"/>
      <c r="I10" s="276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1:18" x14ac:dyDescent="0.25">
      <c r="A11" s="547" t="s">
        <v>9</v>
      </c>
      <c r="B11" s="547"/>
      <c r="C11" s="547"/>
      <c r="D11" s="278"/>
      <c r="E11" s="277"/>
      <c r="F11" s="277"/>
      <c r="G11" s="277"/>
      <c r="H11" s="277"/>
      <c r="I11" s="276"/>
      <c r="J11" s="276"/>
      <c r="K11" s="276"/>
      <c r="L11" s="276"/>
      <c r="M11" s="276"/>
      <c r="N11" s="276"/>
      <c r="O11" s="276"/>
      <c r="P11" s="276"/>
      <c r="Q11" s="276"/>
      <c r="R11" s="276"/>
    </row>
    <row r="12" spans="1:18" ht="15.75" thickBot="1" x14ac:dyDescent="0.3">
      <c r="A12" s="382" t="s">
        <v>10</v>
      </c>
      <c r="B12" s="382"/>
      <c r="C12" s="119">
        <f>base!E3</f>
        <v>631.5</v>
      </c>
      <c r="D12" s="278"/>
      <c r="E12" s="277"/>
      <c r="F12" s="277"/>
      <c r="G12" s="277"/>
      <c r="H12" s="277"/>
      <c r="I12" s="276"/>
      <c r="J12" s="276"/>
      <c r="K12" s="276"/>
      <c r="L12" s="276"/>
      <c r="M12" s="276"/>
      <c r="N12" s="276"/>
      <c r="O12" s="276"/>
      <c r="P12" s="276"/>
      <c r="Q12" s="276"/>
      <c r="R12" s="276"/>
    </row>
    <row r="13" spans="1:18" ht="15.75" thickBot="1" x14ac:dyDescent="0.3">
      <c r="A13" s="70"/>
      <c r="B13" s="70"/>
      <c r="C13" s="69"/>
      <c r="D13" s="278"/>
      <c r="E13" s="277"/>
      <c r="F13" s="277"/>
      <c r="G13" s="277"/>
      <c r="H13" s="277"/>
      <c r="I13" s="276"/>
      <c r="J13" s="276"/>
      <c r="K13" s="276"/>
      <c r="L13" s="276"/>
      <c r="M13" s="276"/>
      <c r="N13" s="276"/>
      <c r="O13" s="276"/>
      <c r="P13" s="276"/>
      <c r="Q13" s="276"/>
      <c r="R13" s="276"/>
    </row>
    <row r="14" spans="1:18" x14ac:dyDescent="0.25">
      <c r="A14" s="547" t="s">
        <v>11</v>
      </c>
      <c r="B14" s="547"/>
      <c r="C14" s="547"/>
      <c r="D14" s="278"/>
      <c r="E14" s="277"/>
      <c r="F14" s="277"/>
      <c r="G14" s="277"/>
      <c r="H14" s="277"/>
      <c r="I14" s="276"/>
      <c r="J14" s="276"/>
      <c r="K14" s="276"/>
      <c r="L14" s="276"/>
      <c r="M14" s="276"/>
      <c r="N14" s="276"/>
      <c r="O14" s="276"/>
      <c r="P14" s="276"/>
      <c r="Q14" s="276"/>
      <c r="R14" s="276"/>
    </row>
    <row r="15" spans="1:18" x14ac:dyDescent="0.25">
      <c r="A15" s="549" t="s">
        <v>12</v>
      </c>
      <c r="B15" s="549"/>
      <c r="C15" s="246">
        <f>C12</f>
        <v>631.5</v>
      </c>
      <c r="D15" s="278"/>
      <c r="E15" s="277"/>
      <c r="F15" s="277"/>
      <c r="G15" s="277"/>
      <c r="H15" s="277"/>
      <c r="I15" s="276"/>
      <c r="J15" s="276"/>
      <c r="K15" s="276"/>
      <c r="L15" s="276"/>
      <c r="M15" s="276"/>
      <c r="N15" s="276"/>
      <c r="O15" s="276"/>
      <c r="P15" s="276"/>
      <c r="Q15" s="276"/>
      <c r="R15" s="276"/>
    </row>
    <row r="16" spans="1:18" x14ac:dyDescent="0.25">
      <c r="A16" s="75" t="s">
        <v>13</v>
      </c>
      <c r="B16" s="76">
        <v>0.3</v>
      </c>
      <c r="C16" s="249">
        <f>C15*B16</f>
        <v>189.45</v>
      </c>
      <c r="D16" s="278"/>
      <c r="E16" s="282"/>
      <c r="F16" s="277"/>
      <c r="G16" s="277"/>
      <c r="H16" s="277"/>
      <c r="I16" s="276"/>
      <c r="J16" s="276"/>
      <c r="K16" s="276"/>
      <c r="L16" s="276"/>
      <c r="M16" s="276"/>
      <c r="N16" s="276"/>
      <c r="O16" s="276"/>
      <c r="P16" s="276"/>
      <c r="Q16" s="276"/>
      <c r="R16" s="276"/>
    </row>
    <row r="17" spans="1:18" x14ac:dyDescent="0.25">
      <c r="A17" s="79" t="s">
        <v>113</v>
      </c>
      <c r="B17" s="80"/>
      <c r="C17" s="247">
        <f>(((C15+C16)/89)*38)*1.5</f>
        <v>525.77696629213483</v>
      </c>
      <c r="D17" s="283"/>
      <c r="E17" s="277"/>
      <c r="F17" s="277"/>
      <c r="G17" s="277"/>
      <c r="H17" s="277"/>
      <c r="I17" s="276"/>
      <c r="J17" s="276"/>
      <c r="K17" s="276"/>
      <c r="L17" s="276"/>
      <c r="M17" s="276"/>
      <c r="N17" s="276"/>
      <c r="O17" s="276"/>
      <c r="P17" s="276"/>
      <c r="Q17" s="276"/>
      <c r="R17" s="276"/>
    </row>
    <row r="18" spans="1:18" x14ac:dyDescent="0.25">
      <c r="A18" s="79" t="s">
        <v>114</v>
      </c>
      <c r="B18" s="80"/>
      <c r="C18" s="248">
        <f>base!E9</f>
        <v>87.63</v>
      </c>
      <c r="D18" s="278"/>
      <c r="E18" s="277"/>
      <c r="F18" s="277"/>
      <c r="G18" s="277"/>
      <c r="H18" s="277"/>
      <c r="I18" s="276"/>
      <c r="J18" s="276"/>
      <c r="K18" s="276"/>
      <c r="L18" s="276"/>
      <c r="M18" s="276"/>
      <c r="N18" s="276"/>
      <c r="O18" s="276"/>
      <c r="P18" s="276"/>
      <c r="Q18" s="276"/>
      <c r="R18" s="276"/>
    </row>
    <row r="19" spans="1:18" x14ac:dyDescent="0.25">
      <c r="A19" s="79" t="s">
        <v>115</v>
      </c>
      <c r="B19" s="80"/>
      <c r="C19" s="247">
        <f>base!E10</f>
        <v>16.850000000000001</v>
      </c>
      <c r="D19" s="278"/>
      <c r="E19" s="277"/>
      <c r="F19" s="277"/>
      <c r="G19" s="277"/>
      <c r="H19" s="277"/>
      <c r="I19" s="276"/>
      <c r="J19" s="276"/>
      <c r="K19" s="276"/>
      <c r="L19" s="276"/>
      <c r="M19" s="276"/>
      <c r="N19" s="276"/>
      <c r="O19" s="276"/>
      <c r="P19" s="276"/>
      <c r="Q19" s="276"/>
      <c r="R19" s="276"/>
    </row>
    <row r="20" spans="1:18" x14ac:dyDescent="0.25">
      <c r="A20" s="75" t="s">
        <v>16</v>
      </c>
      <c r="B20" s="78"/>
      <c r="C20" s="250">
        <v>0</v>
      </c>
      <c r="D20" s="278"/>
      <c r="E20" s="277"/>
      <c r="F20" s="277"/>
      <c r="G20" s="277"/>
      <c r="H20" s="277"/>
      <c r="I20" s="276"/>
      <c r="J20" s="276"/>
      <c r="K20" s="276"/>
      <c r="L20" s="276"/>
      <c r="M20" s="276"/>
      <c r="N20" s="276"/>
      <c r="O20" s="276"/>
      <c r="P20" s="276"/>
      <c r="Q20" s="276"/>
      <c r="R20" s="276"/>
    </row>
    <row r="21" spans="1:18" x14ac:dyDescent="0.25">
      <c r="A21" s="75" t="s">
        <v>228</v>
      </c>
      <c r="B21" s="78"/>
      <c r="C21" s="251">
        <f>base!E11</f>
        <v>101.11</v>
      </c>
      <c r="D21" s="278"/>
      <c r="E21" s="277"/>
      <c r="F21" s="277"/>
      <c r="G21" s="277"/>
      <c r="H21" s="277"/>
      <c r="I21" s="276"/>
      <c r="J21" s="276"/>
      <c r="K21" s="276"/>
      <c r="L21" s="276"/>
      <c r="M21" s="276"/>
      <c r="N21" s="276"/>
      <c r="O21" s="276"/>
      <c r="P21" s="276"/>
      <c r="Q21" s="276"/>
      <c r="R21" s="276"/>
    </row>
    <row r="22" spans="1:18" x14ac:dyDescent="0.25">
      <c r="A22" s="79"/>
      <c r="B22" s="80"/>
      <c r="C22" s="81"/>
      <c r="D22" s="278"/>
      <c r="E22" s="277"/>
      <c r="F22" s="277"/>
      <c r="G22" s="277"/>
      <c r="H22" s="277"/>
      <c r="I22" s="276"/>
      <c r="J22" s="276"/>
      <c r="K22" s="276"/>
      <c r="L22" s="276"/>
      <c r="M22" s="276"/>
      <c r="N22" s="276"/>
      <c r="O22" s="276"/>
      <c r="P22" s="276"/>
      <c r="Q22" s="276"/>
      <c r="R22" s="276"/>
    </row>
    <row r="23" spans="1:18" ht="15.75" thickBot="1" x14ac:dyDescent="0.3">
      <c r="A23" s="82" t="s">
        <v>18</v>
      </c>
      <c r="B23" s="82"/>
      <c r="C23" s="83">
        <f>SUM(C15:C21)</f>
        <v>1552.3169662921348</v>
      </c>
      <c r="D23" s="278"/>
      <c r="E23" s="277"/>
      <c r="F23" s="277"/>
      <c r="G23" s="277"/>
      <c r="H23" s="277"/>
      <c r="I23" s="276"/>
      <c r="J23" s="276"/>
      <c r="K23" s="276"/>
      <c r="L23" s="276"/>
      <c r="M23" s="276"/>
      <c r="N23" s="276"/>
      <c r="O23" s="276"/>
      <c r="P23" s="276"/>
      <c r="Q23" s="276"/>
      <c r="R23" s="276"/>
    </row>
    <row r="24" spans="1:18" ht="15.75" thickBot="1" x14ac:dyDescent="0.3">
      <c r="A24" s="70"/>
      <c r="B24" s="70"/>
      <c r="C24" s="69"/>
      <c r="D24" s="278"/>
      <c r="E24" s="277"/>
      <c r="F24" s="277"/>
      <c r="G24" s="277"/>
      <c r="H24" s="277"/>
      <c r="I24" s="276"/>
      <c r="J24" s="276"/>
      <c r="K24" s="276"/>
      <c r="L24" s="276"/>
      <c r="M24" s="276"/>
      <c r="N24" s="276"/>
      <c r="O24" s="276"/>
      <c r="P24" s="276"/>
      <c r="Q24" s="276"/>
      <c r="R24" s="276"/>
    </row>
    <row r="25" spans="1:18" x14ac:dyDescent="0.25">
      <c r="A25" s="547" t="s">
        <v>19</v>
      </c>
      <c r="B25" s="547"/>
      <c r="C25" s="547"/>
      <c r="D25" s="278"/>
      <c r="E25" s="277"/>
      <c r="F25" s="277"/>
      <c r="G25" s="277"/>
      <c r="H25" s="277"/>
      <c r="I25" s="276"/>
      <c r="J25" s="276"/>
      <c r="K25" s="276"/>
      <c r="L25" s="276"/>
      <c r="M25" s="276"/>
      <c r="N25" s="276"/>
      <c r="O25" s="276"/>
      <c r="P25" s="276"/>
      <c r="Q25" s="276"/>
      <c r="R25" s="276"/>
    </row>
    <row r="26" spans="1:18" x14ac:dyDescent="0.25">
      <c r="A26" s="71" t="s">
        <v>20</v>
      </c>
      <c r="B26" s="70"/>
      <c r="C26" s="111"/>
      <c r="D26" s="278"/>
      <c r="E26" s="277"/>
      <c r="F26" s="277"/>
      <c r="G26" s="277"/>
      <c r="H26" s="277"/>
      <c r="I26" s="276"/>
      <c r="J26" s="276"/>
      <c r="K26" s="276"/>
      <c r="L26" s="276"/>
      <c r="M26" s="276"/>
      <c r="N26" s="276"/>
      <c r="O26" s="276"/>
      <c r="P26" s="276"/>
      <c r="Q26" s="276"/>
      <c r="R26" s="276"/>
    </row>
    <row r="27" spans="1:18" x14ac:dyDescent="0.25">
      <c r="A27" s="84" t="s">
        <v>21</v>
      </c>
      <c r="B27" s="85">
        <v>0.2</v>
      </c>
      <c r="C27" s="112">
        <f t="shared" ref="C27:C34" si="0">+C$23*B27</f>
        <v>310.463393258427</v>
      </c>
      <c r="D27" s="278"/>
      <c r="E27" s="277"/>
      <c r="F27" s="277"/>
      <c r="G27" s="277"/>
      <c r="H27" s="277"/>
      <c r="I27" s="276"/>
      <c r="J27" s="276"/>
      <c r="K27" s="276"/>
      <c r="L27" s="276"/>
      <c r="M27" s="276"/>
      <c r="N27" s="276"/>
      <c r="O27" s="276"/>
      <c r="P27" s="276"/>
      <c r="Q27" s="276"/>
      <c r="R27" s="276"/>
    </row>
    <row r="28" spans="1:18" x14ac:dyDescent="0.25">
      <c r="A28" s="86" t="s">
        <v>22</v>
      </c>
      <c r="B28" s="87">
        <v>0.08</v>
      </c>
      <c r="C28" s="113">
        <f t="shared" si="0"/>
        <v>124.18535730337079</v>
      </c>
      <c r="D28" s="278"/>
      <c r="E28" s="277"/>
      <c r="F28" s="277"/>
      <c r="G28" s="277"/>
      <c r="H28" s="277"/>
      <c r="I28" s="276"/>
      <c r="J28" s="276"/>
      <c r="K28" s="276"/>
      <c r="L28" s="276"/>
      <c r="M28" s="276"/>
      <c r="N28" s="276"/>
      <c r="O28" s="276"/>
      <c r="P28" s="276"/>
      <c r="Q28" s="276"/>
      <c r="R28" s="276"/>
    </row>
    <row r="29" spans="1:18" x14ac:dyDescent="0.25">
      <c r="A29" s="84" t="s">
        <v>23</v>
      </c>
      <c r="B29" s="85">
        <v>1.4999999999999999E-2</v>
      </c>
      <c r="C29" s="112">
        <f t="shared" si="0"/>
        <v>23.284754494382021</v>
      </c>
      <c r="D29" s="278"/>
      <c r="E29" s="277"/>
      <c r="F29" s="277"/>
      <c r="G29" s="277"/>
      <c r="H29" s="277"/>
      <c r="I29" s="276"/>
      <c r="J29" s="276"/>
      <c r="K29" s="276"/>
      <c r="L29" s="276"/>
      <c r="M29" s="276"/>
      <c r="N29" s="276"/>
      <c r="O29" s="276"/>
      <c r="P29" s="276"/>
      <c r="Q29" s="276"/>
      <c r="R29" s="276"/>
    </row>
    <row r="30" spans="1:18" x14ac:dyDescent="0.25">
      <c r="A30" s="86" t="s">
        <v>24</v>
      </c>
      <c r="B30" s="87">
        <v>0.01</v>
      </c>
      <c r="C30" s="113">
        <f t="shared" si="0"/>
        <v>15.523169662921349</v>
      </c>
      <c r="D30" s="278"/>
      <c r="E30" s="277"/>
      <c r="F30" s="277"/>
      <c r="G30" s="277"/>
      <c r="H30" s="277"/>
      <c r="I30" s="276"/>
      <c r="J30" s="276"/>
      <c r="K30" s="276"/>
      <c r="L30" s="276"/>
      <c r="M30" s="276"/>
      <c r="N30" s="276"/>
      <c r="O30" s="276"/>
      <c r="P30" s="276"/>
      <c r="Q30" s="276"/>
      <c r="R30" s="276"/>
    </row>
    <row r="31" spans="1:18" x14ac:dyDescent="0.25">
      <c r="A31" s="84" t="s">
        <v>25</v>
      </c>
      <c r="B31" s="85">
        <v>2E-3</v>
      </c>
      <c r="C31" s="112">
        <f t="shared" si="0"/>
        <v>3.1046339325842696</v>
      </c>
      <c r="D31" s="278"/>
      <c r="E31" s="277"/>
      <c r="F31" s="277"/>
      <c r="G31" s="277"/>
      <c r="H31" s="277"/>
      <c r="I31" s="276"/>
      <c r="J31" s="276"/>
      <c r="K31" s="276"/>
      <c r="L31" s="276"/>
      <c r="M31" s="276"/>
      <c r="N31" s="276"/>
      <c r="O31" s="276"/>
      <c r="P31" s="276"/>
      <c r="Q31" s="276"/>
      <c r="R31" s="276"/>
    </row>
    <row r="32" spans="1:18" x14ac:dyDescent="0.25">
      <c r="A32" s="86" t="s">
        <v>26</v>
      </c>
      <c r="B32" s="87">
        <v>6.0000000000000001E-3</v>
      </c>
      <c r="C32" s="113">
        <f t="shared" si="0"/>
        <v>9.3139017977528091</v>
      </c>
      <c r="D32" s="278"/>
      <c r="E32" s="277"/>
      <c r="F32" s="277"/>
      <c r="G32" s="277"/>
      <c r="H32" s="277"/>
      <c r="I32" s="276"/>
      <c r="J32" s="276"/>
      <c r="K32" s="276"/>
      <c r="L32" s="276"/>
      <c r="M32" s="276"/>
      <c r="N32" s="276"/>
      <c r="O32" s="276"/>
      <c r="P32" s="276"/>
      <c r="Q32" s="276"/>
      <c r="R32" s="276"/>
    </row>
    <row r="33" spans="1:18" x14ac:dyDescent="0.25">
      <c r="A33" s="84" t="s">
        <v>27</v>
      </c>
      <c r="B33" s="85">
        <v>2.5000000000000001E-2</v>
      </c>
      <c r="C33" s="112">
        <f t="shared" si="0"/>
        <v>38.807924157303376</v>
      </c>
      <c r="D33" s="278"/>
      <c r="E33" s="277"/>
      <c r="F33" s="277"/>
      <c r="G33" s="277"/>
      <c r="H33" s="277"/>
      <c r="I33" s="276"/>
      <c r="J33" s="276"/>
      <c r="K33" s="276"/>
      <c r="L33" s="276"/>
      <c r="M33" s="276"/>
      <c r="N33" s="276"/>
      <c r="O33" s="276"/>
      <c r="P33" s="276"/>
      <c r="Q33" s="276"/>
      <c r="R33" s="276"/>
    </row>
    <row r="34" spans="1:18" x14ac:dyDescent="0.25">
      <c r="A34" s="86" t="s">
        <v>28</v>
      </c>
      <c r="B34" s="236">
        <f>base!E26</f>
        <v>3.2300000000000002E-2</v>
      </c>
      <c r="C34" s="113">
        <f t="shared" si="0"/>
        <v>50.139838011235959</v>
      </c>
      <c r="D34" s="278"/>
      <c r="E34" s="277"/>
      <c r="F34" s="277"/>
      <c r="G34" s="277"/>
      <c r="H34" s="277"/>
      <c r="I34" s="276"/>
      <c r="J34" s="276"/>
      <c r="K34" s="276"/>
      <c r="L34" s="276"/>
      <c r="M34" s="276"/>
      <c r="N34" s="276"/>
      <c r="O34" s="276"/>
      <c r="P34" s="276"/>
      <c r="Q34" s="276"/>
      <c r="R34" s="276"/>
    </row>
    <row r="35" spans="1:18" x14ac:dyDescent="0.25">
      <c r="A35" s="88" t="s">
        <v>29</v>
      </c>
      <c r="B35" s="89">
        <f>SUM(B27:B34)</f>
        <v>0.37030000000000007</v>
      </c>
      <c r="C35" s="114">
        <f>SUM(C27:C34)</f>
        <v>574.82297261797748</v>
      </c>
      <c r="D35" s="278">
        <f>+B35*C23</f>
        <v>574.8229726179776</v>
      </c>
      <c r="E35" s="277"/>
      <c r="F35" s="277"/>
      <c r="G35" s="277"/>
      <c r="H35" s="277"/>
      <c r="I35" s="276"/>
      <c r="J35" s="276"/>
      <c r="K35" s="276"/>
      <c r="L35" s="276"/>
      <c r="M35" s="276"/>
      <c r="N35" s="276"/>
      <c r="O35" s="276"/>
      <c r="P35" s="276"/>
      <c r="Q35" s="276"/>
      <c r="R35" s="276"/>
    </row>
    <row r="36" spans="1:18" x14ac:dyDescent="0.25">
      <c r="A36" s="70"/>
      <c r="B36" s="70"/>
      <c r="C36" s="69"/>
      <c r="D36" s="278"/>
      <c r="E36" s="277"/>
      <c r="F36" s="277"/>
      <c r="G36" s="277"/>
      <c r="H36" s="277"/>
      <c r="I36" s="276"/>
      <c r="J36" s="276"/>
      <c r="K36" s="276"/>
      <c r="L36" s="276"/>
      <c r="M36" s="276"/>
      <c r="N36" s="276"/>
      <c r="O36" s="276"/>
      <c r="P36" s="276"/>
      <c r="Q36" s="276"/>
      <c r="R36" s="276"/>
    </row>
    <row r="37" spans="1:18" x14ac:dyDescent="0.25">
      <c r="A37" s="88" t="s">
        <v>30</v>
      </c>
      <c r="B37" s="88"/>
      <c r="C37" s="90"/>
      <c r="D37" s="278"/>
      <c r="E37" s="277"/>
      <c r="F37" s="277"/>
      <c r="G37" s="277"/>
      <c r="H37" s="277"/>
      <c r="I37" s="276"/>
      <c r="J37" s="276"/>
      <c r="K37" s="276"/>
      <c r="L37" s="276"/>
      <c r="M37" s="276"/>
      <c r="N37" s="276"/>
      <c r="O37" s="276"/>
      <c r="P37" s="276"/>
      <c r="Q37" s="276"/>
      <c r="R37" s="276"/>
    </row>
    <row r="38" spans="1:18" x14ac:dyDescent="0.25">
      <c r="A38" s="86" t="s">
        <v>31</v>
      </c>
      <c r="B38" s="87">
        <f>(1/12)</f>
        <v>8.3333333333333329E-2</v>
      </c>
      <c r="C38" s="113">
        <f t="shared" ref="C38:C45" si="1">+C$23*B38</f>
        <v>129.35974719101122</v>
      </c>
      <c r="D38" s="278"/>
      <c r="E38" s="277"/>
      <c r="F38" s="277"/>
      <c r="G38" s="277"/>
      <c r="H38" s="277"/>
      <c r="I38" s="276"/>
      <c r="J38" s="276"/>
      <c r="K38" s="276"/>
      <c r="L38" s="276"/>
      <c r="M38" s="276"/>
      <c r="N38" s="276"/>
      <c r="O38" s="276"/>
      <c r="P38" s="276"/>
      <c r="Q38" s="276"/>
      <c r="R38" s="276"/>
    </row>
    <row r="39" spans="1:18" x14ac:dyDescent="0.25">
      <c r="A39" s="84" t="s">
        <v>32</v>
      </c>
      <c r="B39" s="85">
        <f>((1+1/3)/12)</f>
        <v>0.1111111111111111</v>
      </c>
      <c r="C39" s="112">
        <f t="shared" si="1"/>
        <v>172.47966292134831</v>
      </c>
      <c r="D39" s="278"/>
      <c r="E39" s="277"/>
      <c r="F39" s="277"/>
      <c r="G39" s="277"/>
      <c r="H39" s="277"/>
      <c r="I39" s="276"/>
      <c r="J39" s="276"/>
      <c r="K39" s="276"/>
      <c r="L39" s="276"/>
      <c r="M39" s="276"/>
      <c r="N39" s="276"/>
      <c r="O39" s="276"/>
      <c r="P39" s="276"/>
      <c r="Q39" s="276"/>
      <c r="R39" s="276"/>
    </row>
    <row r="40" spans="1:18" x14ac:dyDescent="0.25">
      <c r="A40" s="86" t="s">
        <v>33</v>
      </c>
      <c r="B40" s="87">
        <f>((7/30)/12)</f>
        <v>1.9444444444444445E-2</v>
      </c>
      <c r="C40" s="113">
        <f t="shared" si="1"/>
        <v>30.183941011235955</v>
      </c>
      <c r="D40" s="278"/>
      <c r="E40" s="277"/>
      <c r="F40" s="277"/>
      <c r="G40" s="277"/>
      <c r="H40" s="277"/>
      <c r="I40" s="276"/>
      <c r="J40" s="276"/>
      <c r="K40" s="276"/>
      <c r="L40" s="276"/>
      <c r="M40" s="276"/>
      <c r="N40" s="276"/>
      <c r="O40" s="276"/>
      <c r="P40" s="276"/>
      <c r="Q40" s="276"/>
      <c r="R40" s="276"/>
    </row>
    <row r="41" spans="1:18" x14ac:dyDescent="0.25">
      <c r="A41" s="84" t="s">
        <v>34</v>
      </c>
      <c r="B41" s="85">
        <f>((5/30)/12)</f>
        <v>1.3888888888888888E-2</v>
      </c>
      <c r="C41" s="112">
        <f t="shared" si="1"/>
        <v>21.559957865168538</v>
      </c>
      <c r="D41" s="278"/>
      <c r="E41" s="277"/>
      <c r="F41" s="277"/>
      <c r="G41" s="277"/>
      <c r="H41" s="277"/>
      <c r="I41" s="276"/>
      <c r="J41" s="276"/>
      <c r="K41" s="276"/>
      <c r="L41" s="276"/>
      <c r="M41" s="276"/>
      <c r="N41" s="276"/>
      <c r="O41" s="276"/>
      <c r="P41" s="276"/>
      <c r="Q41" s="276"/>
      <c r="R41" s="276"/>
    </row>
    <row r="42" spans="1:18" x14ac:dyDescent="0.25">
      <c r="A42" s="86" t="s">
        <v>35</v>
      </c>
      <c r="B42" s="87">
        <f>(((15/30)/12)*0.05)</f>
        <v>2.0833333333333333E-3</v>
      </c>
      <c r="C42" s="113">
        <f t="shared" si="1"/>
        <v>3.2339936797752808</v>
      </c>
      <c r="D42" s="278"/>
      <c r="E42" s="277"/>
      <c r="F42" s="277"/>
      <c r="G42" s="277"/>
      <c r="H42" s="277"/>
      <c r="I42" s="276"/>
      <c r="J42" s="276"/>
      <c r="K42" s="276"/>
      <c r="L42" s="276"/>
      <c r="M42" s="276"/>
      <c r="N42" s="276"/>
      <c r="O42" s="276"/>
      <c r="P42" s="276"/>
      <c r="Q42" s="276"/>
      <c r="R42" s="276"/>
    </row>
    <row r="43" spans="1:18" x14ac:dyDescent="0.25">
      <c r="A43" s="84" t="s">
        <v>36</v>
      </c>
      <c r="B43" s="85">
        <f>((2/30)/12)</f>
        <v>5.5555555555555558E-3</v>
      </c>
      <c r="C43" s="112">
        <f t="shared" si="1"/>
        <v>8.623983146067415</v>
      </c>
      <c r="D43" s="278"/>
      <c r="E43" s="277"/>
      <c r="F43" s="277"/>
      <c r="G43" s="277"/>
      <c r="H43" s="277"/>
      <c r="I43" s="276"/>
      <c r="J43" s="276"/>
      <c r="K43" s="276"/>
      <c r="L43" s="276"/>
      <c r="M43" s="276"/>
      <c r="N43" s="276"/>
      <c r="O43" s="276"/>
      <c r="P43" s="276"/>
      <c r="Q43" s="276"/>
      <c r="R43" s="276"/>
    </row>
    <row r="44" spans="1:18" x14ac:dyDescent="0.25">
      <c r="A44" s="86" t="s">
        <v>37</v>
      </c>
      <c r="B44" s="87">
        <f>(0.1111*0.02*0.333)</f>
        <v>7.3992600000000002E-4</v>
      </c>
      <c r="C44" s="113">
        <f t="shared" si="1"/>
        <v>1.1485996836006742</v>
      </c>
      <c r="D44" s="278"/>
      <c r="E44" s="277"/>
      <c r="F44" s="277"/>
      <c r="G44" s="277"/>
      <c r="H44" s="277"/>
      <c r="I44" s="276"/>
      <c r="J44" s="276"/>
      <c r="K44" s="276"/>
      <c r="L44" s="276"/>
      <c r="M44" s="276"/>
      <c r="N44" s="276"/>
      <c r="O44" s="276"/>
      <c r="P44" s="276"/>
      <c r="Q44" s="276"/>
      <c r="R44" s="276"/>
    </row>
    <row r="45" spans="1:18" x14ac:dyDescent="0.25">
      <c r="A45" s="84" t="s">
        <v>38</v>
      </c>
      <c r="B45" s="85">
        <f>((5/30)/12)*0.015</f>
        <v>2.0833333333333332E-4</v>
      </c>
      <c r="C45" s="112">
        <f t="shared" si="1"/>
        <v>0.32339936797752805</v>
      </c>
      <c r="D45" s="278"/>
      <c r="E45" s="277"/>
      <c r="F45" s="277"/>
      <c r="G45" s="277"/>
      <c r="H45" s="277"/>
      <c r="I45" s="276"/>
      <c r="J45" s="276"/>
      <c r="K45" s="276"/>
      <c r="L45" s="276"/>
      <c r="M45" s="276"/>
      <c r="N45" s="276"/>
      <c r="O45" s="276"/>
      <c r="P45" s="276"/>
      <c r="Q45" s="276"/>
      <c r="R45" s="276"/>
    </row>
    <row r="46" spans="1:18" x14ac:dyDescent="0.25">
      <c r="A46" s="70" t="s">
        <v>17</v>
      </c>
      <c r="B46" s="70"/>
      <c r="C46" s="69"/>
      <c r="D46" s="278"/>
      <c r="E46" s="277"/>
      <c r="F46" s="277"/>
      <c r="G46" s="277"/>
      <c r="H46" s="277"/>
      <c r="I46" s="276"/>
      <c r="J46" s="276"/>
      <c r="K46" s="276"/>
      <c r="L46" s="276"/>
      <c r="M46" s="276"/>
      <c r="N46" s="276"/>
      <c r="O46" s="276"/>
      <c r="P46" s="276"/>
      <c r="Q46" s="276"/>
      <c r="R46" s="276"/>
    </row>
    <row r="47" spans="1:18" x14ac:dyDescent="0.25">
      <c r="A47" s="71" t="s">
        <v>39</v>
      </c>
      <c r="B47" s="91">
        <f>SUM(B38:B45)</f>
        <v>0.23636492599999998</v>
      </c>
      <c r="C47" s="115">
        <f>SUM(C38:C45)</f>
        <v>366.91328486618488</v>
      </c>
      <c r="D47" s="278">
        <f>+B47*C23</f>
        <v>366.91328486618488</v>
      </c>
      <c r="E47" s="277"/>
      <c r="F47" s="277"/>
      <c r="G47" s="277"/>
      <c r="H47" s="277"/>
      <c r="I47" s="276"/>
      <c r="J47" s="276"/>
      <c r="K47" s="276"/>
      <c r="L47" s="276"/>
      <c r="M47" s="276"/>
      <c r="N47" s="276"/>
      <c r="O47" s="276"/>
      <c r="P47" s="276"/>
      <c r="Q47" s="276"/>
      <c r="R47" s="276"/>
    </row>
    <row r="48" spans="1:18" x14ac:dyDescent="0.25">
      <c r="A48" s="70"/>
      <c r="B48" s="70"/>
      <c r="C48" s="69"/>
      <c r="D48" s="278"/>
      <c r="E48" s="277"/>
      <c r="F48" s="277"/>
      <c r="G48" s="277"/>
      <c r="H48" s="277"/>
      <c r="I48" s="276"/>
      <c r="J48" s="276"/>
      <c r="K48" s="276"/>
      <c r="L48" s="276"/>
      <c r="M48" s="276"/>
      <c r="N48" s="276"/>
      <c r="O48" s="276"/>
      <c r="P48" s="276"/>
      <c r="Q48" s="276"/>
      <c r="R48" s="276"/>
    </row>
    <row r="49" spans="1:18" x14ac:dyDescent="0.25">
      <c r="A49" s="88" t="s">
        <v>40</v>
      </c>
      <c r="B49" s="88"/>
      <c r="C49" s="90"/>
      <c r="D49" s="278"/>
      <c r="E49" s="277"/>
      <c r="F49" s="277"/>
      <c r="G49" s="277"/>
      <c r="H49" s="277"/>
      <c r="I49" s="276"/>
      <c r="J49" s="276"/>
      <c r="K49" s="276"/>
      <c r="L49" s="276"/>
      <c r="M49" s="276"/>
      <c r="N49" s="276"/>
      <c r="O49" s="276"/>
      <c r="P49" s="276"/>
      <c r="Q49" s="276"/>
      <c r="R49" s="276"/>
    </row>
    <row r="50" spans="1:18" x14ac:dyDescent="0.25">
      <c r="A50" s="86" t="s">
        <v>41</v>
      </c>
      <c r="B50" s="87">
        <f>(0.16*(1/12))</f>
        <v>1.3333333333333332E-2</v>
      </c>
      <c r="C50" s="113">
        <f>+C$23*B50</f>
        <v>20.697559550561795</v>
      </c>
      <c r="D50" s="278"/>
      <c r="E50" s="277"/>
      <c r="F50" s="277"/>
      <c r="G50" s="277"/>
      <c r="H50" s="277"/>
      <c r="I50" s="276"/>
      <c r="J50" s="276"/>
      <c r="K50" s="276"/>
      <c r="L50" s="276"/>
      <c r="M50" s="276"/>
      <c r="N50" s="276"/>
      <c r="O50" s="276"/>
      <c r="P50" s="276"/>
      <c r="Q50" s="276"/>
      <c r="R50" s="276"/>
    </row>
    <row r="51" spans="1:18" x14ac:dyDescent="0.25">
      <c r="A51" s="84" t="s">
        <v>42</v>
      </c>
      <c r="B51" s="85">
        <f>(0.02*(1/12))</f>
        <v>1.6666666666666666E-3</v>
      </c>
      <c r="C51" s="112">
        <f>+C$23*B51</f>
        <v>2.5871949438202244</v>
      </c>
      <c r="D51" s="278"/>
      <c r="E51" s="277"/>
      <c r="F51" s="277"/>
      <c r="G51" s="277"/>
      <c r="H51" s="277"/>
      <c r="I51" s="276"/>
      <c r="J51" s="276"/>
      <c r="K51" s="276"/>
      <c r="L51" s="276"/>
      <c r="M51" s="276"/>
      <c r="N51" s="276"/>
      <c r="O51" s="276"/>
      <c r="P51" s="276"/>
      <c r="Q51" s="276"/>
      <c r="R51" s="276"/>
    </row>
    <row r="52" spans="1:18" ht="30" x14ac:dyDescent="0.25">
      <c r="A52" s="86" t="s">
        <v>43</v>
      </c>
      <c r="B52" s="87">
        <f>(1*0.4*0.08)</f>
        <v>3.2000000000000001E-2</v>
      </c>
      <c r="C52" s="113">
        <f>+C$23*B52</f>
        <v>49.674142921348313</v>
      </c>
      <c r="D52" s="278"/>
      <c r="E52" s="277"/>
      <c r="F52" s="277"/>
      <c r="G52" s="277"/>
      <c r="H52" s="277"/>
      <c r="I52" s="276"/>
      <c r="J52" s="276"/>
      <c r="K52" s="276"/>
      <c r="L52" s="276"/>
      <c r="M52" s="276"/>
      <c r="N52" s="276"/>
      <c r="O52" s="276"/>
      <c r="P52" s="276"/>
      <c r="Q52" s="276"/>
      <c r="R52" s="276"/>
    </row>
    <row r="53" spans="1:18" ht="30" x14ac:dyDescent="0.25">
      <c r="A53" s="84" t="s">
        <v>44</v>
      </c>
      <c r="B53" s="85">
        <f>(1*0.1*0.08)</f>
        <v>8.0000000000000002E-3</v>
      </c>
      <c r="C53" s="112">
        <f>+C$23*B53</f>
        <v>12.418535730337078</v>
      </c>
      <c r="D53" s="278"/>
      <c r="E53" s="277"/>
      <c r="F53" s="277"/>
      <c r="G53" s="277"/>
      <c r="H53" s="277"/>
      <c r="I53" s="276"/>
      <c r="J53" s="276"/>
      <c r="K53" s="276"/>
      <c r="L53" s="276"/>
      <c r="M53" s="276"/>
      <c r="N53" s="276"/>
      <c r="O53" s="276"/>
      <c r="P53" s="276"/>
      <c r="Q53" s="276"/>
      <c r="R53" s="276"/>
    </row>
    <row r="54" spans="1:18" x14ac:dyDescent="0.25">
      <c r="A54" s="71" t="s">
        <v>45</v>
      </c>
      <c r="B54" s="91">
        <f>SUM(B50:B53)</f>
        <v>5.5E-2</v>
      </c>
      <c r="C54" s="115">
        <f>SUM(C50:C53)</f>
        <v>85.377433146067418</v>
      </c>
      <c r="D54" s="278">
        <f>+B54*C23</f>
        <v>85.377433146067418</v>
      </c>
      <c r="E54" s="277"/>
      <c r="F54" s="277"/>
      <c r="G54" s="277"/>
      <c r="H54" s="277"/>
      <c r="I54" s="276"/>
      <c r="J54" s="276"/>
      <c r="K54" s="276"/>
      <c r="L54" s="276"/>
      <c r="M54" s="276"/>
      <c r="N54" s="276"/>
      <c r="O54" s="276"/>
      <c r="P54" s="276"/>
      <c r="Q54" s="276"/>
      <c r="R54" s="276"/>
    </row>
    <row r="55" spans="1:18" x14ac:dyDescent="0.25">
      <c r="A55" s="70"/>
      <c r="B55" s="70"/>
      <c r="C55" s="69"/>
      <c r="D55" s="278"/>
      <c r="E55" s="277"/>
      <c r="F55" s="277"/>
      <c r="G55" s="277"/>
      <c r="H55" s="277"/>
      <c r="I55" s="276"/>
      <c r="J55" s="276"/>
      <c r="K55" s="276"/>
      <c r="L55" s="276"/>
      <c r="M55" s="276"/>
      <c r="N55" s="276"/>
      <c r="O55" s="276"/>
      <c r="P55" s="276"/>
      <c r="Q55" s="276"/>
      <c r="R55" s="276"/>
    </row>
    <row r="56" spans="1:18" x14ac:dyDescent="0.25">
      <c r="A56" s="88" t="s">
        <v>46</v>
      </c>
      <c r="B56" s="88"/>
      <c r="C56" s="90"/>
      <c r="D56" s="278"/>
      <c r="E56" s="277"/>
      <c r="F56" s="277"/>
      <c r="G56" s="277"/>
      <c r="H56" s="277"/>
      <c r="I56" s="276"/>
      <c r="J56" s="276"/>
      <c r="K56" s="276"/>
      <c r="L56" s="276"/>
      <c r="M56" s="276"/>
      <c r="N56" s="276"/>
      <c r="O56" s="276"/>
      <c r="P56" s="276"/>
      <c r="Q56" s="276"/>
      <c r="R56" s="276"/>
    </row>
    <row r="57" spans="1:18" ht="30" x14ac:dyDescent="0.25">
      <c r="A57" s="86" t="s">
        <v>47</v>
      </c>
      <c r="B57" s="87">
        <f>B35*B47</f>
        <v>8.7525932097800005E-2</v>
      </c>
      <c r="C57" s="113">
        <f>+C$23*B57</f>
        <v>135.86798938594828</v>
      </c>
      <c r="D57" s="278"/>
      <c r="E57" s="277"/>
      <c r="F57" s="277"/>
      <c r="G57" s="277"/>
      <c r="H57" s="277"/>
      <c r="I57" s="276"/>
      <c r="J57" s="276"/>
      <c r="K57" s="276"/>
      <c r="L57" s="276"/>
      <c r="M57" s="276"/>
      <c r="N57" s="276"/>
      <c r="O57" s="276"/>
      <c r="P57" s="276"/>
      <c r="Q57" s="276"/>
      <c r="R57" s="276"/>
    </row>
    <row r="58" spans="1:18" x14ac:dyDescent="0.25">
      <c r="A58" s="88" t="s">
        <v>48</v>
      </c>
      <c r="B58" s="89">
        <f>B57</f>
        <v>8.7525932097800005E-2</v>
      </c>
      <c r="C58" s="116">
        <f>SUM(C57)</f>
        <v>135.86798938594828</v>
      </c>
      <c r="D58" s="278">
        <f>+B58*C23</f>
        <v>135.86798938594828</v>
      </c>
      <c r="E58" s="277"/>
      <c r="F58" s="277"/>
      <c r="G58" s="277"/>
      <c r="H58" s="277"/>
      <c r="I58" s="276"/>
      <c r="J58" s="276"/>
      <c r="K58" s="276"/>
      <c r="L58" s="276"/>
      <c r="M58" s="276"/>
      <c r="N58" s="276"/>
      <c r="O58" s="276"/>
      <c r="P58" s="276"/>
      <c r="Q58" s="276"/>
      <c r="R58" s="276"/>
    </row>
    <row r="59" spans="1:18" x14ac:dyDescent="0.25">
      <c r="A59" s="70"/>
      <c r="B59" s="70"/>
      <c r="C59" s="69"/>
      <c r="D59" s="278"/>
      <c r="E59" s="277"/>
      <c r="F59" s="277"/>
      <c r="G59" s="277"/>
      <c r="H59" s="277"/>
      <c r="I59" s="276"/>
      <c r="J59" s="276"/>
      <c r="K59" s="276"/>
      <c r="L59" s="276"/>
      <c r="M59" s="276"/>
      <c r="N59" s="276"/>
      <c r="O59" s="276"/>
      <c r="P59" s="276"/>
      <c r="Q59" s="276"/>
      <c r="R59" s="276"/>
    </row>
    <row r="60" spans="1:18" x14ac:dyDescent="0.25">
      <c r="A60" s="88" t="s">
        <v>49</v>
      </c>
      <c r="B60" s="88"/>
      <c r="C60" s="77"/>
      <c r="D60" s="278"/>
      <c r="E60" s="277"/>
      <c r="F60" s="277"/>
      <c r="G60" s="277"/>
      <c r="H60" s="277"/>
      <c r="I60" s="276"/>
      <c r="J60" s="276"/>
      <c r="K60" s="276"/>
      <c r="L60" s="276"/>
      <c r="M60" s="276"/>
      <c r="N60" s="276"/>
      <c r="O60" s="276"/>
      <c r="P60" s="276"/>
      <c r="Q60" s="276"/>
      <c r="R60" s="276"/>
    </row>
    <row r="61" spans="1:18" ht="30" x14ac:dyDescent="0.25">
      <c r="A61" s="92" t="s">
        <v>50</v>
      </c>
      <c r="B61" s="87">
        <f>(B28*B50)</f>
        <v>1.0666666666666667E-3</v>
      </c>
      <c r="C61" s="113">
        <f>+C$23*B61</f>
        <v>1.6558047640449438</v>
      </c>
      <c r="D61" s="278"/>
      <c r="E61" s="277"/>
      <c r="F61" s="277"/>
      <c r="G61" s="277"/>
      <c r="H61" s="277"/>
      <c r="I61" s="276"/>
      <c r="J61" s="276"/>
      <c r="K61" s="276"/>
      <c r="L61" s="276"/>
      <c r="M61" s="276"/>
      <c r="N61" s="276"/>
      <c r="O61" s="276"/>
      <c r="P61" s="276"/>
      <c r="Q61" s="276"/>
      <c r="R61" s="276"/>
    </row>
    <row r="62" spans="1:18" ht="45" x14ac:dyDescent="0.25">
      <c r="A62" s="93" t="s">
        <v>51</v>
      </c>
      <c r="B62" s="122">
        <f>(B28*B42)</f>
        <v>1.6666666666666666E-4</v>
      </c>
      <c r="C62" s="112">
        <f>+C$23*B62</f>
        <v>0.25871949438202246</v>
      </c>
      <c r="D62" s="278"/>
      <c r="E62" s="277"/>
      <c r="F62" s="277"/>
      <c r="G62" s="277"/>
      <c r="H62" s="277"/>
      <c r="I62" s="276"/>
      <c r="J62" s="276"/>
      <c r="K62" s="276"/>
      <c r="L62" s="276"/>
      <c r="M62" s="276"/>
      <c r="N62" s="276"/>
      <c r="O62" s="276"/>
      <c r="P62" s="276"/>
      <c r="Q62" s="276"/>
      <c r="R62" s="276"/>
    </row>
    <row r="63" spans="1:18" x14ac:dyDescent="0.25">
      <c r="A63" s="71" t="s">
        <v>52</v>
      </c>
      <c r="B63" s="91">
        <f>SUM(B61:B62)</f>
        <v>1.2333333333333335E-3</v>
      </c>
      <c r="C63" s="115">
        <f>SUM(C61:C62)</f>
        <v>1.9145242584269662</v>
      </c>
      <c r="D63" s="278">
        <f>+B63*C23</f>
        <v>1.9145242584269664</v>
      </c>
      <c r="E63" s="277"/>
      <c r="F63" s="277"/>
      <c r="G63" s="277"/>
      <c r="H63" s="277"/>
      <c r="I63" s="276"/>
      <c r="J63" s="276"/>
      <c r="K63" s="276"/>
      <c r="L63" s="276"/>
      <c r="M63" s="276"/>
      <c r="N63" s="276"/>
      <c r="O63" s="276"/>
      <c r="P63" s="276"/>
      <c r="Q63" s="276"/>
      <c r="R63" s="276"/>
    </row>
    <row r="64" spans="1:18" x14ac:dyDescent="0.25">
      <c r="A64" s="70"/>
      <c r="B64" s="70"/>
      <c r="C64" s="69"/>
      <c r="D64" s="278"/>
      <c r="E64" s="277"/>
      <c r="F64" s="277"/>
      <c r="G64" s="277"/>
      <c r="H64" s="277"/>
      <c r="I64" s="276"/>
      <c r="J64" s="276"/>
      <c r="K64" s="276"/>
      <c r="L64" s="276"/>
      <c r="M64" s="276"/>
      <c r="N64" s="276"/>
      <c r="O64" s="276"/>
      <c r="P64" s="276"/>
      <c r="Q64" s="276"/>
      <c r="R64" s="276"/>
    </row>
    <row r="65" spans="1:18" x14ac:dyDescent="0.25">
      <c r="A65" s="88" t="s">
        <v>53</v>
      </c>
      <c r="B65" s="88"/>
      <c r="C65" s="90"/>
      <c r="D65" s="278"/>
      <c r="E65" s="277"/>
      <c r="F65" s="277"/>
      <c r="G65" s="277"/>
      <c r="H65" s="277"/>
      <c r="I65" s="276"/>
      <c r="J65" s="276"/>
      <c r="K65" s="276"/>
      <c r="L65" s="276"/>
      <c r="M65" s="276"/>
      <c r="N65" s="276"/>
      <c r="O65" s="276"/>
      <c r="P65" s="276"/>
      <c r="Q65" s="276"/>
      <c r="R65" s="276"/>
    </row>
    <row r="66" spans="1:18" ht="45" x14ac:dyDescent="0.25">
      <c r="A66" s="86" t="s">
        <v>54</v>
      </c>
      <c r="B66" s="87">
        <f>(B35)*(13/12)*(4/12)*0.02</f>
        <v>2.6743888888888889E-3</v>
      </c>
      <c r="C66" s="113">
        <f>+C$23*B66</f>
        <v>4.1514992466853933</v>
      </c>
      <c r="D66" s="278"/>
      <c r="E66" s="277"/>
      <c r="F66" s="277"/>
      <c r="G66" s="277"/>
      <c r="H66" s="277"/>
      <c r="I66" s="276"/>
      <c r="J66" s="276"/>
      <c r="K66" s="276"/>
      <c r="L66" s="276"/>
      <c r="M66" s="276"/>
      <c r="N66" s="276"/>
      <c r="O66" s="276"/>
      <c r="P66" s="276"/>
      <c r="Q66" s="276"/>
      <c r="R66" s="276"/>
    </row>
    <row r="67" spans="1:18" ht="15.75" thickBot="1" x14ac:dyDescent="0.3">
      <c r="A67" s="82" t="s">
        <v>55</v>
      </c>
      <c r="B67" s="94">
        <f>B66</f>
        <v>2.6743888888888889E-3</v>
      </c>
      <c r="C67" s="117">
        <f>C66</f>
        <v>4.1514992466853933</v>
      </c>
      <c r="D67" s="278">
        <f>+B67*C23</f>
        <v>4.1514992466853933</v>
      </c>
      <c r="E67" s="277"/>
      <c r="F67" s="277"/>
      <c r="G67" s="277"/>
      <c r="H67" s="277"/>
      <c r="I67" s="276"/>
      <c r="J67" s="276"/>
      <c r="K67" s="276"/>
      <c r="L67" s="276"/>
      <c r="M67" s="276"/>
      <c r="N67" s="276"/>
      <c r="O67" s="276"/>
      <c r="P67" s="276"/>
      <c r="Q67" s="276"/>
      <c r="R67" s="276"/>
    </row>
    <row r="68" spans="1:18" ht="15.75" thickBot="1" x14ac:dyDescent="0.3">
      <c r="A68" s="70"/>
      <c r="B68" s="69"/>
      <c r="C68" s="95"/>
      <c r="D68" s="278"/>
      <c r="E68" s="277"/>
      <c r="F68" s="277"/>
      <c r="G68" s="277"/>
      <c r="H68" s="277"/>
      <c r="I68" s="276"/>
      <c r="J68" s="276"/>
      <c r="K68" s="276"/>
      <c r="L68" s="276"/>
      <c r="M68" s="276"/>
      <c r="N68" s="276"/>
      <c r="O68" s="276"/>
      <c r="P68" s="276"/>
      <c r="Q68" s="276"/>
      <c r="R68" s="276"/>
    </row>
    <row r="69" spans="1:18" ht="15.75" thickBot="1" x14ac:dyDescent="0.3">
      <c r="A69" s="96" t="s">
        <v>56</v>
      </c>
      <c r="B69" s="97">
        <f>B67+B63+B58+B54+B47+B35</f>
        <v>0.7530985803200223</v>
      </c>
      <c r="C69" s="83">
        <f>C67+C63+C58+C54+C47+C35</f>
        <v>1169.0477035212905</v>
      </c>
      <c r="D69" s="278">
        <f>+B69*C23</f>
        <v>1169.0477035212907</v>
      </c>
      <c r="E69" s="277"/>
      <c r="F69" s="277"/>
      <c r="G69" s="277"/>
      <c r="H69" s="277"/>
      <c r="I69" s="276"/>
      <c r="J69" s="276"/>
      <c r="K69" s="276"/>
      <c r="L69" s="276"/>
      <c r="M69" s="276"/>
      <c r="N69" s="276"/>
      <c r="O69" s="276"/>
      <c r="P69" s="276"/>
      <c r="Q69" s="276"/>
      <c r="R69" s="276"/>
    </row>
    <row r="70" spans="1:18" ht="15.75" thickBot="1" x14ac:dyDescent="0.3">
      <c r="A70" s="70"/>
      <c r="B70" s="70"/>
      <c r="C70" s="98"/>
      <c r="D70" s="278"/>
      <c r="E70" s="277"/>
      <c r="F70" s="277"/>
      <c r="G70" s="277"/>
      <c r="H70" s="277"/>
      <c r="I70" s="276"/>
      <c r="J70" s="276"/>
      <c r="K70" s="276"/>
      <c r="L70" s="276"/>
      <c r="M70" s="276"/>
      <c r="N70" s="276"/>
      <c r="O70" s="276"/>
      <c r="P70" s="276"/>
      <c r="Q70" s="276"/>
      <c r="R70" s="276"/>
    </row>
    <row r="71" spans="1:18" ht="15.75" thickBot="1" x14ac:dyDescent="0.3">
      <c r="A71" s="541" t="s">
        <v>57</v>
      </c>
      <c r="B71" s="541"/>
      <c r="C71" s="83">
        <f>C69+C23</f>
        <v>2721.3646698134253</v>
      </c>
      <c r="D71" s="283">
        <f>+C69+C23</f>
        <v>2721.3646698134253</v>
      </c>
      <c r="E71" s="277"/>
      <c r="F71" s="277"/>
      <c r="G71" s="277"/>
      <c r="H71" s="277"/>
      <c r="I71" s="276"/>
      <c r="J71" s="276"/>
      <c r="K71" s="276"/>
      <c r="L71" s="276"/>
      <c r="M71" s="276"/>
      <c r="N71" s="276"/>
      <c r="O71" s="276"/>
      <c r="P71" s="276"/>
      <c r="Q71" s="276"/>
      <c r="R71" s="276"/>
    </row>
    <row r="72" spans="1:18" ht="15.75" thickBot="1" x14ac:dyDescent="0.3">
      <c r="A72" s="70"/>
      <c r="B72" s="70"/>
      <c r="C72" s="95"/>
      <c r="D72" s="278"/>
      <c r="E72" s="277"/>
      <c r="F72" s="277"/>
      <c r="G72" s="277"/>
      <c r="H72" s="277"/>
      <c r="I72" s="276"/>
      <c r="J72" s="276"/>
      <c r="K72" s="276"/>
      <c r="L72" s="276"/>
      <c r="M72" s="276"/>
      <c r="N72" s="276"/>
      <c r="O72" s="276"/>
      <c r="P72" s="276"/>
      <c r="Q72" s="276"/>
      <c r="R72" s="276"/>
    </row>
    <row r="73" spans="1:18" ht="15.75" customHeight="1" x14ac:dyDescent="0.25">
      <c r="A73" s="99" t="s">
        <v>58</v>
      </c>
      <c r="B73" s="99"/>
      <c r="C73" s="90"/>
      <c r="D73" s="278"/>
      <c r="E73" s="277"/>
      <c r="F73" s="277"/>
      <c r="G73" s="277"/>
      <c r="H73" s="277"/>
      <c r="I73" s="276"/>
      <c r="J73" s="276"/>
      <c r="K73" s="276"/>
      <c r="L73" s="276"/>
      <c r="M73" s="276"/>
      <c r="N73" s="276"/>
      <c r="O73" s="276"/>
      <c r="P73" s="276"/>
      <c r="Q73" s="276"/>
      <c r="R73" s="276"/>
    </row>
    <row r="74" spans="1:18" x14ac:dyDescent="0.25">
      <c r="A74" s="79" t="s">
        <v>59</v>
      </c>
      <c r="B74" s="69"/>
      <c r="C74" s="190">
        <f>Uniforme!F28</f>
        <v>107.61381033333335</v>
      </c>
      <c r="D74" s="278"/>
      <c r="E74" s="277"/>
      <c r="F74" s="277"/>
      <c r="G74" s="277"/>
      <c r="H74" s="277"/>
      <c r="I74" s="276"/>
      <c r="J74" s="276"/>
      <c r="K74" s="276"/>
      <c r="L74" s="276"/>
      <c r="M74" s="276"/>
      <c r="N74" s="276"/>
      <c r="O74" s="276"/>
      <c r="P74" s="276"/>
      <c r="Q74" s="276"/>
      <c r="R74" s="276"/>
    </row>
    <row r="75" spans="1:18" x14ac:dyDescent="0.25">
      <c r="A75" s="84" t="s">
        <v>60</v>
      </c>
      <c r="B75" s="230">
        <v>9.5</v>
      </c>
      <c r="C75" s="112">
        <f>+B75*base!F6</f>
        <v>190.304</v>
      </c>
      <c r="D75" s="278"/>
      <c r="E75" s="277"/>
      <c r="F75" s="277"/>
      <c r="G75" s="277"/>
      <c r="H75" s="277"/>
      <c r="I75" s="276"/>
      <c r="J75" s="276"/>
      <c r="K75" s="276"/>
      <c r="L75" s="276"/>
      <c r="M75" s="276"/>
      <c r="N75" s="276"/>
      <c r="O75" s="276"/>
      <c r="P75" s="276"/>
      <c r="Q75" s="276"/>
      <c r="R75" s="276"/>
    </row>
    <row r="76" spans="1:18" x14ac:dyDescent="0.25">
      <c r="A76" s="79" t="s">
        <v>61</v>
      </c>
      <c r="B76" s="69"/>
      <c r="C76" s="111">
        <f>(3.7*2*B75)-C15*6%</f>
        <v>32.409999999999997</v>
      </c>
      <c r="D76" s="278"/>
      <c r="E76" s="277"/>
      <c r="F76" s="277"/>
      <c r="G76" s="277"/>
      <c r="H76" s="277"/>
      <c r="I76" s="276"/>
      <c r="J76" s="276"/>
      <c r="K76" s="276"/>
      <c r="L76" s="276"/>
      <c r="M76" s="276"/>
      <c r="N76" s="276"/>
      <c r="O76" s="276"/>
      <c r="P76" s="276"/>
      <c r="Q76" s="276"/>
      <c r="R76" s="276"/>
    </row>
    <row r="77" spans="1:18" x14ac:dyDescent="0.25">
      <c r="A77" s="79" t="s">
        <v>62</v>
      </c>
      <c r="B77" s="69"/>
      <c r="C77" s="190">
        <f>'depreciação de equipamento'!F11</f>
        <v>29.778499024999999</v>
      </c>
      <c r="D77" s="278"/>
      <c r="E77" s="277"/>
      <c r="F77" s="277"/>
      <c r="G77" s="277"/>
      <c r="H77" s="277"/>
      <c r="I77" s="276"/>
      <c r="J77" s="276"/>
      <c r="K77" s="276"/>
      <c r="L77" s="276"/>
      <c r="M77" s="276"/>
      <c r="N77" s="276"/>
      <c r="O77" s="276"/>
      <c r="P77" s="276"/>
      <c r="Q77" s="276"/>
      <c r="R77" s="276"/>
    </row>
    <row r="78" spans="1:18" x14ac:dyDescent="0.25">
      <c r="A78" s="84" t="s">
        <v>63</v>
      </c>
      <c r="B78" s="84"/>
      <c r="C78" s="77"/>
      <c r="D78" s="278"/>
      <c r="E78" s="277"/>
      <c r="F78" s="277"/>
      <c r="G78" s="277"/>
      <c r="H78" s="277"/>
      <c r="I78" s="276"/>
      <c r="J78" s="276"/>
      <c r="K78" s="276"/>
      <c r="L78" s="276"/>
      <c r="M78" s="276"/>
      <c r="N78" s="276"/>
      <c r="O78" s="276"/>
      <c r="P78" s="276"/>
      <c r="Q78" s="276"/>
      <c r="R78" s="276"/>
    </row>
    <row r="79" spans="1:18" x14ac:dyDescent="0.25">
      <c r="A79" s="79" t="s">
        <v>64</v>
      </c>
      <c r="B79" s="69"/>
      <c r="C79" s="190">
        <f>'depreciação de equipamento'!F13</f>
        <v>10.827437999999999</v>
      </c>
      <c r="D79" s="278"/>
      <c r="E79" s="277"/>
      <c r="F79" s="277"/>
      <c r="G79" s="277"/>
      <c r="H79" s="277"/>
      <c r="I79" s="276"/>
      <c r="J79" s="276"/>
      <c r="K79" s="276"/>
      <c r="L79" s="276"/>
      <c r="M79" s="276"/>
      <c r="N79" s="276"/>
      <c r="O79" s="276"/>
      <c r="P79" s="276"/>
      <c r="Q79" s="276"/>
      <c r="R79" s="276"/>
    </row>
    <row r="80" spans="1:18" ht="15.75" thickBot="1" x14ac:dyDescent="0.3">
      <c r="A80" s="79" t="s">
        <v>217</v>
      </c>
      <c r="B80" s="69"/>
      <c r="C80" s="233">
        <f>base!F22</f>
        <v>151.38999999999999</v>
      </c>
      <c r="D80" s="278"/>
      <c r="E80" s="277"/>
      <c r="F80" s="277"/>
      <c r="G80" s="277"/>
      <c r="H80" s="277"/>
      <c r="I80" s="276"/>
      <c r="J80" s="276"/>
      <c r="K80" s="276"/>
      <c r="L80" s="276"/>
      <c r="M80" s="276"/>
      <c r="N80" s="276"/>
      <c r="O80" s="276"/>
      <c r="P80" s="276"/>
      <c r="Q80" s="276"/>
      <c r="R80" s="276"/>
    </row>
    <row r="81" spans="1:18" ht="15.75" thickBot="1" x14ac:dyDescent="0.3">
      <c r="A81" s="100" t="s">
        <v>65</v>
      </c>
      <c r="B81" s="128"/>
      <c r="C81" s="208">
        <f>SUM(C74:C80)</f>
        <v>522.32374735833332</v>
      </c>
      <c r="D81" s="278"/>
      <c r="E81" s="277"/>
      <c r="F81" s="277"/>
      <c r="G81" s="277"/>
      <c r="H81" s="277"/>
      <c r="I81" s="276"/>
      <c r="J81" s="276"/>
      <c r="K81" s="276"/>
      <c r="L81" s="276"/>
      <c r="M81" s="276"/>
      <c r="N81" s="276"/>
      <c r="O81" s="276"/>
      <c r="P81" s="276"/>
      <c r="Q81" s="276"/>
      <c r="R81" s="276"/>
    </row>
    <row r="82" spans="1:18" ht="15.75" thickBot="1" x14ac:dyDescent="0.3">
      <c r="A82" s="79"/>
      <c r="B82" s="69"/>
      <c r="C82" s="81"/>
      <c r="D82" s="278"/>
      <c r="E82" s="277"/>
      <c r="F82" s="277"/>
      <c r="G82" s="277"/>
      <c r="H82" s="277"/>
      <c r="I82" s="276"/>
      <c r="J82" s="276"/>
      <c r="K82" s="276"/>
      <c r="L82" s="276"/>
      <c r="M82" s="276"/>
      <c r="N82" s="276"/>
      <c r="O82" s="276"/>
      <c r="P82" s="276"/>
      <c r="Q82" s="276"/>
      <c r="R82" s="276"/>
    </row>
    <row r="83" spans="1:18" ht="15.75" thickBot="1" x14ac:dyDescent="0.3">
      <c r="A83" s="100"/>
      <c r="B83" s="128"/>
      <c r="C83" s="130"/>
      <c r="D83" s="278"/>
      <c r="E83" s="277"/>
      <c r="F83" s="277"/>
      <c r="G83" s="277"/>
      <c r="H83" s="277"/>
      <c r="I83" s="276"/>
      <c r="J83" s="276"/>
      <c r="K83" s="276"/>
      <c r="L83" s="276"/>
      <c r="M83" s="276"/>
      <c r="N83" s="276"/>
      <c r="O83" s="276"/>
      <c r="P83" s="276"/>
      <c r="Q83" s="276"/>
      <c r="R83" s="276"/>
    </row>
    <row r="84" spans="1:18" ht="15.75" thickBot="1" x14ac:dyDescent="0.3">
      <c r="A84" s="79"/>
      <c r="B84" s="69"/>
      <c r="C84" s="81"/>
      <c r="D84" s="278"/>
      <c r="E84" s="277"/>
      <c r="F84" s="277"/>
      <c r="G84" s="277"/>
      <c r="H84" s="277"/>
      <c r="I84" s="276"/>
      <c r="J84" s="276"/>
      <c r="K84" s="276"/>
      <c r="L84" s="276"/>
      <c r="M84" s="276"/>
      <c r="N84" s="276"/>
      <c r="O84" s="276"/>
      <c r="P84" s="276"/>
      <c r="Q84" s="276"/>
      <c r="R84" s="276"/>
    </row>
    <row r="85" spans="1:18" ht="15.75" thickBot="1" x14ac:dyDescent="0.3">
      <c r="A85" s="541" t="s">
        <v>67</v>
      </c>
      <c r="B85" s="541"/>
      <c r="C85" s="118">
        <f>C81+C69+C23+C83</f>
        <v>3243.6884171717584</v>
      </c>
      <c r="D85" s="278"/>
      <c r="E85" s="277"/>
      <c r="F85" s="277"/>
      <c r="G85" s="277"/>
      <c r="H85" s="277"/>
      <c r="I85" s="276"/>
      <c r="J85" s="276"/>
      <c r="K85" s="276"/>
      <c r="L85" s="276"/>
      <c r="M85" s="276"/>
      <c r="N85" s="276"/>
      <c r="O85" s="276"/>
      <c r="P85" s="276"/>
      <c r="Q85" s="276"/>
      <c r="R85" s="276"/>
    </row>
    <row r="86" spans="1:18" ht="15.75" thickBot="1" x14ac:dyDescent="0.3">
      <c r="A86" s="70"/>
      <c r="B86" s="70"/>
      <c r="C86" s="95"/>
      <c r="D86" s="278"/>
      <c r="E86" s="277"/>
      <c r="F86" s="277"/>
      <c r="G86" s="277"/>
      <c r="H86" s="277"/>
      <c r="I86" s="276"/>
      <c r="J86" s="276"/>
      <c r="K86" s="276"/>
      <c r="L86" s="276"/>
      <c r="M86" s="276"/>
      <c r="N86" s="276"/>
      <c r="O86" s="276"/>
      <c r="P86" s="276"/>
      <c r="Q86" s="276"/>
      <c r="R86" s="276"/>
    </row>
    <row r="87" spans="1:18" ht="15.75" customHeight="1" x14ac:dyDescent="0.25">
      <c r="A87" s="99" t="s">
        <v>68</v>
      </c>
      <c r="B87" s="105"/>
      <c r="C87" s="90"/>
      <c r="D87" s="278"/>
      <c r="E87" s="277"/>
      <c r="F87" s="277"/>
      <c r="G87" s="277"/>
      <c r="H87" s="277"/>
      <c r="I87" s="276"/>
      <c r="J87" s="276"/>
      <c r="K87" s="276"/>
      <c r="L87" s="276"/>
      <c r="M87" s="276"/>
      <c r="N87" s="276"/>
      <c r="O87" s="276"/>
      <c r="P87" s="276"/>
      <c r="Q87" s="276"/>
      <c r="R87" s="276"/>
    </row>
    <row r="88" spans="1:18" ht="15.75" customHeight="1" x14ac:dyDescent="0.25">
      <c r="A88" s="86" t="s">
        <v>69</v>
      </c>
      <c r="B88" s="69"/>
      <c r="C88" s="87">
        <f>base!$E$13</f>
        <v>7.0000000000000007E-2</v>
      </c>
      <c r="D88" s="278"/>
      <c r="E88" s="277"/>
      <c r="F88" s="277"/>
      <c r="G88" s="277"/>
      <c r="H88" s="277"/>
      <c r="I88" s="276"/>
      <c r="J88" s="276"/>
      <c r="K88" s="276"/>
      <c r="L88" s="276"/>
      <c r="M88" s="276"/>
      <c r="N88" s="276"/>
      <c r="O88" s="276"/>
      <c r="P88" s="276"/>
      <c r="Q88" s="276"/>
      <c r="R88" s="276"/>
    </row>
    <row r="89" spans="1:18" x14ac:dyDescent="0.25">
      <c r="A89" s="84" t="s">
        <v>70</v>
      </c>
      <c r="B89" s="78"/>
      <c r="C89" s="237">
        <f>base!$E$14</f>
        <v>6.9295020999999998E-2</v>
      </c>
      <c r="D89" s="278"/>
      <c r="E89" s="277"/>
      <c r="F89" s="277"/>
      <c r="G89" s="277"/>
      <c r="H89" s="277"/>
      <c r="I89" s="276"/>
      <c r="J89" s="276"/>
      <c r="K89" s="276"/>
      <c r="L89" s="276"/>
      <c r="M89" s="276"/>
      <c r="N89" s="276"/>
      <c r="O89" s="276"/>
      <c r="P89" s="276"/>
      <c r="Q89" s="276"/>
      <c r="R89" s="276"/>
    </row>
    <row r="90" spans="1:18" x14ac:dyDescent="0.25">
      <c r="A90" s="86" t="s">
        <v>71</v>
      </c>
      <c r="B90" s="70"/>
      <c r="C90" s="106">
        <f>+iss!D5</f>
        <v>2.5000000000000001E-2</v>
      </c>
      <c r="D90" s="278"/>
      <c r="E90" s="277"/>
      <c r="F90" s="277"/>
      <c r="G90" s="277"/>
      <c r="H90" s="277"/>
      <c r="I90" s="276"/>
      <c r="J90" s="276"/>
      <c r="K90" s="276"/>
      <c r="L90" s="276"/>
      <c r="M90" s="276"/>
      <c r="N90" s="276"/>
      <c r="O90" s="276"/>
      <c r="P90" s="276"/>
      <c r="Q90" s="276"/>
      <c r="R90" s="276"/>
    </row>
    <row r="91" spans="1:18" x14ac:dyDescent="0.25">
      <c r="A91" s="84" t="s">
        <v>72</v>
      </c>
      <c r="B91" s="107"/>
      <c r="C91" s="108">
        <v>0.03</v>
      </c>
      <c r="D91" s="278"/>
      <c r="E91" s="277"/>
      <c r="F91" s="277"/>
      <c r="G91" s="277"/>
      <c r="H91" s="277"/>
      <c r="I91" s="276"/>
      <c r="J91" s="276"/>
      <c r="K91" s="276"/>
      <c r="L91" s="276"/>
      <c r="M91" s="276"/>
      <c r="N91" s="276"/>
      <c r="O91" s="276"/>
      <c r="P91" s="276"/>
      <c r="Q91" s="276"/>
      <c r="R91" s="276"/>
    </row>
    <row r="92" spans="1:18" ht="15.75" thickBot="1" x14ac:dyDescent="0.3">
      <c r="A92" s="86" t="s">
        <v>73</v>
      </c>
      <c r="B92" s="70"/>
      <c r="C92" s="106">
        <v>6.4999999999999997E-3</v>
      </c>
      <c r="D92" s="278"/>
      <c r="E92" s="277"/>
      <c r="F92" s="277"/>
      <c r="G92" s="277"/>
      <c r="H92" s="277"/>
      <c r="I92" s="276"/>
      <c r="J92" s="276"/>
      <c r="K92" s="276"/>
      <c r="L92" s="276"/>
      <c r="M92" s="276"/>
      <c r="N92" s="276"/>
      <c r="O92" s="276"/>
      <c r="P92" s="276"/>
      <c r="Q92" s="276"/>
      <c r="R92" s="276"/>
    </row>
    <row r="93" spans="1:18" ht="15.75" thickBot="1" x14ac:dyDescent="0.3">
      <c r="A93" s="96" t="s">
        <v>74</v>
      </c>
      <c r="B93" s="104"/>
      <c r="C93" s="97">
        <f>SUM(C88:C92)</f>
        <v>0.20079502100000002</v>
      </c>
      <c r="D93" s="278"/>
      <c r="E93" s="277"/>
      <c r="F93" s="277"/>
      <c r="G93" s="277"/>
      <c r="H93" s="277"/>
      <c r="I93" s="276"/>
      <c r="J93" s="276"/>
      <c r="K93" s="276"/>
      <c r="L93" s="276"/>
      <c r="M93" s="276"/>
      <c r="N93" s="276"/>
      <c r="O93" s="276"/>
      <c r="P93" s="276"/>
      <c r="Q93" s="276"/>
      <c r="R93" s="276"/>
    </row>
    <row r="94" spans="1:18" ht="15.75" thickBot="1" x14ac:dyDescent="0.3">
      <c r="A94" s="244"/>
      <c r="B94" s="239">
        <f>+C93*100</f>
        <v>20.079502100000003</v>
      </c>
      <c r="C94" s="240">
        <f>100-B94</f>
        <v>79.920497900000001</v>
      </c>
      <c r="D94" s="278"/>
      <c r="E94" s="277"/>
      <c r="F94" s="277"/>
      <c r="G94" s="277"/>
      <c r="H94" s="277"/>
      <c r="I94" s="276"/>
      <c r="J94" s="276"/>
      <c r="K94" s="276"/>
      <c r="L94" s="276"/>
      <c r="M94" s="276"/>
      <c r="N94" s="276"/>
      <c r="O94" s="276"/>
      <c r="P94" s="276"/>
      <c r="Q94" s="276"/>
      <c r="R94" s="276"/>
    </row>
    <row r="95" spans="1:18" ht="15.75" thickBot="1" x14ac:dyDescent="0.3">
      <c r="A95" s="96" t="s">
        <v>75</v>
      </c>
      <c r="B95" s="104"/>
      <c r="C95" s="234">
        <f>SUM(C85*B94/C94)</f>
        <v>814.95548821331863</v>
      </c>
      <c r="D95" s="278"/>
      <c r="E95" s="277"/>
      <c r="F95" s="277"/>
      <c r="G95" s="277"/>
      <c r="H95" s="277"/>
      <c r="I95" s="276"/>
      <c r="J95" s="276"/>
      <c r="K95" s="276"/>
      <c r="L95" s="276"/>
      <c r="M95" s="276"/>
      <c r="N95" s="276"/>
      <c r="O95" s="276"/>
      <c r="P95" s="276"/>
      <c r="Q95" s="276"/>
      <c r="R95" s="276"/>
    </row>
    <row r="96" spans="1:18" ht="15.75" thickBot="1" x14ac:dyDescent="0.3">
      <c r="A96" s="539"/>
      <c r="B96" s="539"/>
      <c r="C96" s="95"/>
      <c r="D96" s="278"/>
      <c r="E96" s="277"/>
      <c r="F96" s="277"/>
      <c r="G96" s="277"/>
      <c r="H96" s="277"/>
      <c r="I96" s="276"/>
      <c r="J96" s="276"/>
      <c r="K96" s="276"/>
      <c r="L96" s="276"/>
      <c r="M96" s="276"/>
      <c r="N96" s="276"/>
      <c r="O96" s="276"/>
      <c r="P96" s="276"/>
      <c r="Q96" s="276"/>
      <c r="R96" s="276"/>
    </row>
    <row r="97" spans="1:18" ht="15.75" thickBot="1" x14ac:dyDescent="0.3">
      <c r="A97" s="82" t="s">
        <v>76</v>
      </c>
      <c r="B97" s="82"/>
      <c r="C97" s="83">
        <f>C85+C95</f>
        <v>4058.6439053850772</v>
      </c>
      <c r="D97" s="278"/>
      <c r="E97" s="277"/>
      <c r="F97" s="277"/>
      <c r="G97" s="277"/>
      <c r="H97" s="277"/>
      <c r="I97" s="276"/>
      <c r="J97" s="276"/>
      <c r="K97" s="276"/>
      <c r="L97" s="276"/>
      <c r="M97" s="276"/>
      <c r="N97" s="276"/>
      <c r="O97" s="276"/>
      <c r="P97" s="276"/>
      <c r="Q97" s="276"/>
      <c r="R97" s="276"/>
    </row>
    <row r="98" spans="1:18" ht="15.75" thickBot="1" x14ac:dyDescent="0.3">
      <c r="A98" s="109"/>
      <c r="B98" s="109"/>
      <c r="C98" s="110"/>
      <c r="D98" s="278"/>
      <c r="E98" s="277"/>
      <c r="F98" s="277"/>
      <c r="G98" s="277"/>
      <c r="H98" s="277"/>
      <c r="I98" s="276"/>
      <c r="J98" s="276"/>
      <c r="K98" s="276"/>
      <c r="L98" s="276"/>
      <c r="M98" s="276"/>
      <c r="N98" s="276"/>
      <c r="O98" s="276"/>
      <c r="P98" s="276"/>
      <c r="Q98" s="276"/>
      <c r="R98" s="276"/>
    </row>
    <row r="99" spans="1:18" ht="15.75" thickBot="1" x14ac:dyDescent="0.3">
      <c r="A99" s="82" t="s">
        <v>121</v>
      </c>
      <c r="B99" s="82"/>
      <c r="C99" s="83">
        <f>ROUND(C97,2)</f>
        <v>4058.64</v>
      </c>
      <c r="D99" s="278"/>
      <c r="E99" s="277"/>
      <c r="F99" s="277"/>
      <c r="G99" s="277"/>
      <c r="H99" s="277"/>
      <c r="I99" s="276"/>
      <c r="J99" s="276"/>
      <c r="K99" s="276"/>
      <c r="L99" s="276"/>
      <c r="M99" s="276"/>
      <c r="N99" s="276"/>
      <c r="O99" s="276"/>
      <c r="P99" s="276"/>
      <c r="Q99" s="276"/>
      <c r="R99" s="276"/>
    </row>
    <row r="100" spans="1:18" x14ac:dyDescent="0.25">
      <c r="A100" s="69"/>
      <c r="B100" s="69"/>
      <c r="C100" s="69"/>
      <c r="D100" s="277"/>
      <c r="E100" s="277"/>
      <c r="F100" s="277"/>
      <c r="G100" s="277"/>
      <c r="H100" s="277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</row>
    <row r="101" spans="1:18" x14ac:dyDescent="0.25"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</row>
    <row r="102" spans="1:18" x14ac:dyDescent="0.25"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</row>
    <row r="103" spans="1:18" x14ac:dyDescent="0.25"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</row>
    <row r="104" spans="1:18" x14ac:dyDescent="0.25"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</row>
    <row r="105" spans="1:18" x14ac:dyDescent="0.25"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</row>
    <row r="106" spans="1:18" x14ac:dyDescent="0.25"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</row>
    <row r="107" spans="1:18" x14ac:dyDescent="0.25"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</row>
    <row r="108" spans="1:18" x14ac:dyDescent="0.25"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</row>
    <row r="109" spans="1:18" x14ac:dyDescent="0.25"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</row>
    <row r="110" spans="1:18" x14ac:dyDescent="0.25"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</row>
  </sheetData>
  <mergeCells count="16">
    <mergeCell ref="A6:C6"/>
    <mergeCell ref="A12:B12"/>
    <mergeCell ref="A14:C14"/>
    <mergeCell ref="A96:B96"/>
    <mergeCell ref="A2:C2"/>
    <mergeCell ref="A15:B15"/>
    <mergeCell ref="A25:C25"/>
    <mergeCell ref="A71:B71"/>
    <mergeCell ref="A85:B85"/>
    <mergeCell ref="A3:C3"/>
    <mergeCell ref="A8:A9"/>
    <mergeCell ref="B8:B9"/>
    <mergeCell ref="C8:C9"/>
    <mergeCell ref="A11:C11"/>
    <mergeCell ref="A4:C4"/>
    <mergeCell ref="A5:C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70" workbookViewId="0">
      <selection activeCell="C77" sqref="C77"/>
    </sheetView>
  </sheetViews>
  <sheetFormatPr defaultRowHeight="15" x14ac:dyDescent="0.25"/>
  <cols>
    <col min="1" max="1" width="50.140625" customWidth="1"/>
    <col min="2" max="2" width="18.85546875" customWidth="1"/>
    <col min="3" max="3" width="20.28515625" customWidth="1"/>
    <col min="4" max="4" width="12" customWidth="1"/>
    <col min="5" max="5" width="15.7109375" customWidth="1"/>
    <col min="6" max="6" width="16.140625" customWidth="1"/>
    <col min="7" max="7" width="15.42578125" customWidth="1"/>
    <col min="8" max="8" width="14.5703125" customWidth="1"/>
  </cols>
  <sheetData>
    <row r="1" spans="1:8" s="68" customFormat="1" ht="15.75" thickBot="1" x14ac:dyDescent="0.3">
      <c r="A1" s="132" t="s">
        <v>78</v>
      </c>
    </row>
    <row r="2" spans="1:8" s="68" customFormat="1" ht="15.75" thickBot="1" x14ac:dyDescent="0.3">
      <c r="A2" s="550" t="s">
        <v>80</v>
      </c>
      <c r="B2" s="551"/>
      <c r="C2" s="552"/>
    </row>
    <row r="3" spans="1:8" s="68" customFormat="1" ht="15.75" x14ac:dyDescent="0.25">
      <c r="A3" s="548" t="s">
        <v>1</v>
      </c>
      <c r="B3" s="548"/>
      <c r="C3" s="548"/>
      <c r="D3" s="69"/>
      <c r="E3" s="69"/>
      <c r="F3" s="69"/>
      <c r="G3" s="69"/>
      <c r="H3" s="69"/>
    </row>
    <row r="4" spans="1:8" s="68" customFormat="1" ht="15.75" x14ac:dyDescent="0.25">
      <c r="A4" s="548" t="s">
        <v>122</v>
      </c>
      <c r="B4" s="548"/>
      <c r="C4" s="548"/>
      <c r="D4" s="70"/>
      <c r="E4" s="69"/>
      <c r="F4" s="69"/>
      <c r="G4" s="69"/>
      <c r="H4" s="69"/>
    </row>
    <row r="5" spans="1:8" ht="15.75" thickBot="1" x14ac:dyDescent="0.3">
      <c r="A5" s="540" t="s">
        <v>3</v>
      </c>
      <c r="B5" s="540"/>
      <c r="C5" s="540"/>
      <c r="D5" s="2"/>
      <c r="E5" s="1"/>
      <c r="F5" s="1"/>
      <c r="G5" s="1"/>
      <c r="H5" s="1"/>
    </row>
    <row r="6" spans="1:8" x14ac:dyDescent="0.25">
      <c r="A6" s="383" t="s">
        <v>4</v>
      </c>
      <c r="B6" s="383"/>
      <c r="C6" s="383"/>
      <c r="D6" s="2"/>
      <c r="E6" s="1"/>
      <c r="F6" s="1"/>
      <c r="G6" s="1"/>
      <c r="H6" s="1"/>
    </row>
    <row r="7" spans="1:8" x14ac:dyDescent="0.25">
      <c r="A7" s="71" t="s">
        <v>5</v>
      </c>
      <c r="B7" s="72" t="s">
        <v>6</v>
      </c>
      <c r="C7" s="70"/>
      <c r="D7" s="2"/>
      <c r="E7" s="1"/>
      <c r="F7" s="1"/>
      <c r="G7" s="1"/>
      <c r="H7" s="1"/>
    </row>
    <row r="8" spans="1:8" x14ac:dyDescent="0.25">
      <c r="A8" s="543" t="s">
        <v>7</v>
      </c>
      <c r="B8" s="545" t="s">
        <v>8</v>
      </c>
      <c r="C8" s="545"/>
      <c r="D8" s="2"/>
      <c r="E8" s="1"/>
      <c r="F8" s="1"/>
      <c r="G8" s="1"/>
      <c r="H8" s="1"/>
    </row>
    <row r="9" spans="1:8" ht="15.75" thickBot="1" x14ac:dyDescent="0.3">
      <c r="A9" s="544"/>
      <c r="B9" s="546"/>
      <c r="C9" s="546"/>
      <c r="D9" s="2"/>
      <c r="E9" s="1"/>
      <c r="F9" s="1"/>
      <c r="G9" s="1"/>
      <c r="H9" s="1"/>
    </row>
    <row r="10" spans="1:8" ht="15.75" thickBot="1" x14ac:dyDescent="0.3">
      <c r="A10" s="70"/>
      <c r="B10" s="69"/>
      <c r="C10" s="69"/>
      <c r="D10" s="2"/>
      <c r="E10" s="1"/>
      <c r="F10" s="1"/>
      <c r="G10" s="1"/>
      <c r="H10" s="1"/>
    </row>
    <row r="11" spans="1:8" x14ac:dyDescent="0.25">
      <c r="A11" s="547" t="s">
        <v>9</v>
      </c>
      <c r="B11" s="547"/>
      <c r="C11" s="547"/>
      <c r="D11" s="2"/>
      <c r="E11" s="1"/>
      <c r="F11" s="1"/>
      <c r="G11" s="1"/>
      <c r="H11" s="1"/>
    </row>
    <row r="12" spans="1:8" ht="15.75" thickBot="1" x14ac:dyDescent="0.3">
      <c r="A12" s="382" t="s">
        <v>10</v>
      </c>
      <c r="B12" s="382"/>
      <c r="C12" s="73">
        <f>base!E2</f>
        <v>1561</v>
      </c>
      <c r="D12" s="2"/>
      <c r="E12" s="1"/>
      <c r="F12" s="1"/>
      <c r="G12" s="1"/>
      <c r="H12" s="1"/>
    </row>
    <row r="13" spans="1:8" ht="15.75" thickBot="1" x14ac:dyDescent="0.3">
      <c r="A13" s="70"/>
      <c r="B13" s="70"/>
      <c r="C13" s="69"/>
      <c r="D13" s="2"/>
      <c r="E13" s="1"/>
      <c r="F13" s="1"/>
      <c r="G13" s="1"/>
      <c r="H13" s="1"/>
    </row>
    <row r="14" spans="1:8" x14ac:dyDescent="0.25">
      <c r="A14" s="547" t="s">
        <v>11</v>
      </c>
      <c r="B14" s="547"/>
      <c r="C14" s="547"/>
      <c r="D14" s="70"/>
      <c r="E14" s="69"/>
      <c r="F14" s="1"/>
      <c r="G14" s="1"/>
      <c r="H14" s="1"/>
    </row>
    <row r="15" spans="1:8" x14ac:dyDescent="0.25">
      <c r="A15" s="549" t="s">
        <v>12</v>
      </c>
      <c r="B15" s="549"/>
      <c r="C15" s="74">
        <f>C12</f>
        <v>1561</v>
      </c>
      <c r="D15" s="53"/>
      <c r="E15" s="69"/>
      <c r="F15" s="1"/>
      <c r="G15" s="1"/>
      <c r="H15" s="1"/>
    </row>
    <row r="16" spans="1:8" x14ac:dyDescent="0.25">
      <c r="A16" s="75" t="s">
        <v>13</v>
      </c>
      <c r="B16" s="76">
        <v>0.3</v>
      </c>
      <c r="C16" s="112">
        <f>C15*B16</f>
        <v>468.29999999999995</v>
      </c>
      <c r="D16" s="70"/>
      <c r="E16" s="69"/>
      <c r="F16" s="1"/>
      <c r="G16" s="1"/>
      <c r="H16" s="1"/>
    </row>
    <row r="17" spans="1:8" x14ac:dyDescent="0.25">
      <c r="A17" s="70" t="s">
        <v>214</v>
      </c>
      <c r="B17" s="70"/>
      <c r="C17" s="111">
        <f>SUM(C15:C16)/220*1.5*15.21875</f>
        <v>210.56870028409091</v>
      </c>
      <c r="D17" s="121" t="s">
        <v>116</v>
      </c>
      <c r="E17" s="69"/>
      <c r="F17" s="1"/>
      <c r="G17" s="1"/>
      <c r="H17" s="1"/>
    </row>
    <row r="18" spans="1:8" x14ac:dyDescent="0.25">
      <c r="A18" s="75" t="s">
        <v>15</v>
      </c>
      <c r="B18" s="76"/>
      <c r="C18" s="125">
        <f>((10*(7*4.345)*D18)/2)</f>
        <v>280.550725</v>
      </c>
      <c r="D18" s="127">
        <f>((C15+C16)/220)*0.2</f>
        <v>1.8448181818181819</v>
      </c>
      <c r="E18" s="69"/>
      <c r="F18" s="1"/>
      <c r="G18" s="1"/>
      <c r="H18" s="1"/>
    </row>
    <row r="19" spans="1:8" x14ac:dyDescent="0.25">
      <c r="A19" s="57" t="s">
        <v>14</v>
      </c>
      <c r="B19" s="58"/>
      <c r="C19" s="126">
        <v>0</v>
      </c>
      <c r="D19" s="70"/>
      <c r="E19" s="69" t="s">
        <v>215</v>
      </c>
      <c r="F19" s="1"/>
      <c r="G19" s="1"/>
      <c r="H19" s="1"/>
    </row>
    <row r="20" spans="1:8" x14ac:dyDescent="0.25">
      <c r="A20" s="75" t="s">
        <v>16</v>
      </c>
      <c r="B20" s="78"/>
      <c r="C20" s="125">
        <f>((C15+C16)/30)</f>
        <v>67.643333333333331</v>
      </c>
      <c r="D20" s="70"/>
      <c r="E20" s="69"/>
      <c r="F20" s="1"/>
      <c r="G20" s="1"/>
      <c r="H20" s="1"/>
    </row>
    <row r="21" spans="1:8" x14ac:dyDescent="0.25">
      <c r="A21" s="75" t="s">
        <v>216</v>
      </c>
      <c r="B21" s="78"/>
      <c r="C21" s="227">
        <f>SUM(C17:C18)/25*5</f>
        <v>98.223885056818176</v>
      </c>
      <c r="D21" s="70"/>
      <c r="E21" s="69"/>
      <c r="F21" s="1"/>
      <c r="G21" s="1"/>
      <c r="H21" s="1"/>
    </row>
    <row r="22" spans="1:8" x14ac:dyDescent="0.25">
      <c r="A22" s="79"/>
      <c r="B22" s="80"/>
      <c r="C22" s="81"/>
      <c r="D22" s="70"/>
      <c r="E22" s="69"/>
      <c r="F22" s="1"/>
      <c r="G22" s="1"/>
      <c r="H22" s="1"/>
    </row>
    <row r="23" spans="1:8" ht="15.75" thickBot="1" x14ac:dyDescent="0.3">
      <c r="A23" s="82" t="s">
        <v>18</v>
      </c>
      <c r="B23" s="82"/>
      <c r="C23" s="83">
        <f>SUM(C15:C22)</f>
        <v>2686.2866436742424</v>
      </c>
      <c r="D23" s="70"/>
      <c r="E23" s="69"/>
      <c r="F23" s="1"/>
      <c r="G23" s="1"/>
      <c r="H23" s="1"/>
    </row>
    <row r="24" spans="1:8" ht="15.75" thickBot="1" x14ac:dyDescent="0.3">
      <c r="A24" s="70"/>
      <c r="B24" s="70"/>
      <c r="C24" s="69"/>
      <c r="D24" s="70"/>
      <c r="E24" s="69"/>
      <c r="F24" s="1"/>
      <c r="G24" s="1"/>
      <c r="H24" s="1"/>
    </row>
    <row r="25" spans="1:8" x14ac:dyDescent="0.25">
      <c r="A25" s="547" t="s">
        <v>19</v>
      </c>
      <c r="B25" s="547"/>
      <c r="C25" s="547"/>
      <c r="D25" s="70"/>
      <c r="E25" s="69"/>
      <c r="F25" s="1"/>
      <c r="G25" s="1"/>
      <c r="H25" s="1"/>
    </row>
    <row r="26" spans="1:8" x14ac:dyDescent="0.25">
      <c r="A26" s="71" t="s">
        <v>20</v>
      </c>
      <c r="B26" s="70"/>
      <c r="C26" s="111"/>
      <c r="D26" s="70"/>
      <c r="E26" s="69"/>
      <c r="F26" s="1"/>
      <c r="G26" s="1"/>
      <c r="H26" s="1"/>
    </row>
    <row r="27" spans="1:8" x14ac:dyDescent="0.25">
      <c r="A27" s="84" t="s">
        <v>21</v>
      </c>
      <c r="B27" s="85">
        <v>0.2</v>
      </c>
      <c r="C27" s="112">
        <f t="shared" ref="C27:C34" si="0">SUM(C$23*B27)</f>
        <v>537.25732873484856</v>
      </c>
      <c r="D27" s="70"/>
      <c r="E27" s="69"/>
      <c r="F27" s="1"/>
      <c r="G27" s="1"/>
      <c r="H27" s="1"/>
    </row>
    <row r="28" spans="1:8" x14ac:dyDescent="0.25">
      <c r="A28" s="86" t="s">
        <v>22</v>
      </c>
      <c r="B28" s="87">
        <v>0.08</v>
      </c>
      <c r="C28" s="113">
        <f t="shared" si="0"/>
        <v>214.90293149393941</v>
      </c>
      <c r="D28" s="70"/>
      <c r="E28" s="69"/>
      <c r="F28" s="1"/>
      <c r="G28" s="1"/>
      <c r="H28" s="1"/>
    </row>
    <row r="29" spans="1:8" x14ac:dyDescent="0.25">
      <c r="A29" s="84" t="s">
        <v>23</v>
      </c>
      <c r="B29" s="85">
        <v>1.4999999999999999E-2</v>
      </c>
      <c r="C29" s="112">
        <f t="shared" si="0"/>
        <v>40.294299655113633</v>
      </c>
      <c r="D29" s="70"/>
      <c r="E29" s="69"/>
      <c r="F29" s="1"/>
      <c r="G29" s="1"/>
      <c r="H29" s="1"/>
    </row>
    <row r="30" spans="1:8" x14ac:dyDescent="0.25">
      <c r="A30" s="86" t="s">
        <v>24</v>
      </c>
      <c r="B30" s="87">
        <v>0.01</v>
      </c>
      <c r="C30" s="113">
        <f t="shared" si="0"/>
        <v>26.862866436742426</v>
      </c>
      <c r="D30" s="70"/>
      <c r="E30" s="69"/>
      <c r="F30" s="1"/>
      <c r="G30" s="1"/>
      <c r="H30" s="1"/>
    </row>
    <row r="31" spans="1:8" x14ac:dyDescent="0.25">
      <c r="A31" s="84" t="s">
        <v>25</v>
      </c>
      <c r="B31" s="85">
        <v>2E-3</v>
      </c>
      <c r="C31" s="112">
        <f t="shared" si="0"/>
        <v>5.3725732873484846</v>
      </c>
      <c r="D31" s="70"/>
      <c r="E31" s="69"/>
      <c r="F31" s="1"/>
      <c r="G31" s="1"/>
      <c r="H31" s="1"/>
    </row>
    <row r="32" spans="1:8" x14ac:dyDescent="0.25">
      <c r="A32" s="86" t="s">
        <v>26</v>
      </c>
      <c r="B32" s="87">
        <v>6.0000000000000001E-3</v>
      </c>
      <c r="C32" s="113">
        <f t="shared" si="0"/>
        <v>16.117719862045455</v>
      </c>
      <c r="D32" s="70"/>
      <c r="E32" s="69"/>
      <c r="F32" s="1"/>
      <c r="G32" s="1"/>
      <c r="H32" s="1"/>
    </row>
    <row r="33" spans="1:8" x14ac:dyDescent="0.25">
      <c r="A33" s="84" t="s">
        <v>27</v>
      </c>
      <c r="B33" s="85">
        <v>2.5000000000000001E-2</v>
      </c>
      <c r="C33" s="112">
        <f t="shared" si="0"/>
        <v>67.15716609185607</v>
      </c>
      <c r="D33" s="70"/>
      <c r="E33" s="69"/>
      <c r="F33" s="1"/>
      <c r="G33" s="1"/>
      <c r="H33" s="1"/>
    </row>
    <row r="34" spans="1:8" x14ac:dyDescent="0.25">
      <c r="A34" s="86" t="s">
        <v>28</v>
      </c>
      <c r="B34" s="236">
        <f>base!E26</f>
        <v>3.2300000000000002E-2</v>
      </c>
      <c r="C34" s="113">
        <f t="shared" si="0"/>
        <v>86.767058590678033</v>
      </c>
      <c r="D34" s="70"/>
      <c r="E34" s="69"/>
      <c r="F34" s="1"/>
      <c r="G34" s="1"/>
      <c r="H34" s="1"/>
    </row>
    <row r="35" spans="1:8" x14ac:dyDescent="0.25">
      <c r="A35" s="88" t="s">
        <v>29</v>
      </c>
      <c r="B35" s="89">
        <f>SUM(B27:B34)</f>
        <v>0.37030000000000007</v>
      </c>
      <c r="C35" s="114">
        <f>SUM(C27:C34)</f>
        <v>994.73194415257205</v>
      </c>
      <c r="D35" s="70"/>
      <c r="E35" s="69"/>
      <c r="F35" s="1"/>
      <c r="G35" s="1"/>
      <c r="H35" s="1"/>
    </row>
    <row r="36" spans="1:8" x14ac:dyDescent="0.25">
      <c r="A36" s="70"/>
      <c r="B36" s="70"/>
      <c r="C36" s="69"/>
      <c r="D36" s="70"/>
      <c r="E36" s="69"/>
      <c r="F36" s="1"/>
      <c r="G36" s="1"/>
      <c r="H36" s="1"/>
    </row>
    <row r="37" spans="1:8" x14ac:dyDescent="0.25">
      <c r="A37" s="88" t="s">
        <v>30</v>
      </c>
      <c r="B37" s="88"/>
      <c r="C37" s="90"/>
      <c r="D37" s="70"/>
      <c r="E37" s="69"/>
      <c r="F37" s="1"/>
      <c r="G37" s="1"/>
      <c r="H37" s="1"/>
    </row>
    <row r="38" spans="1:8" x14ac:dyDescent="0.25">
      <c r="A38" s="86" t="s">
        <v>31</v>
      </c>
      <c r="B38" s="87">
        <f>(1/12)</f>
        <v>8.3333333333333329E-2</v>
      </c>
      <c r="C38" s="113">
        <f t="shared" ref="C38:C45" si="1">SUM(C$23*B38)</f>
        <v>223.85722030618686</v>
      </c>
      <c r="D38" s="60"/>
      <c r="E38" s="69"/>
      <c r="F38" s="1"/>
      <c r="G38" s="1"/>
      <c r="H38" s="1"/>
    </row>
    <row r="39" spans="1:8" x14ac:dyDescent="0.25">
      <c r="A39" s="84" t="s">
        <v>32</v>
      </c>
      <c r="B39" s="85">
        <f>((1+1/3)/12)</f>
        <v>0.1111111111111111</v>
      </c>
      <c r="C39" s="112">
        <f t="shared" si="1"/>
        <v>298.47629374158248</v>
      </c>
      <c r="D39" s="61"/>
      <c r="E39" s="69"/>
      <c r="F39" s="1"/>
      <c r="G39" s="1"/>
      <c r="H39" s="1"/>
    </row>
    <row r="40" spans="1:8" x14ac:dyDescent="0.25">
      <c r="A40" s="86" t="s">
        <v>33</v>
      </c>
      <c r="B40" s="87">
        <f>((7/30)/12)</f>
        <v>1.9444444444444445E-2</v>
      </c>
      <c r="C40" s="113">
        <f t="shared" si="1"/>
        <v>52.23335140477694</v>
      </c>
      <c r="D40" s="61"/>
      <c r="E40" s="69"/>
      <c r="F40" s="1"/>
      <c r="G40" s="1"/>
      <c r="H40" s="1"/>
    </row>
    <row r="41" spans="1:8" x14ac:dyDescent="0.25">
      <c r="A41" s="84" t="s">
        <v>34</v>
      </c>
      <c r="B41" s="85">
        <f>((5/30)/12)</f>
        <v>1.3888888888888888E-2</v>
      </c>
      <c r="C41" s="112">
        <f t="shared" si="1"/>
        <v>37.30953671769781</v>
      </c>
      <c r="D41" s="61"/>
      <c r="E41" s="69"/>
      <c r="F41" s="1"/>
      <c r="G41" s="1"/>
      <c r="H41" s="1"/>
    </row>
    <row r="42" spans="1:8" x14ac:dyDescent="0.25">
      <c r="A42" s="86" t="s">
        <v>35</v>
      </c>
      <c r="B42" s="87">
        <f>(((15/30)/12)*0.05)</f>
        <v>2.0833333333333333E-3</v>
      </c>
      <c r="C42" s="113">
        <f t="shared" si="1"/>
        <v>5.5964305076546719</v>
      </c>
      <c r="D42" s="61"/>
      <c r="E42" s="69"/>
      <c r="F42" s="1"/>
      <c r="G42" s="1"/>
      <c r="H42" s="1"/>
    </row>
    <row r="43" spans="1:8" x14ac:dyDescent="0.25">
      <c r="A43" s="84" t="s">
        <v>36</v>
      </c>
      <c r="B43" s="85">
        <f>((2/30)/12)</f>
        <v>5.5555555555555558E-3</v>
      </c>
      <c r="C43" s="112">
        <f t="shared" si="1"/>
        <v>14.923814687079124</v>
      </c>
      <c r="D43" s="61"/>
      <c r="E43" s="69"/>
      <c r="F43" s="1"/>
      <c r="G43" s="1"/>
      <c r="H43" s="1"/>
    </row>
    <row r="44" spans="1:8" x14ac:dyDescent="0.25">
      <c r="A44" s="86" t="s">
        <v>37</v>
      </c>
      <c r="B44" s="87">
        <f>(0.1111*0.02*0.333)</f>
        <v>7.3992600000000002E-4</v>
      </c>
      <c r="C44" s="113">
        <f t="shared" si="1"/>
        <v>1.9876533311073075</v>
      </c>
      <c r="D44" s="61"/>
      <c r="E44" s="69"/>
      <c r="F44" s="1"/>
      <c r="G44" s="1"/>
      <c r="H44" s="1"/>
    </row>
    <row r="45" spans="1:8" x14ac:dyDescent="0.25">
      <c r="A45" s="84" t="s">
        <v>38</v>
      </c>
      <c r="B45" s="85">
        <f>((5/30)/12)*0.015</f>
        <v>2.0833333333333332E-4</v>
      </c>
      <c r="C45" s="112">
        <f t="shared" si="1"/>
        <v>0.55964305076546716</v>
      </c>
      <c r="D45" s="61"/>
      <c r="E45" s="69"/>
      <c r="F45" s="1"/>
      <c r="G45" s="1"/>
      <c r="H45" s="1"/>
    </row>
    <row r="46" spans="1:8" x14ac:dyDescent="0.25">
      <c r="A46" s="70" t="s">
        <v>17</v>
      </c>
      <c r="B46" s="70"/>
      <c r="C46" s="69"/>
      <c r="D46" s="70"/>
      <c r="E46" s="69"/>
      <c r="F46" s="1"/>
      <c r="G46" s="1"/>
      <c r="H46" s="1"/>
    </row>
    <row r="47" spans="1:8" x14ac:dyDescent="0.25">
      <c r="A47" s="88" t="s">
        <v>39</v>
      </c>
      <c r="B47" s="89">
        <f>SUM(B38:B45)</f>
        <v>0.23636492599999998</v>
      </c>
      <c r="C47" s="114">
        <f>SUM(C38:C45)</f>
        <v>634.94394374685055</v>
      </c>
      <c r="D47" s="229"/>
      <c r="E47" s="69"/>
      <c r="F47" s="1"/>
      <c r="G47" s="1"/>
      <c r="H47" s="1"/>
    </row>
    <row r="48" spans="1:8" x14ac:dyDescent="0.25">
      <c r="A48" s="70"/>
      <c r="B48" s="70"/>
      <c r="C48" s="69"/>
      <c r="D48" s="70"/>
      <c r="E48" s="69"/>
      <c r="F48" s="1"/>
      <c r="G48" s="1"/>
      <c r="H48" s="1"/>
    </row>
    <row r="49" spans="1:8" x14ac:dyDescent="0.25">
      <c r="A49" s="88" t="s">
        <v>40</v>
      </c>
      <c r="B49" s="88"/>
      <c r="C49" s="90"/>
      <c r="D49" s="70"/>
      <c r="E49" s="69"/>
      <c r="F49" s="1"/>
      <c r="G49" s="1"/>
      <c r="H49" s="1"/>
    </row>
    <row r="50" spans="1:8" x14ac:dyDescent="0.25">
      <c r="A50" s="86" t="s">
        <v>41</v>
      </c>
      <c r="B50" s="87">
        <f>(0.16*(1/12))</f>
        <v>1.3333333333333332E-2</v>
      </c>
      <c r="C50" s="113">
        <f>SUM(C$23*B50)</f>
        <v>35.817155248989899</v>
      </c>
      <c r="D50" s="61"/>
      <c r="E50" s="69"/>
      <c r="F50" s="1"/>
      <c r="G50" s="1"/>
      <c r="H50" s="1"/>
    </row>
    <row r="51" spans="1:8" x14ac:dyDescent="0.25">
      <c r="A51" s="84" t="s">
        <v>42</v>
      </c>
      <c r="B51" s="85">
        <f>(0.02*(1/12))</f>
        <v>1.6666666666666666E-3</v>
      </c>
      <c r="C51" s="112">
        <f>SUM(C$23*B51)</f>
        <v>4.4771444061237373</v>
      </c>
      <c r="D51" s="61"/>
      <c r="E51" s="69"/>
      <c r="F51" s="1"/>
      <c r="G51" s="1"/>
      <c r="H51" s="1"/>
    </row>
    <row r="52" spans="1:8" ht="30" x14ac:dyDescent="0.25">
      <c r="A52" s="86" t="s">
        <v>43</v>
      </c>
      <c r="B52" s="87">
        <f>(1*0.4*0.08)</f>
        <v>3.2000000000000001E-2</v>
      </c>
      <c r="C52" s="113">
        <f>SUM(C$23*B52)</f>
        <v>85.961172597575754</v>
      </c>
      <c r="D52" s="61"/>
      <c r="E52" s="69"/>
      <c r="F52" s="1"/>
      <c r="G52" s="1"/>
      <c r="H52" s="1"/>
    </row>
    <row r="53" spans="1:8" ht="30" x14ac:dyDescent="0.25">
      <c r="A53" s="84" t="s">
        <v>44</v>
      </c>
      <c r="B53" s="85">
        <f>(1*0.1*0.08)</f>
        <v>8.0000000000000002E-3</v>
      </c>
      <c r="C53" s="112">
        <f>SUM(C$23*B53)</f>
        <v>21.490293149393938</v>
      </c>
      <c r="D53" s="61"/>
      <c r="E53" s="69"/>
      <c r="F53" s="1"/>
      <c r="G53" s="1"/>
      <c r="H53" s="1"/>
    </row>
    <row r="54" spans="1:8" x14ac:dyDescent="0.25">
      <c r="A54" s="71" t="s">
        <v>45</v>
      </c>
      <c r="B54" s="91">
        <f>SUM(B50:B53)</f>
        <v>5.5E-2</v>
      </c>
      <c r="C54" s="115">
        <f>SUM(C50:C53)</f>
        <v>147.74576540208332</v>
      </c>
      <c r="D54" s="70"/>
      <c r="E54" s="69"/>
      <c r="F54" s="1"/>
      <c r="G54" s="1"/>
      <c r="H54" s="1"/>
    </row>
    <row r="55" spans="1:8" x14ac:dyDescent="0.25">
      <c r="A55" s="70"/>
      <c r="B55" s="70"/>
      <c r="C55" s="69"/>
      <c r="D55" s="70"/>
      <c r="E55" s="69"/>
      <c r="F55" s="1"/>
      <c r="G55" s="1"/>
      <c r="H55" s="1"/>
    </row>
    <row r="56" spans="1:8" x14ac:dyDescent="0.25">
      <c r="A56" s="88" t="s">
        <v>46</v>
      </c>
      <c r="B56" s="88"/>
      <c r="C56" s="90"/>
      <c r="D56" s="70"/>
      <c r="E56" s="69"/>
      <c r="F56" s="1"/>
      <c r="G56" s="1"/>
      <c r="H56" s="1"/>
    </row>
    <row r="57" spans="1:8" ht="30" x14ac:dyDescent="0.25">
      <c r="A57" s="86" t="s">
        <v>47</v>
      </c>
      <c r="B57" s="87">
        <f>B35*B47</f>
        <v>8.7525932097800005E-2</v>
      </c>
      <c r="C57" s="113">
        <f>SUM(C$23*B57)</f>
        <v>235.11974236945883</v>
      </c>
      <c r="D57" s="61"/>
      <c r="E57" s="69"/>
      <c r="F57" s="1"/>
      <c r="G57" s="1"/>
      <c r="H57" s="1"/>
    </row>
    <row r="58" spans="1:8" x14ac:dyDescent="0.25">
      <c r="A58" s="88" t="s">
        <v>48</v>
      </c>
      <c r="B58" s="89">
        <f>B57</f>
        <v>8.7525932097800005E-2</v>
      </c>
      <c r="C58" s="116">
        <f>SUM(C57)</f>
        <v>235.11974236945883</v>
      </c>
      <c r="D58" s="70"/>
      <c r="E58" s="69"/>
      <c r="F58" s="1"/>
      <c r="G58" s="1"/>
      <c r="H58" s="1"/>
    </row>
    <row r="59" spans="1:8" x14ac:dyDescent="0.25">
      <c r="A59" s="70"/>
      <c r="B59" s="70"/>
      <c r="C59" s="69"/>
      <c r="D59" s="70"/>
      <c r="E59" s="69"/>
      <c r="F59" s="1"/>
      <c r="G59" s="1"/>
      <c r="H59" s="1"/>
    </row>
    <row r="60" spans="1:8" x14ac:dyDescent="0.25">
      <c r="A60" s="88" t="s">
        <v>49</v>
      </c>
      <c r="B60" s="88"/>
      <c r="C60" s="77"/>
      <c r="D60" s="70"/>
      <c r="E60" s="69"/>
      <c r="F60" s="1"/>
      <c r="G60" s="1"/>
      <c r="H60" s="1"/>
    </row>
    <row r="61" spans="1:8" ht="30" x14ac:dyDescent="0.25">
      <c r="A61" s="92" t="s">
        <v>50</v>
      </c>
      <c r="B61" s="87">
        <f>(B28*B50)</f>
        <v>1.0666666666666667E-3</v>
      </c>
      <c r="C61" s="113">
        <f>SUM(C$23*B61)</f>
        <v>2.8653724199191921</v>
      </c>
      <c r="D61" s="61"/>
      <c r="E61" s="69"/>
      <c r="F61" s="1"/>
      <c r="G61" s="1"/>
      <c r="H61" s="1"/>
    </row>
    <row r="62" spans="1:8" ht="45" x14ac:dyDescent="0.25">
      <c r="A62" s="93" t="s">
        <v>51</v>
      </c>
      <c r="B62" s="122">
        <f>(B28*B42)</f>
        <v>1.6666666666666666E-4</v>
      </c>
      <c r="C62" s="112">
        <f>SUM(C$23*B62)</f>
        <v>0.4477144406123737</v>
      </c>
      <c r="D62" s="63"/>
      <c r="E62" s="69"/>
      <c r="F62" s="1"/>
      <c r="G62" s="1"/>
      <c r="H62" s="1"/>
    </row>
    <row r="63" spans="1:8" x14ac:dyDescent="0.25">
      <c r="A63" s="71" t="s">
        <v>52</v>
      </c>
      <c r="B63" s="91">
        <f>B61+B62</f>
        <v>1.2333333333333335E-3</v>
      </c>
      <c r="C63" s="115">
        <f>SUM(C61:C62)</f>
        <v>3.3130868605315658</v>
      </c>
      <c r="D63" s="229"/>
      <c r="E63" s="69"/>
      <c r="F63" s="1"/>
      <c r="G63" s="1"/>
      <c r="H63" s="1"/>
    </row>
    <row r="64" spans="1:8" x14ac:dyDescent="0.25">
      <c r="A64" s="70"/>
      <c r="B64" s="70"/>
      <c r="C64" s="69"/>
      <c r="D64" s="70"/>
      <c r="E64" s="69"/>
      <c r="F64" s="1"/>
      <c r="G64" s="1"/>
      <c r="H64" s="1"/>
    </row>
    <row r="65" spans="1:10" x14ac:dyDescent="0.25">
      <c r="A65" s="88" t="s">
        <v>53</v>
      </c>
      <c r="B65" s="88"/>
      <c r="C65" s="90"/>
      <c r="D65" s="70"/>
      <c r="E65" s="69"/>
      <c r="F65" s="1"/>
      <c r="G65" s="1"/>
      <c r="H65" s="1"/>
    </row>
    <row r="66" spans="1:10" ht="45" x14ac:dyDescent="0.25">
      <c r="A66" s="86" t="s">
        <v>54</v>
      </c>
      <c r="B66" s="87">
        <f>(B35)*(13/12)*(4/12)*0.02</f>
        <v>2.6743888888888889E-3</v>
      </c>
      <c r="C66" s="113">
        <f>SUM(C$23*B66)</f>
        <v>7.1841751522130197</v>
      </c>
      <c r="D66" s="61"/>
      <c r="E66" s="69"/>
      <c r="F66" s="1"/>
      <c r="G66" s="1"/>
      <c r="H66" s="1"/>
    </row>
    <row r="67" spans="1:10" ht="15.75" thickBot="1" x14ac:dyDescent="0.3">
      <c r="A67" s="82" t="s">
        <v>55</v>
      </c>
      <c r="B67" s="94">
        <f>B66</f>
        <v>2.6743888888888889E-3</v>
      </c>
      <c r="C67" s="117">
        <f>C66</f>
        <v>7.1841751522130197</v>
      </c>
      <c r="D67" s="70"/>
      <c r="E67" s="69"/>
      <c r="F67" s="1"/>
      <c r="G67" s="1"/>
      <c r="H67" s="1"/>
    </row>
    <row r="68" spans="1:10" ht="15.75" thickBot="1" x14ac:dyDescent="0.3">
      <c r="A68" s="70"/>
      <c r="B68" s="69"/>
      <c r="C68" s="95"/>
      <c r="D68" s="70"/>
      <c r="E68" s="69"/>
      <c r="F68" s="1"/>
      <c r="G68" s="1"/>
      <c r="H68" s="1"/>
    </row>
    <row r="69" spans="1:10" ht="15.75" thickBot="1" x14ac:dyDescent="0.3">
      <c r="A69" s="225" t="s">
        <v>56</v>
      </c>
      <c r="B69" s="97">
        <f>B67+B63+B58+B47+B35+B54</f>
        <v>0.7530985803200223</v>
      </c>
      <c r="C69" s="83">
        <f>C67+C63+C58+C54+C47+C35</f>
        <v>2023.0386576837095</v>
      </c>
      <c r="D69" s="70"/>
      <c r="E69" s="69"/>
      <c r="F69" s="1"/>
      <c r="G69" s="1"/>
      <c r="H69" s="1"/>
    </row>
    <row r="70" spans="1:10" ht="15.75" thickBot="1" x14ac:dyDescent="0.3">
      <c r="A70" s="70"/>
      <c r="B70" s="70"/>
      <c r="C70" s="98"/>
      <c r="D70" s="70"/>
      <c r="E70" s="69"/>
      <c r="F70" s="1"/>
      <c r="G70" s="1"/>
      <c r="H70" s="1"/>
    </row>
    <row r="71" spans="1:10" ht="15" customHeight="1" thickBot="1" x14ac:dyDescent="0.3">
      <c r="A71" s="541" t="s">
        <v>57</v>
      </c>
      <c r="B71" s="541"/>
      <c r="C71" s="83">
        <f>C69+C23</f>
        <v>4709.3253013579524</v>
      </c>
      <c r="D71" s="70"/>
      <c r="E71" s="69"/>
      <c r="F71" s="1"/>
      <c r="G71" s="1"/>
      <c r="H71" s="1"/>
    </row>
    <row r="72" spans="1:10" ht="15.75" thickBot="1" x14ac:dyDescent="0.3">
      <c r="A72" s="70"/>
      <c r="B72" s="70"/>
      <c r="C72" s="95"/>
      <c r="D72" s="70"/>
      <c r="E72" s="69"/>
      <c r="F72" s="1"/>
      <c r="G72" s="1"/>
      <c r="H72" s="1"/>
    </row>
    <row r="73" spans="1:10" ht="15.75" customHeight="1" x14ac:dyDescent="0.25">
      <c r="A73" s="99" t="s">
        <v>58</v>
      </c>
      <c r="B73" s="99"/>
      <c r="C73" s="90"/>
      <c r="D73" s="70"/>
      <c r="E73" s="69"/>
      <c r="F73" s="1"/>
      <c r="G73" s="1"/>
      <c r="H73" s="1"/>
    </row>
    <row r="74" spans="1:10" x14ac:dyDescent="0.25">
      <c r="A74" s="79" t="s">
        <v>59</v>
      </c>
      <c r="B74" s="69"/>
      <c r="C74" s="232">
        <f>Uniforme!F28</f>
        <v>107.61381033333335</v>
      </c>
      <c r="D74" s="70"/>
      <c r="E74" s="69"/>
      <c r="F74" s="1"/>
      <c r="G74" s="1"/>
      <c r="H74" s="1"/>
    </row>
    <row r="75" spans="1:10" x14ac:dyDescent="0.25">
      <c r="A75" s="84" t="s">
        <v>60</v>
      </c>
      <c r="B75" s="230">
        <v>15.2188</v>
      </c>
      <c r="C75" s="112">
        <f>base!E6</f>
        <v>304.81692800000002</v>
      </c>
      <c r="D75" s="70"/>
      <c r="E75" s="69"/>
      <c r="F75" s="1"/>
      <c r="G75" s="1"/>
      <c r="H75" s="1"/>
    </row>
    <row r="76" spans="1:10" x14ac:dyDescent="0.25">
      <c r="A76" s="79" t="s">
        <v>61</v>
      </c>
      <c r="B76" s="69"/>
      <c r="C76" s="111" t="s">
        <v>341</v>
      </c>
      <c r="D76" s="69" t="s">
        <v>304</v>
      </c>
      <c r="E76" s="69"/>
      <c r="F76" s="69"/>
      <c r="G76" s="69"/>
      <c r="H76" s="69"/>
      <c r="I76" s="266"/>
      <c r="J76" s="266"/>
    </row>
    <row r="77" spans="1:10" x14ac:dyDescent="0.25">
      <c r="A77" s="79" t="s">
        <v>62</v>
      </c>
      <c r="B77" s="69"/>
      <c r="C77" s="232">
        <f>'depreciação de equipamento'!F11</f>
        <v>29.778499024999999</v>
      </c>
      <c r="D77" s="70"/>
      <c r="E77" s="69"/>
      <c r="F77" s="1"/>
      <c r="G77" s="1"/>
      <c r="H77" s="1"/>
    </row>
    <row r="78" spans="1:10" x14ac:dyDescent="0.25">
      <c r="A78" s="84" t="s">
        <v>63</v>
      </c>
      <c r="B78" s="84"/>
      <c r="C78" s="112"/>
      <c r="D78" s="70"/>
      <c r="E78" s="69"/>
      <c r="F78" s="1"/>
      <c r="G78" s="1"/>
      <c r="H78" s="1"/>
    </row>
    <row r="79" spans="1:10" x14ac:dyDescent="0.25">
      <c r="A79" s="79" t="s">
        <v>64</v>
      </c>
      <c r="B79" s="69"/>
      <c r="C79" s="232">
        <f>'depreciação de equipamento'!F13</f>
        <v>10.827437999999999</v>
      </c>
      <c r="D79" s="70"/>
      <c r="E79" s="69"/>
      <c r="F79" s="1"/>
      <c r="G79" s="1"/>
      <c r="H79" s="1"/>
    </row>
    <row r="80" spans="1:10" ht="15" customHeight="1" thickBot="1" x14ac:dyDescent="0.3">
      <c r="A80" s="79" t="s">
        <v>217</v>
      </c>
      <c r="B80" s="69"/>
      <c r="C80" s="233">
        <f>base!F22</f>
        <v>151.38999999999999</v>
      </c>
      <c r="D80" s="70"/>
      <c r="E80" s="69"/>
      <c r="F80" s="1"/>
      <c r="G80" s="1"/>
      <c r="H80" s="1"/>
    </row>
    <row r="81" spans="1:9" ht="15.75" thickBot="1" x14ac:dyDescent="0.3">
      <c r="A81" s="100" t="s">
        <v>65</v>
      </c>
      <c r="B81" s="101"/>
      <c r="C81" s="208">
        <f>SUM(C74:C80)</f>
        <v>604.42667535833334</v>
      </c>
      <c r="D81" s="70"/>
      <c r="E81" s="69"/>
      <c r="F81" s="1"/>
      <c r="G81" s="1"/>
      <c r="H81" s="1"/>
    </row>
    <row r="82" spans="1:9" ht="15.75" thickBot="1" x14ac:dyDescent="0.3">
      <c r="A82" s="69"/>
      <c r="B82" s="102"/>
      <c r="C82" s="103"/>
      <c r="D82" s="70"/>
      <c r="E82" s="69"/>
      <c r="F82" s="1"/>
      <c r="G82" s="1"/>
      <c r="H82" s="1"/>
    </row>
    <row r="83" spans="1:9" ht="15" customHeight="1" thickBot="1" x14ac:dyDescent="0.3">
      <c r="A83" s="100" t="s">
        <v>66</v>
      </c>
      <c r="B83" s="128">
        <v>0</v>
      </c>
      <c r="C83" s="124">
        <f>B83*30.42</f>
        <v>0</v>
      </c>
      <c r="D83" s="70"/>
      <c r="E83" s="69" t="s">
        <v>226</v>
      </c>
      <c r="F83" s="1"/>
      <c r="G83" s="1"/>
      <c r="H83" s="1"/>
    </row>
    <row r="84" spans="1:9" ht="15.75" thickBot="1" x14ac:dyDescent="0.3">
      <c r="A84" s="69"/>
      <c r="B84" s="102"/>
      <c r="C84" s="103"/>
      <c r="D84" s="70"/>
      <c r="E84" s="69"/>
      <c r="F84" s="1"/>
      <c r="G84" s="1"/>
      <c r="H84" s="1"/>
    </row>
    <row r="85" spans="1:9" ht="15" customHeight="1" thickBot="1" x14ac:dyDescent="0.3">
      <c r="A85" s="541" t="s">
        <v>67</v>
      </c>
      <c r="B85" s="542"/>
      <c r="C85" s="118">
        <f>C81+C69+C23</f>
        <v>5313.7519767162848</v>
      </c>
      <c r="D85" s="70"/>
      <c r="E85" s="69"/>
      <c r="F85" s="1"/>
      <c r="G85" s="1"/>
      <c r="H85" s="1"/>
    </row>
    <row r="86" spans="1:9" ht="15.75" thickBot="1" x14ac:dyDescent="0.3">
      <c r="A86" s="70"/>
      <c r="B86" s="70"/>
      <c r="C86" s="95"/>
      <c r="D86" s="70"/>
      <c r="E86" s="69"/>
      <c r="F86" s="1"/>
      <c r="G86" s="1"/>
      <c r="H86" s="1"/>
    </row>
    <row r="87" spans="1:9" ht="15.75" customHeight="1" x14ac:dyDescent="0.25">
      <c r="A87" s="99" t="s">
        <v>68</v>
      </c>
      <c r="B87" s="105"/>
      <c r="C87" s="90"/>
      <c r="D87" s="70"/>
      <c r="E87" s="69"/>
      <c r="F87" s="1"/>
      <c r="G87" s="1"/>
      <c r="H87" s="1"/>
    </row>
    <row r="88" spans="1:9" ht="15.75" customHeight="1" x14ac:dyDescent="0.25">
      <c r="A88" s="86" t="s">
        <v>69</v>
      </c>
      <c r="B88" s="69"/>
      <c r="C88" s="87">
        <f>base!$E$13</f>
        <v>7.0000000000000007E-2</v>
      </c>
      <c r="D88" s="70"/>
      <c r="E88" s="69"/>
      <c r="F88" s="1"/>
      <c r="G88" s="1"/>
      <c r="H88" s="1"/>
    </row>
    <row r="89" spans="1:9" x14ac:dyDescent="0.25">
      <c r="A89" s="84" t="s">
        <v>70</v>
      </c>
      <c r="B89" s="78"/>
      <c r="C89" s="237">
        <v>7.0750348000000005E-2</v>
      </c>
      <c r="D89" s="70"/>
      <c r="E89" s="69"/>
      <c r="F89" s="1"/>
      <c r="G89" s="1"/>
      <c r="H89" s="1"/>
    </row>
    <row r="90" spans="1:9" x14ac:dyDescent="0.25">
      <c r="A90" s="86" t="s">
        <v>71</v>
      </c>
      <c r="B90" s="70"/>
      <c r="C90" s="106">
        <f>+iss!D2</f>
        <v>0.04</v>
      </c>
      <c r="D90" s="70"/>
      <c r="E90" s="69"/>
      <c r="F90" s="1"/>
      <c r="G90" s="1"/>
      <c r="H90" s="1"/>
    </row>
    <row r="91" spans="1:9" x14ac:dyDescent="0.25">
      <c r="A91" s="84" t="s">
        <v>72</v>
      </c>
      <c r="B91" s="107"/>
      <c r="C91" s="108">
        <v>0.03</v>
      </c>
      <c r="D91" s="70"/>
      <c r="E91" s="69"/>
      <c r="F91" s="1"/>
      <c r="G91" s="1"/>
      <c r="H91" s="1"/>
    </row>
    <row r="92" spans="1:9" ht="15.75" thickBot="1" x14ac:dyDescent="0.3">
      <c r="A92" s="86" t="s">
        <v>73</v>
      </c>
      <c r="B92" s="70"/>
      <c r="C92" s="106">
        <v>6.4999999999999997E-3</v>
      </c>
      <c r="D92" s="70"/>
      <c r="E92" s="69"/>
      <c r="F92" s="1"/>
      <c r="G92" s="1"/>
      <c r="H92" s="1"/>
    </row>
    <row r="93" spans="1:9" ht="15.75" thickBot="1" x14ac:dyDescent="0.3">
      <c r="A93" s="225" t="s">
        <v>74</v>
      </c>
      <c r="B93" s="97"/>
      <c r="C93" s="97">
        <f>SUM(C88:C92)</f>
        <v>0.21725034800000004</v>
      </c>
      <c r="D93" s="275"/>
      <c r="E93" s="284"/>
      <c r="F93" s="284"/>
      <c r="G93" s="284"/>
      <c r="H93" s="284"/>
      <c r="I93" s="285"/>
    </row>
    <row r="94" spans="1:9" ht="15.75" thickBot="1" x14ac:dyDescent="0.3">
      <c r="A94" s="238"/>
      <c r="B94" s="239">
        <f>+C93*100</f>
        <v>21.725034800000003</v>
      </c>
      <c r="C94" s="240">
        <f>100-B94</f>
        <v>78.274965199999997</v>
      </c>
      <c r="D94" s="275"/>
      <c r="E94" s="284"/>
      <c r="F94" s="284"/>
      <c r="G94" s="284"/>
      <c r="H94" s="284"/>
      <c r="I94" s="285"/>
    </row>
    <row r="95" spans="1:9" ht="15.75" thickBot="1" x14ac:dyDescent="0.3">
      <c r="A95" s="82" t="s">
        <v>75</v>
      </c>
      <c r="B95" s="82"/>
      <c r="C95" s="234">
        <f>SUM(C85*B94/C94)</f>
        <v>1474.8195201079452</v>
      </c>
      <c r="D95" s="275"/>
      <c r="E95" s="286"/>
      <c r="F95" s="284"/>
      <c r="G95" s="284"/>
      <c r="H95" s="284"/>
      <c r="I95" s="285"/>
    </row>
    <row r="96" spans="1:9" ht="15.75" thickBot="1" x14ac:dyDescent="0.3">
      <c r="A96" s="539"/>
      <c r="B96" s="539"/>
      <c r="C96" s="95"/>
      <c r="D96" s="275"/>
      <c r="E96" s="284"/>
      <c r="F96" s="284"/>
      <c r="G96" s="284"/>
      <c r="H96" s="284"/>
      <c r="I96" s="285"/>
    </row>
    <row r="97" spans="1:8" ht="15.75" thickBot="1" x14ac:dyDescent="0.3">
      <c r="A97" s="241" t="s">
        <v>76</v>
      </c>
      <c r="B97" s="225"/>
      <c r="C97" s="242">
        <f>C85+C95</f>
        <v>6788.5714968242301</v>
      </c>
      <c r="D97" s="70"/>
      <c r="E97" s="69"/>
      <c r="F97" s="1"/>
      <c r="G97" s="50"/>
      <c r="H97" s="1"/>
    </row>
    <row r="98" spans="1:8" ht="15.75" thickBot="1" x14ac:dyDescent="0.3">
      <c r="A98" s="109"/>
      <c r="B98" s="109"/>
      <c r="C98" s="110"/>
      <c r="D98" s="70"/>
      <c r="E98" s="69"/>
      <c r="F98" s="1"/>
      <c r="G98" s="1"/>
      <c r="H98" s="1"/>
    </row>
    <row r="99" spans="1:8" ht="15.75" thickBot="1" x14ac:dyDescent="0.3">
      <c r="A99" s="241" t="s">
        <v>121</v>
      </c>
      <c r="B99" s="225"/>
      <c r="C99" s="242">
        <f>ROUND(C97*2,2)</f>
        <v>13577.14</v>
      </c>
      <c r="D99" s="70"/>
      <c r="E99" s="270"/>
      <c r="F99" s="1"/>
      <c r="G99" s="1"/>
      <c r="H99" s="1"/>
    </row>
    <row r="100" spans="1:8" x14ac:dyDescent="0.25">
      <c r="A100" s="69"/>
      <c r="B100" s="69"/>
      <c r="C100" s="69"/>
      <c r="D100" s="69"/>
      <c r="E100" s="69"/>
      <c r="F100" s="1"/>
      <c r="G100" s="1"/>
      <c r="H100" s="1"/>
    </row>
    <row r="101" spans="1:8" x14ac:dyDescent="0.25">
      <c r="A101" s="68"/>
      <c r="B101" s="68"/>
      <c r="C101" s="271"/>
      <c r="D101" s="212"/>
      <c r="E101" s="212"/>
    </row>
    <row r="102" spans="1:8" x14ac:dyDescent="0.25">
      <c r="A102" s="68"/>
      <c r="B102" s="68"/>
      <c r="C102" s="272"/>
      <c r="D102" s="68"/>
      <c r="E102" s="269"/>
    </row>
    <row r="103" spans="1:8" x14ac:dyDescent="0.25">
      <c r="A103" s="68"/>
      <c r="B103" s="68"/>
      <c r="C103" s="273"/>
      <c r="D103" s="68"/>
      <c r="E103" s="68"/>
    </row>
    <row r="104" spans="1:8" x14ac:dyDescent="0.25">
      <c r="A104" s="68"/>
      <c r="B104" s="68"/>
      <c r="C104" s="212"/>
      <c r="D104" s="68"/>
      <c r="E104" s="68"/>
    </row>
    <row r="105" spans="1:8" x14ac:dyDescent="0.25">
      <c r="A105" s="68"/>
      <c r="B105" s="68"/>
      <c r="C105" s="68"/>
      <c r="D105" s="68"/>
      <c r="E105" s="231"/>
    </row>
    <row r="106" spans="1:8" x14ac:dyDescent="0.25">
      <c r="A106" s="68"/>
      <c r="B106" s="68"/>
      <c r="C106" s="68"/>
      <c r="D106" s="68"/>
      <c r="E106" s="68"/>
    </row>
    <row r="107" spans="1:8" x14ac:dyDescent="0.25">
      <c r="A107" s="68"/>
      <c r="B107" s="68"/>
      <c r="C107" s="68"/>
      <c r="D107" s="68"/>
      <c r="E107" s="68"/>
    </row>
  </sheetData>
  <mergeCells count="16">
    <mergeCell ref="A96:B96"/>
    <mergeCell ref="A3:C3"/>
    <mergeCell ref="A8:A9"/>
    <mergeCell ref="B8:B9"/>
    <mergeCell ref="C8:C9"/>
    <mergeCell ref="A11:C11"/>
    <mergeCell ref="A4:C4"/>
    <mergeCell ref="A5:C5"/>
    <mergeCell ref="A6:C6"/>
    <mergeCell ref="A12:B12"/>
    <mergeCell ref="A14:C14"/>
    <mergeCell ref="A2:C2"/>
    <mergeCell ref="A15:B15"/>
    <mergeCell ref="A25:C25"/>
    <mergeCell ref="A71:B71"/>
    <mergeCell ref="A85:B85"/>
  </mergeCells>
  <hyperlinks>
    <hyperlink ref="A3" location="INICIO!A1" display="INICIO"/>
    <hyperlink ref="A1" location="INICIO!A1" display="INICIO"/>
  </hyperlinks>
  <pageMargins left="0.51181102362204722" right="0.51181102362204722" top="0.78740157480314965" bottom="0.78740157480314965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66</vt:i4>
      </vt:variant>
      <vt:variant>
        <vt:lpstr>Intervalos nomeados</vt:lpstr>
      </vt:variant>
      <vt:variant>
        <vt:i4>64</vt:i4>
      </vt:variant>
    </vt:vector>
  </HeadingPairs>
  <TitlesOfParts>
    <vt:vector size="130" baseType="lpstr">
      <vt:lpstr>iss</vt:lpstr>
      <vt:lpstr>INSUMOS</vt:lpstr>
      <vt:lpstr>base</vt:lpstr>
      <vt:lpstr>PROPOSTA DE PREÇO</vt:lpstr>
      <vt:lpstr>PROPOSTA DE PREÇO (2)</vt:lpstr>
      <vt:lpstr>CWB-12X36-NOTURNO- 2º A DOM   </vt:lpstr>
      <vt:lpstr>CWB-12X36-DIURNO- 2º A DOM   </vt:lpstr>
      <vt:lpstr>CWB- SDF 24 24HORAS</vt:lpstr>
      <vt:lpstr>ASSIS-12X36-NOTURNO- 2º A DOM</vt:lpstr>
      <vt:lpstr>ASSIS-12X36 DIURNO- 2º A DOM</vt:lpstr>
      <vt:lpstr>ASSIS- SDF 24HORAS</vt:lpstr>
      <vt:lpstr>FOZ-12X36 -NOTURNO- 2º A DOM</vt:lpstr>
      <vt:lpstr>FOZ-12X36-DIURNO - 2º A DOM</vt:lpstr>
      <vt:lpstr>FOZ- SDF 24HORAS</vt:lpstr>
      <vt:lpstr>IRATI-12X36 DIURNO 2º A DOM </vt:lpstr>
      <vt:lpstr>IRATI -12X36 NOTURNO 2º A DOM</vt:lpstr>
      <vt:lpstr>IVAIPORÃ 12X36 DIURNO 2º A DOM</vt:lpstr>
      <vt:lpstr>IVAIPORA 12X36 NOTURN  2ª A DOM</vt:lpstr>
      <vt:lpstr>JACAREZINHO 12X36 DIURNO 2ºADOM</vt:lpstr>
      <vt:lpstr>JACAREZINHO 12X36 NOT 2ºADOM</vt:lpstr>
      <vt:lpstr>LONDRINA 12X36 DIURNO 2º A DOM</vt:lpstr>
      <vt:lpstr>LONDRINA 12X36 NOTURNO 2º A DOM</vt:lpstr>
      <vt:lpstr>PARANAGUA 12X36 DIURNO 2º A DOM</vt:lpstr>
      <vt:lpstr>PARANAGUA 12X36 NOTURNO 2ºADOM</vt:lpstr>
      <vt:lpstr>PARANAVAÍ 12X36 NOTURN 2º A DOM</vt:lpstr>
      <vt:lpstr>PARANAVAI 44H SEMANAIS </vt:lpstr>
      <vt:lpstr>TELEMACO 12X36 DIURNO 2º A DOM</vt:lpstr>
      <vt:lpstr>TELEMACO 12X36 NOTURNO 2º A DOM</vt:lpstr>
      <vt:lpstr>UMUARAMA 12X36 DIURNO 2º A DOM</vt:lpstr>
      <vt:lpstr>UMUARAMA 12X36 NOTURNO 2º A DOM</vt:lpstr>
      <vt:lpstr>PALMAS 12X36 DIURNO 2º A DOM</vt:lpstr>
      <vt:lpstr>PALMAS 12X36 NOTURNO 2º A DOM</vt:lpstr>
      <vt:lpstr>PALMAS 12X36 NOTU 2º A DOM MOTO</vt:lpstr>
      <vt:lpstr>PALMAS- SDF 24 24HORAS</vt:lpstr>
      <vt:lpstr>CORONEL 12X36 NOTURNO 2º A DOM</vt:lpstr>
      <vt:lpstr>CASCAVEL 12X36 DIURNO 2º A DOM</vt:lpstr>
      <vt:lpstr>CASCAVEL 12X36 NOTURNO 2º A DOM</vt:lpstr>
      <vt:lpstr>Londrina 44H SEMANAIS </vt:lpstr>
      <vt:lpstr>CAMPO LAR 12X36 DIURNO 2º A DOM</vt:lpstr>
      <vt:lpstr>CAMPO LAR 12X36 NOTURN 2º A DOM</vt:lpstr>
      <vt:lpstr>CAMPO LARGO - SDF 24 24HORAS</vt:lpstr>
      <vt:lpstr>CAPANEMA 12X36 DIURNO 2º A DOM</vt:lpstr>
      <vt:lpstr>CAPANEMA 12X36 NOTURNO 2º A DOM</vt:lpstr>
      <vt:lpstr>COLOMBO12X36 DIURNO 2º A DOM</vt:lpstr>
      <vt:lpstr>COLOMBO12X36 NOTURNO 2º A DOM</vt:lpstr>
      <vt:lpstr>COLOMBO - SDF 24 24HORAS</vt:lpstr>
      <vt:lpstr>GOIOERE 12X36 DIURNO 2º A DOM</vt:lpstr>
      <vt:lpstr>GOIOERE12X36 NOTURNO 2º A DOM</vt:lpstr>
      <vt:lpstr>JAGUARIAI 12X36 DIURNO 2º A DOM</vt:lpstr>
      <vt:lpstr>JAGUARIAI 12X36 NOTURN 2º A DOM</vt:lpstr>
      <vt:lpstr>PINHAIS 12X36 DIURNO 2º A DOM</vt:lpstr>
      <vt:lpstr>PINHAIS 12X36 NOTURNO 2º A DOM</vt:lpstr>
      <vt:lpstr>PITANGA 12X36 DIURNO 2º A DOM</vt:lpstr>
      <vt:lpstr>PITANGA 12X36 NOTURNO 2º A DOM</vt:lpstr>
      <vt:lpstr>UNIAO 12X36 DIURNO 2º A DOM</vt:lpstr>
      <vt:lpstr>UNIAO 12X36 NOTURNO 2º A DOM</vt:lpstr>
      <vt:lpstr>ASTORGA 12X36 DIURNO </vt:lpstr>
      <vt:lpstr>ASTORGA 12X36 NOTURNO 2º A (2</vt:lpstr>
      <vt:lpstr>QUEDAS SDF 24 24HORAS (2)</vt:lpstr>
      <vt:lpstr>QUEDAS 12X36 NOTURNO 2º A (2</vt:lpstr>
      <vt:lpstr>BARRACAO 12X36 DIURNO 2º A  (2</vt:lpstr>
      <vt:lpstr>BARRACAO 12X36 NOTURNO 2º A (2</vt:lpstr>
      <vt:lpstr>CASCAVEL - SDF 24HORAS (2)</vt:lpstr>
      <vt:lpstr>Uniforme</vt:lpstr>
      <vt:lpstr>depreciação de equipamento</vt:lpstr>
      <vt:lpstr>depreciacao equipamento motoriz</vt:lpstr>
      <vt:lpstr>'ASSIS- SDF 24HORAS'!Area_de_impressao</vt:lpstr>
      <vt:lpstr>'ASSIS-12X36 DIURNO- 2º A DOM'!Area_de_impressao</vt:lpstr>
      <vt:lpstr>'ASSIS-12X36-NOTURNO- 2º A DOM'!Area_de_impressao</vt:lpstr>
      <vt:lpstr>'ASTORGA 12X36 DIURNO '!Area_de_impressao</vt:lpstr>
      <vt:lpstr>'ASTORGA 12X36 NOTURNO 2º A (2'!Area_de_impressao</vt:lpstr>
      <vt:lpstr>'BARRACAO 12X36 DIURNO 2º A  (2'!Area_de_impressao</vt:lpstr>
      <vt:lpstr>'BARRACAO 12X36 NOTURNO 2º A (2'!Area_de_impressao</vt:lpstr>
      <vt:lpstr>base!Area_de_impressao</vt:lpstr>
      <vt:lpstr>'CAMPO LAR 12X36 DIURNO 2º A DOM'!Area_de_impressao</vt:lpstr>
      <vt:lpstr>'CAMPO LAR 12X36 NOTURN 2º A DOM'!Area_de_impressao</vt:lpstr>
      <vt:lpstr>'CAMPO LARGO - SDF 24 24HORAS'!Area_de_impressao</vt:lpstr>
      <vt:lpstr>'CAPANEMA 12X36 DIURNO 2º A DOM'!Area_de_impressao</vt:lpstr>
      <vt:lpstr>'CAPANEMA 12X36 NOTURNO 2º A DOM'!Area_de_impressao</vt:lpstr>
      <vt:lpstr>'CASCAVEL - SDF 24HORAS (2)'!Area_de_impressao</vt:lpstr>
      <vt:lpstr>'CASCAVEL 12X36 DIURNO 2º A DOM'!Area_de_impressao</vt:lpstr>
      <vt:lpstr>'CASCAVEL 12X36 NOTURNO 2º A DOM'!Area_de_impressao</vt:lpstr>
      <vt:lpstr>'COLOMBO - SDF 24 24HORAS'!Area_de_impressao</vt:lpstr>
      <vt:lpstr>'COLOMBO12X36 DIURNO 2º A DOM'!Area_de_impressao</vt:lpstr>
      <vt:lpstr>'COLOMBO12X36 NOTURNO 2º A DOM'!Area_de_impressao</vt:lpstr>
      <vt:lpstr>'CORONEL 12X36 NOTURNO 2º A DOM'!Area_de_impressao</vt:lpstr>
      <vt:lpstr>'CWB-12X36-NOTURNO- 2º A DOM   '!Area_de_impressao</vt:lpstr>
      <vt:lpstr>'depreciação de equipamento'!Area_de_impressao</vt:lpstr>
      <vt:lpstr>'depreciacao equipamento motoriz'!Area_de_impressao</vt:lpstr>
      <vt:lpstr>'FOZ- SDF 24HORAS'!Area_de_impressao</vt:lpstr>
      <vt:lpstr>'FOZ-12X36 -NOTURNO- 2º A DOM'!Area_de_impressao</vt:lpstr>
      <vt:lpstr>'FOZ-12X36-DIURNO - 2º A DOM'!Area_de_impressao</vt:lpstr>
      <vt:lpstr>'GOIOERE 12X36 DIURNO 2º A DOM'!Area_de_impressao</vt:lpstr>
      <vt:lpstr>'GOIOERE12X36 NOTURNO 2º A DOM'!Area_de_impressao</vt:lpstr>
      <vt:lpstr>'IRATI -12X36 NOTURNO 2º A DOM'!Area_de_impressao</vt:lpstr>
      <vt:lpstr>'IRATI-12X36 DIURNO 2º A DOM '!Area_de_impressao</vt:lpstr>
      <vt:lpstr>iss!Area_de_impressao</vt:lpstr>
      <vt:lpstr>'IVAIPORÃ 12X36 DIURNO 2º A DOM'!Area_de_impressao</vt:lpstr>
      <vt:lpstr>'IVAIPORA 12X36 NOTURN  2ª A DOM'!Area_de_impressao</vt:lpstr>
      <vt:lpstr>'JACAREZINHO 12X36 DIURNO 2ºADOM'!Area_de_impressao</vt:lpstr>
      <vt:lpstr>'JACAREZINHO 12X36 NOT 2ºADOM'!Area_de_impressao</vt:lpstr>
      <vt:lpstr>'JAGUARIAI 12X36 DIURNO 2º A DOM'!Area_de_impressao</vt:lpstr>
      <vt:lpstr>'JAGUARIAI 12X36 NOTURN 2º A DOM'!Area_de_impressao</vt:lpstr>
      <vt:lpstr>'LONDRINA 12X36 DIURNO 2º A DOM'!Area_de_impressao</vt:lpstr>
      <vt:lpstr>'LONDRINA 12X36 NOTURNO 2º A DOM'!Area_de_impressao</vt:lpstr>
      <vt:lpstr>'Londrina 44H SEMANAIS '!Area_de_impressao</vt:lpstr>
      <vt:lpstr>'PALMAS 12X36 DIURNO 2º A DOM'!Area_de_impressao</vt:lpstr>
      <vt:lpstr>'PALMAS 12X36 NOTU 2º A DOM MOTO'!Area_de_impressao</vt:lpstr>
      <vt:lpstr>'PALMAS 12X36 NOTURNO 2º A DOM'!Area_de_impressao</vt:lpstr>
      <vt:lpstr>'PALMAS- SDF 24 24HORAS'!Area_de_impressao</vt:lpstr>
      <vt:lpstr>'PARANAGUA 12X36 DIURNO 2º A DOM'!Area_de_impressao</vt:lpstr>
      <vt:lpstr>'PARANAGUA 12X36 NOTURNO 2ºADOM'!Area_de_impressao</vt:lpstr>
      <vt:lpstr>'PARANAVAÍ 12X36 NOTURN 2º A DOM'!Area_de_impressao</vt:lpstr>
      <vt:lpstr>'PARANAVAI 44H SEMANAIS '!Area_de_impressao</vt:lpstr>
      <vt:lpstr>'PINHAIS 12X36 DIURNO 2º A DOM'!Area_de_impressao</vt:lpstr>
      <vt:lpstr>'PINHAIS 12X36 NOTURNO 2º A DOM'!Area_de_impressao</vt:lpstr>
      <vt:lpstr>'PITANGA 12X36 DIURNO 2º A DOM'!Area_de_impressao</vt:lpstr>
      <vt:lpstr>'PITANGA 12X36 NOTURNO 2º A DOM'!Area_de_impressao</vt:lpstr>
      <vt:lpstr>'PROPOSTA DE PREÇO'!Area_de_impressao</vt:lpstr>
      <vt:lpstr>'PROPOSTA DE PREÇO (2)'!Area_de_impressao</vt:lpstr>
      <vt:lpstr>'QUEDAS 12X36 NOTURNO 2º A (2'!Area_de_impressao</vt:lpstr>
      <vt:lpstr>'QUEDAS SDF 24 24HORAS (2)'!Area_de_impressao</vt:lpstr>
      <vt:lpstr>'TELEMACO 12X36 DIURNO 2º A DOM'!Area_de_impressao</vt:lpstr>
      <vt:lpstr>'TELEMACO 12X36 NOTURNO 2º A DOM'!Area_de_impressao</vt:lpstr>
      <vt:lpstr>'UMUARAMA 12X36 DIURNO 2º A DOM'!Area_de_impressao</vt:lpstr>
      <vt:lpstr>'UMUARAMA 12X36 NOTURNO 2º A DOM'!Area_de_impressao</vt:lpstr>
      <vt:lpstr>'UNIAO 12X36 DIURNO 2º A DOM'!Area_de_impressao</vt:lpstr>
      <vt:lpstr>'UNIAO 12X36 NOTURNO 2º A DOM'!Area_de_impressao</vt:lpstr>
      <vt:lpstr>Uniforme!Area_de_impressao</vt:lpstr>
      <vt:lpstr>'PROPOSTA DE PREÇO (2)'!Titulos_de_impressao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Rogério da Costa Silva</dc:creator>
  <cp:lastModifiedBy>IFPR</cp:lastModifiedBy>
  <cp:lastPrinted>2017-02-15T19:23:17Z</cp:lastPrinted>
  <dcterms:created xsi:type="dcterms:W3CDTF">2014-11-05T15:15:00Z</dcterms:created>
  <dcterms:modified xsi:type="dcterms:W3CDTF">2017-05-18T21:24:44Z</dcterms:modified>
</cp:coreProperties>
</file>